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evya\Downloads\"/>
    </mc:Choice>
  </mc:AlternateContent>
  <xr:revisionPtr revIDLastSave="0" documentId="8_{B04B26F3-542D-468B-A867-E4E5ED9585C4}" xr6:coauthVersionLast="47" xr6:coauthVersionMax="47" xr10:uidLastSave="{00000000-0000-0000-0000-000000000000}"/>
  <bookViews>
    <workbookView xWindow="-108" yWindow="-108" windowWidth="23256" windowHeight="12456" xr2:uid="{00000000-000D-0000-FFFF-FFFF00000000}"/>
  </bookViews>
  <sheets>
    <sheet name="Otodom Poland (1).exe" sheetId="1" r:id="rId1"/>
  </sheets>
  <definedNames>
    <definedName name="_xlnm._FilterDatabase" localSheetId="0" hidden="1">'Otodom Poland (1).exe'!$A$1:$R$1001</definedName>
  </definedNames>
  <calcPr calcId="191029"/>
</workbook>
</file>

<file path=xl/calcChain.xml><?xml version="1.0" encoding="utf-8"?>
<calcChain xmlns="http://schemas.openxmlformats.org/spreadsheetml/2006/main">
  <c r="H980" i="1" l="1"/>
  <c r="H927" i="1"/>
  <c r="H904" i="1"/>
  <c r="H900" i="1"/>
  <c r="H871" i="1"/>
  <c r="H813" i="1"/>
  <c r="H564" i="1"/>
  <c r="H553" i="1"/>
  <c r="H552" i="1"/>
  <c r="H533" i="1"/>
  <c r="H517" i="1"/>
  <c r="H403" i="1"/>
  <c r="H346" i="1"/>
  <c r="H320" i="1"/>
  <c r="H317" i="1"/>
  <c r="H273" i="1"/>
  <c r="H179" i="1"/>
  <c r="H117" i="1"/>
  <c r="H924" i="1"/>
  <c r="H730" i="1"/>
  <c r="H684" i="1"/>
  <c r="H646" i="1"/>
  <c r="H542" i="1"/>
  <c r="H268" i="1"/>
  <c r="H225" i="1"/>
  <c r="H152" i="1"/>
  <c r="H87" i="1"/>
  <c r="H75" i="1"/>
  <c r="H847" i="1"/>
  <c r="H821" i="1"/>
  <c r="H777" i="1"/>
  <c r="H758" i="1"/>
  <c r="H711" i="1"/>
  <c r="H660" i="1"/>
  <c r="H632" i="1"/>
  <c r="H630" i="1"/>
  <c r="H581" i="1"/>
  <c r="H531" i="1"/>
  <c r="H515" i="1"/>
  <c r="H483" i="1"/>
  <c r="H404" i="1"/>
  <c r="H334" i="1"/>
  <c r="H324" i="1"/>
  <c r="H318" i="1"/>
  <c r="H302" i="1"/>
  <c r="H286" i="1"/>
  <c r="H208" i="1"/>
  <c r="H202" i="1"/>
  <c r="H164" i="1"/>
  <c r="H154" i="1"/>
  <c r="H82" i="1"/>
  <c r="H39" i="1"/>
  <c r="H18" i="1"/>
  <c r="H1001" i="1"/>
  <c r="H999" i="1"/>
  <c r="H996" i="1"/>
  <c r="H991" i="1"/>
  <c r="H990" i="1"/>
  <c r="H988" i="1"/>
  <c r="H985" i="1"/>
  <c r="H984" i="1"/>
  <c r="H983" i="1"/>
  <c r="H981" i="1"/>
  <c r="H978" i="1"/>
  <c r="H975" i="1"/>
  <c r="H973" i="1"/>
  <c r="H965" i="1"/>
  <c r="H961" i="1"/>
  <c r="H960" i="1"/>
  <c r="H955" i="1"/>
  <c r="H954" i="1"/>
  <c r="H945" i="1"/>
  <c r="H940" i="1"/>
  <c r="H932" i="1"/>
  <c r="H923" i="1"/>
  <c r="H919" i="1"/>
  <c r="H912" i="1"/>
  <c r="H905" i="1"/>
  <c r="H903" i="1"/>
  <c r="H902" i="1"/>
  <c r="H896" i="1"/>
  <c r="H892" i="1"/>
  <c r="H881" i="1"/>
  <c r="H878" i="1"/>
  <c r="H872" i="1"/>
  <c r="H867" i="1"/>
  <c r="H860" i="1"/>
  <c r="H857" i="1"/>
  <c r="H854" i="1"/>
  <c r="H850" i="1"/>
  <c r="H849" i="1"/>
  <c r="H846" i="1"/>
  <c r="H840" i="1"/>
  <c r="H835" i="1"/>
  <c r="H832" i="1"/>
  <c r="H831" i="1"/>
  <c r="H830" i="1"/>
  <c r="H827" i="1"/>
  <c r="H826" i="1"/>
  <c r="H823" i="1"/>
  <c r="H822" i="1"/>
  <c r="H820" i="1"/>
  <c r="H809" i="1"/>
  <c r="H804" i="1"/>
  <c r="H798" i="1"/>
  <c r="H794" i="1"/>
  <c r="H789" i="1"/>
  <c r="H774" i="1"/>
  <c r="H759" i="1"/>
  <c r="H754" i="1"/>
  <c r="H752" i="1"/>
  <c r="H749" i="1"/>
  <c r="H748" i="1"/>
  <c r="H743" i="1"/>
  <c r="H737" i="1"/>
  <c r="H736" i="1"/>
  <c r="H723" i="1"/>
  <c r="H714" i="1"/>
  <c r="H700" i="1"/>
  <c r="H699" i="1"/>
  <c r="H693" i="1"/>
  <c r="H690" i="1"/>
  <c r="H685" i="1"/>
  <c r="H681" i="1"/>
  <c r="H679" i="1"/>
  <c r="H669" i="1"/>
  <c r="H659" i="1"/>
  <c r="H657" i="1"/>
  <c r="H656" i="1"/>
  <c r="H648" i="1"/>
  <c r="H647" i="1"/>
  <c r="H641" i="1"/>
  <c r="H640" i="1"/>
  <c r="H639" i="1"/>
  <c r="H635" i="1"/>
  <c r="H623" i="1"/>
  <c r="H618" i="1"/>
  <c r="H615" i="1"/>
  <c r="H614" i="1"/>
  <c r="H611" i="1"/>
  <c r="H610" i="1"/>
  <c r="H609" i="1"/>
  <c r="H602" i="1"/>
  <c r="H598" i="1"/>
  <c r="H596" i="1"/>
  <c r="H588" i="1"/>
  <c r="H575" i="1"/>
  <c r="H574" i="1"/>
  <c r="H570" i="1"/>
  <c r="H569" i="1"/>
  <c r="H550" i="1"/>
  <c r="H548" i="1"/>
  <c r="H540" i="1"/>
  <c r="H522" i="1"/>
  <c r="H518" i="1"/>
  <c r="H508" i="1"/>
  <c r="H505" i="1"/>
  <c r="H501" i="1"/>
  <c r="H499" i="1"/>
  <c r="H498" i="1"/>
  <c r="H492" i="1"/>
  <c r="H488" i="1"/>
  <c r="H487" i="1"/>
  <c r="H481" i="1"/>
  <c r="H474" i="1"/>
  <c r="H471" i="1"/>
  <c r="H469" i="1"/>
  <c r="H466" i="1"/>
  <c r="H461" i="1"/>
  <c r="H460" i="1"/>
  <c r="H451" i="1"/>
  <c r="H444" i="1"/>
  <c r="H443" i="1"/>
  <c r="H440" i="1"/>
  <c r="H436" i="1"/>
  <c r="H426" i="1"/>
  <c r="H422" i="1"/>
  <c r="H417" i="1"/>
  <c r="H416" i="1"/>
  <c r="H409" i="1"/>
  <c r="H406" i="1"/>
  <c r="H400" i="1"/>
  <c r="H391" i="1"/>
  <c r="H389" i="1"/>
  <c r="H380" i="1"/>
  <c r="H379" i="1"/>
  <c r="H370" i="1"/>
  <c r="H360" i="1"/>
  <c r="H354" i="1"/>
  <c r="H347" i="1"/>
  <c r="H344" i="1"/>
  <c r="H340" i="1"/>
  <c r="H338" i="1"/>
  <c r="H332" i="1"/>
  <c r="H325" i="1"/>
  <c r="H319" i="1"/>
  <c r="H303" i="1"/>
  <c r="H292" i="1"/>
  <c r="H277" i="1"/>
  <c r="H263" i="1"/>
  <c r="H262" i="1"/>
  <c r="H261" i="1"/>
  <c r="H260" i="1"/>
  <c r="H258" i="1"/>
  <c r="H256" i="1"/>
  <c r="H249" i="1"/>
  <c r="H246" i="1"/>
  <c r="H242" i="1"/>
  <c r="H240" i="1"/>
  <c r="H236" i="1"/>
  <c r="H222" i="1"/>
  <c r="H220" i="1"/>
  <c r="H217" i="1"/>
  <c r="H215" i="1"/>
  <c r="H213" i="1"/>
  <c r="H206" i="1"/>
  <c r="H198" i="1"/>
  <c r="H187" i="1"/>
  <c r="H184" i="1"/>
  <c r="H183" i="1"/>
  <c r="H181" i="1"/>
  <c r="H180" i="1"/>
  <c r="H168" i="1"/>
  <c r="H158" i="1"/>
  <c r="H157" i="1"/>
  <c r="H144" i="1"/>
  <c r="H142" i="1"/>
  <c r="H137" i="1"/>
  <c r="H135" i="1"/>
  <c r="H133" i="1"/>
  <c r="H131" i="1"/>
  <c r="H120" i="1"/>
  <c r="H119" i="1"/>
  <c r="H115" i="1"/>
  <c r="H114" i="1"/>
  <c r="H107" i="1"/>
  <c r="H106" i="1"/>
  <c r="H104" i="1"/>
  <c r="H97" i="1"/>
  <c r="H95" i="1"/>
  <c r="H93" i="1"/>
  <c r="H91" i="1"/>
  <c r="H81" i="1"/>
  <c r="H73" i="1"/>
  <c r="H71" i="1"/>
  <c r="H68" i="1"/>
  <c r="H64" i="1"/>
  <c r="H48" i="1"/>
  <c r="H46" i="1"/>
  <c r="H45" i="1"/>
  <c r="H43" i="1"/>
  <c r="H40" i="1"/>
  <c r="H35" i="1"/>
  <c r="H33" i="1"/>
  <c r="H32" i="1"/>
  <c r="H25" i="1"/>
  <c r="H14" i="1"/>
  <c r="H13" i="1"/>
  <c r="H9" i="1"/>
  <c r="H1000" i="1"/>
  <c r="H992" i="1"/>
  <c r="H986" i="1"/>
  <c r="H979" i="1"/>
  <c r="H974" i="1"/>
  <c r="H957" i="1"/>
  <c r="H951" i="1"/>
  <c r="H943" i="1"/>
  <c r="H931" i="1"/>
  <c r="H928" i="1"/>
  <c r="H916" i="1"/>
  <c r="H914" i="1"/>
  <c r="H907" i="1"/>
  <c r="H895" i="1"/>
  <c r="H889" i="1"/>
  <c r="H885" i="1"/>
  <c r="H877" i="1"/>
  <c r="H874" i="1"/>
  <c r="H865" i="1"/>
  <c r="H864" i="1"/>
  <c r="H859" i="1"/>
  <c r="H856" i="1"/>
  <c r="H844" i="1"/>
  <c r="H824" i="1"/>
  <c r="H816" i="1"/>
  <c r="H801" i="1"/>
  <c r="H790" i="1"/>
  <c r="H776" i="1"/>
  <c r="H767" i="1"/>
  <c r="H765" i="1"/>
  <c r="H755" i="1"/>
  <c r="H753" i="1"/>
  <c r="H750" i="1"/>
  <c r="H739" i="1"/>
  <c r="H735" i="1"/>
  <c r="H734" i="1"/>
  <c r="H726" i="1"/>
  <c r="H724" i="1"/>
  <c r="H712" i="1"/>
  <c r="H705" i="1"/>
  <c r="H701" i="1"/>
  <c r="H698" i="1"/>
  <c r="H696" i="1"/>
  <c r="H688" i="1"/>
  <c r="H682" i="1"/>
  <c r="H680" i="1"/>
  <c r="H668" i="1"/>
  <c r="H665" i="1"/>
  <c r="H654" i="1"/>
  <c r="H652" i="1"/>
  <c r="H650" i="1"/>
  <c r="H644" i="1"/>
  <c r="H636" i="1"/>
  <c r="H622" i="1"/>
  <c r="H604" i="1"/>
  <c r="H593" i="1"/>
  <c r="H592" i="1"/>
  <c r="H590" i="1"/>
  <c r="H587" i="1"/>
  <c r="H573" i="1"/>
  <c r="H538" i="1"/>
  <c r="H521" i="1"/>
  <c r="H513" i="1"/>
  <c r="H507" i="1"/>
  <c r="H475" i="1"/>
  <c r="H473" i="1"/>
  <c r="H463" i="1"/>
  <c r="H459" i="1"/>
  <c r="H450" i="1"/>
  <c r="H445" i="1"/>
  <c r="H442" i="1"/>
  <c r="H441" i="1"/>
  <c r="H432" i="1"/>
  <c r="H420" i="1"/>
  <c r="H411" i="1"/>
  <c r="H402" i="1"/>
  <c r="H401" i="1"/>
  <c r="H398" i="1"/>
  <c r="H396" i="1"/>
  <c r="H388" i="1"/>
  <c r="H385" i="1"/>
  <c r="H378" i="1"/>
  <c r="H377" i="1"/>
  <c r="H369" i="1"/>
  <c r="H367" i="1"/>
  <c r="H362" i="1"/>
  <c r="H349" i="1"/>
  <c r="H328" i="1"/>
  <c r="H311" i="1"/>
  <c r="H309" i="1"/>
  <c r="H308" i="1"/>
  <c r="H298" i="1"/>
  <c r="H297" i="1"/>
  <c r="H294" i="1"/>
  <c r="H290" i="1"/>
  <c r="H287" i="1"/>
  <c r="H281" i="1"/>
  <c r="H278" i="1"/>
  <c r="H275" i="1"/>
  <c r="H272" i="1"/>
  <c r="H254" i="1"/>
  <c r="H251" i="1"/>
  <c r="H248" i="1"/>
  <c r="H238" i="1"/>
  <c r="H226" i="1"/>
  <c r="H221" i="1"/>
  <c r="H219" i="1"/>
  <c r="H203" i="1"/>
  <c r="H197" i="1"/>
  <c r="H178" i="1"/>
  <c r="H165" i="1"/>
  <c r="H143" i="1"/>
  <c r="H140" i="1"/>
  <c r="H138" i="1"/>
  <c r="H132" i="1"/>
  <c r="H128" i="1"/>
  <c r="H116" i="1"/>
  <c r="H111" i="1"/>
  <c r="H101" i="1"/>
  <c r="H99" i="1"/>
  <c r="H98" i="1"/>
  <c r="H94" i="1"/>
  <c r="H89" i="1"/>
  <c r="H80" i="1"/>
  <c r="H74" i="1"/>
  <c r="H67" i="1"/>
  <c r="H65" i="1"/>
  <c r="H56" i="1"/>
  <c r="H55" i="1"/>
  <c r="H31" i="1"/>
  <c r="H30" i="1"/>
  <c r="H28" i="1"/>
  <c r="H21" i="1"/>
  <c r="H15" i="1"/>
  <c r="H12" i="1"/>
  <c r="H11" i="1"/>
  <c r="H8" i="1"/>
  <c r="H6" i="1"/>
  <c r="H4" i="1"/>
  <c r="H998" i="1"/>
  <c r="H993" i="1"/>
  <c r="H989" i="1"/>
  <c r="H987" i="1"/>
  <c r="H982" i="1"/>
  <c r="H968" i="1"/>
  <c r="H956" i="1"/>
  <c r="H948" i="1"/>
  <c r="H946" i="1"/>
  <c r="H941" i="1"/>
  <c r="H939" i="1"/>
  <c r="H933" i="1"/>
  <c r="H922" i="1"/>
  <c r="H920" i="1"/>
  <c r="H901" i="1"/>
  <c r="H883" i="1"/>
  <c r="H879" i="1"/>
  <c r="H875" i="1"/>
  <c r="H866" i="1"/>
  <c r="H836" i="1"/>
  <c r="H833" i="1"/>
  <c r="H828" i="1"/>
  <c r="H787" i="1"/>
  <c r="H786" i="1"/>
  <c r="H778" i="1"/>
  <c r="H751" i="1"/>
  <c r="H740" i="1"/>
  <c r="H720" i="1"/>
  <c r="H718" i="1"/>
  <c r="H717" i="1"/>
  <c r="H716" i="1"/>
  <c r="H709" i="1"/>
  <c r="H706" i="1"/>
  <c r="H697" i="1"/>
  <c r="H695" i="1"/>
  <c r="H673" i="1"/>
  <c r="H667" i="1"/>
  <c r="H655" i="1"/>
  <c r="H643" i="1"/>
  <c r="H619" i="1"/>
  <c r="H607" i="1"/>
  <c r="H594" i="1"/>
  <c r="H582" i="1"/>
  <c r="H549" i="1"/>
  <c r="H529" i="1"/>
  <c r="H528" i="1"/>
  <c r="H520" i="1"/>
  <c r="H519" i="1"/>
  <c r="H512" i="1"/>
  <c r="H509" i="1"/>
  <c r="H495" i="1"/>
  <c r="H491" i="1"/>
  <c r="H485" i="1"/>
  <c r="H480" i="1"/>
  <c r="H477" i="1"/>
  <c r="H457" i="1"/>
  <c r="H453" i="1"/>
  <c r="H438" i="1"/>
  <c r="H431" i="1"/>
  <c r="H423" i="1"/>
  <c r="H415" i="1"/>
  <c r="H413" i="1"/>
  <c r="H408" i="1"/>
  <c r="H392" i="1"/>
  <c r="H376" i="1"/>
  <c r="H375" i="1"/>
  <c r="H364" i="1"/>
  <c r="H355" i="1"/>
  <c r="H348" i="1"/>
  <c r="H310" i="1"/>
  <c r="H288" i="1"/>
  <c r="H255" i="1"/>
  <c r="H245" i="1"/>
  <c r="H243" i="1"/>
  <c r="H237" i="1"/>
  <c r="H214" i="1"/>
  <c r="H210" i="1"/>
  <c r="H200" i="1"/>
  <c r="H196" i="1"/>
  <c r="H193" i="1"/>
  <c r="H192" i="1"/>
  <c r="H191" i="1"/>
  <c r="H188" i="1"/>
  <c r="H167" i="1"/>
  <c r="H166" i="1"/>
  <c r="H159" i="1"/>
  <c r="H151" i="1"/>
  <c r="H149" i="1"/>
  <c r="H134" i="1"/>
  <c r="H126" i="1"/>
  <c r="H124" i="1"/>
  <c r="H122" i="1"/>
  <c r="H121" i="1"/>
  <c r="H118" i="1"/>
  <c r="H103" i="1"/>
  <c r="H70" i="1"/>
  <c r="H62" i="1"/>
  <c r="H53" i="1"/>
  <c r="H38" i="1"/>
  <c r="H26" i="1"/>
  <c r="H997" i="1"/>
  <c r="H976" i="1"/>
  <c r="H971" i="1"/>
  <c r="H970" i="1"/>
  <c r="H966" i="1"/>
  <c r="H963" i="1"/>
  <c r="H959" i="1"/>
  <c r="H958" i="1"/>
  <c r="H953" i="1"/>
  <c r="H952" i="1"/>
  <c r="H949" i="1"/>
  <c r="H937" i="1"/>
  <c r="H929" i="1"/>
  <c r="H926" i="1"/>
  <c r="H921" i="1"/>
  <c r="H918" i="1"/>
  <c r="H915" i="1"/>
  <c r="H910" i="1"/>
  <c r="H908" i="1"/>
  <c r="H899" i="1"/>
  <c r="H897" i="1"/>
  <c r="H894" i="1"/>
  <c r="H891" i="1"/>
  <c r="H890" i="1"/>
  <c r="H886" i="1"/>
  <c r="H880" i="1"/>
  <c r="H869" i="1"/>
  <c r="H863" i="1"/>
  <c r="H862" i="1"/>
  <c r="H861" i="1"/>
  <c r="H848" i="1"/>
  <c r="H843" i="1"/>
  <c r="H839" i="1"/>
  <c r="H837" i="1"/>
  <c r="H829" i="1"/>
  <c r="H819" i="1"/>
  <c r="H818" i="1"/>
  <c r="H815" i="1"/>
  <c r="H814" i="1"/>
  <c r="H812" i="1"/>
  <c r="H808" i="1"/>
  <c r="H807" i="1"/>
  <c r="H806" i="1"/>
  <c r="H805" i="1"/>
  <c r="H803" i="1"/>
  <c r="H802" i="1"/>
  <c r="H800" i="1"/>
  <c r="H799" i="1"/>
  <c r="H797" i="1"/>
  <c r="H796" i="1"/>
  <c r="H785" i="1"/>
  <c r="H783" i="1"/>
  <c r="H782" i="1"/>
  <c r="H781" i="1"/>
  <c r="H780" i="1"/>
  <c r="H779" i="1"/>
  <c r="H772" i="1"/>
  <c r="H771" i="1"/>
  <c r="H770" i="1"/>
  <c r="H769" i="1"/>
  <c r="H766" i="1"/>
  <c r="H764" i="1"/>
  <c r="H763" i="1"/>
  <c r="H762" i="1"/>
  <c r="H757" i="1"/>
  <c r="H747" i="1"/>
  <c r="H746" i="1"/>
  <c r="H745" i="1"/>
  <c r="H741" i="1"/>
  <c r="H733" i="1"/>
  <c r="H732" i="1"/>
  <c r="H731" i="1"/>
  <c r="H725" i="1"/>
  <c r="H719" i="1"/>
  <c r="H715" i="1"/>
  <c r="H713" i="1"/>
  <c r="H708" i="1"/>
  <c r="H704" i="1"/>
  <c r="H702" i="1"/>
  <c r="H694" i="1"/>
  <c r="H692" i="1"/>
  <c r="H691" i="1"/>
  <c r="H689" i="1"/>
  <c r="H686" i="1"/>
  <c r="H683" i="1"/>
  <c r="H678" i="1"/>
  <c r="H675" i="1"/>
  <c r="H674" i="1"/>
  <c r="H670" i="1"/>
  <c r="H666" i="1"/>
  <c r="H664" i="1"/>
  <c r="H663" i="1"/>
  <c r="H651" i="1"/>
  <c r="H649" i="1"/>
  <c r="H645" i="1"/>
  <c r="H642" i="1"/>
  <c r="H638" i="1"/>
  <c r="H637" i="1"/>
  <c r="H634" i="1"/>
  <c r="H633" i="1"/>
  <c r="H631" i="1"/>
  <c r="H628" i="1"/>
  <c r="H626" i="1"/>
  <c r="H625" i="1"/>
  <c r="H617" i="1"/>
  <c r="H612" i="1"/>
  <c r="H608" i="1"/>
  <c r="H606" i="1"/>
  <c r="H605" i="1"/>
  <c r="H603" i="1"/>
  <c r="H601" i="1"/>
  <c r="H597" i="1"/>
  <c r="H595" i="1"/>
  <c r="H589" i="1"/>
  <c r="H584" i="1"/>
  <c r="H580" i="1"/>
  <c r="H578" i="1"/>
  <c r="H577" i="1"/>
  <c r="H571" i="1"/>
  <c r="H566" i="1"/>
  <c r="H565" i="1"/>
  <c r="H551" i="1"/>
  <c r="H544" i="1"/>
  <c r="H543" i="1"/>
  <c r="H541" i="1"/>
  <c r="H539" i="1"/>
  <c r="H536" i="1"/>
  <c r="H535" i="1"/>
  <c r="H532" i="1"/>
  <c r="H530" i="1"/>
  <c r="H527" i="1"/>
  <c r="H526" i="1"/>
  <c r="H525" i="1"/>
  <c r="H514" i="1"/>
  <c r="H506" i="1"/>
  <c r="H503" i="1"/>
  <c r="H496" i="1"/>
  <c r="H490" i="1"/>
  <c r="H489" i="1"/>
  <c r="H486" i="1"/>
  <c r="H484" i="1"/>
  <c r="H479" i="1"/>
  <c r="H476" i="1"/>
  <c r="H472" i="1"/>
  <c r="H465" i="1"/>
  <c r="H464" i="1"/>
  <c r="H462" i="1"/>
  <c r="H458" i="1"/>
  <c r="H456" i="1"/>
  <c r="H455" i="1"/>
  <c r="H454" i="1"/>
  <c r="H449" i="1"/>
  <c r="H448" i="1"/>
  <c r="H447" i="1"/>
  <c r="H446" i="1"/>
  <c r="H439" i="1"/>
  <c r="H435" i="1"/>
  <c r="H434" i="1"/>
  <c r="H433" i="1"/>
  <c r="H429" i="1"/>
  <c r="H427" i="1"/>
  <c r="H424" i="1"/>
  <c r="H421" i="1"/>
  <c r="H418" i="1"/>
  <c r="H414" i="1"/>
  <c r="H412" i="1"/>
  <c r="H410" i="1"/>
  <c r="H405" i="1"/>
  <c r="H399" i="1"/>
  <c r="H397" i="1"/>
  <c r="H394" i="1"/>
  <c r="H393" i="1"/>
  <c r="H386" i="1"/>
  <c r="H383" i="1"/>
  <c r="H382" i="1"/>
  <c r="H381" i="1"/>
  <c r="H374" i="1"/>
  <c r="H371" i="1"/>
  <c r="H368" i="1"/>
  <c r="H365" i="1"/>
  <c r="H363" i="1"/>
  <c r="H361" i="1"/>
  <c r="H358" i="1"/>
  <c r="H352" i="1"/>
  <c r="H350" i="1"/>
  <c r="H345" i="1"/>
  <c r="H342" i="1"/>
  <c r="H339" i="1"/>
  <c r="H333" i="1"/>
  <c r="H331" i="1"/>
  <c r="H327" i="1"/>
  <c r="H323" i="1"/>
  <c r="H322" i="1"/>
  <c r="H314" i="1"/>
  <c r="H313" i="1"/>
  <c r="H312" i="1"/>
  <c r="H305" i="1"/>
  <c r="H301" i="1"/>
  <c r="H300" i="1"/>
  <c r="H296" i="1"/>
  <c r="H291" i="1"/>
  <c r="H285" i="1"/>
  <c r="H283" i="1"/>
  <c r="H282" i="1"/>
  <c r="H279" i="1"/>
  <c r="H276" i="1"/>
  <c r="H274" i="1"/>
  <c r="H269" i="1"/>
  <c r="H267" i="1"/>
  <c r="H266" i="1"/>
  <c r="H259" i="1"/>
  <c r="H253" i="1"/>
  <c r="H247" i="1"/>
  <c r="H241" i="1"/>
  <c r="H239" i="1"/>
  <c r="H235" i="1"/>
  <c r="H234" i="1"/>
  <c r="H232" i="1"/>
  <c r="H229" i="1"/>
  <c r="H228" i="1"/>
  <c r="H216" i="1"/>
  <c r="H209" i="1"/>
  <c r="H207" i="1"/>
  <c r="H201" i="1"/>
  <c r="H199" i="1"/>
  <c r="H190" i="1"/>
  <c r="H189" i="1"/>
  <c r="H185" i="1"/>
  <c r="H177" i="1"/>
  <c r="H176" i="1"/>
  <c r="H174" i="1"/>
  <c r="H173" i="1"/>
  <c r="H161" i="1"/>
  <c r="H156" i="1"/>
  <c r="H153" i="1"/>
  <c r="H150" i="1"/>
  <c r="H148" i="1"/>
  <c r="H147" i="1"/>
  <c r="H141" i="1"/>
  <c r="H139" i="1"/>
  <c r="H113" i="1"/>
  <c r="H112" i="1"/>
  <c r="H110" i="1"/>
  <c r="H108" i="1"/>
  <c r="H100" i="1"/>
  <c r="H96" i="1"/>
  <c r="H79" i="1"/>
  <c r="H78" i="1"/>
  <c r="H76" i="1"/>
  <c r="H69" i="1"/>
  <c r="H63" i="1"/>
  <c r="H61" i="1"/>
  <c r="H59" i="1"/>
  <c r="H57" i="1"/>
  <c r="H54" i="1"/>
  <c r="H50" i="1"/>
  <c r="H49" i="1"/>
  <c r="H47" i="1"/>
  <c r="H44" i="1"/>
  <c r="H41" i="1"/>
  <c r="H37" i="1"/>
  <c r="H36" i="1"/>
  <c r="H34" i="1"/>
  <c r="H29" i="1"/>
  <c r="H23" i="1"/>
  <c r="H22" i="1"/>
  <c r="H20" i="1"/>
  <c r="H19" i="1"/>
  <c r="H17" i="1"/>
  <c r="H2" i="1"/>
  <c r="O1001" i="1"/>
  <c r="C1001" i="1"/>
  <c r="O1000" i="1"/>
  <c r="C1000" i="1"/>
  <c r="O999" i="1"/>
  <c r="C999" i="1"/>
  <c r="O998" i="1"/>
  <c r="C998" i="1"/>
  <c r="O997" i="1"/>
  <c r="C997" i="1"/>
  <c r="O996" i="1"/>
  <c r="C996" i="1"/>
  <c r="O995" i="1"/>
  <c r="H995" i="1"/>
  <c r="C995" i="1"/>
  <c r="O994" i="1"/>
  <c r="H994" i="1"/>
  <c r="C994" i="1"/>
  <c r="O993" i="1"/>
  <c r="C993" i="1"/>
  <c r="O992" i="1"/>
  <c r="C992" i="1"/>
  <c r="O991" i="1"/>
  <c r="C991" i="1"/>
  <c r="O990" i="1"/>
  <c r="C990" i="1"/>
  <c r="O989" i="1"/>
  <c r="C989" i="1"/>
  <c r="O988" i="1"/>
  <c r="C988" i="1"/>
  <c r="O987" i="1"/>
  <c r="C987" i="1"/>
  <c r="O986" i="1"/>
  <c r="C986" i="1"/>
  <c r="O985" i="1"/>
  <c r="C985" i="1"/>
  <c r="O984" i="1"/>
  <c r="C984" i="1"/>
  <c r="O983" i="1"/>
  <c r="C983" i="1"/>
  <c r="O982" i="1"/>
  <c r="C982" i="1"/>
  <c r="O981" i="1"/>
  <c r="C981" i="1"/>
  <c r="O980" i="1"/>
  <c r="C980" i="1"/>
  <c r="O979" i="1"/>
  <c r="C979" i="1"/>
  <c r="O978" i="1"/>
  <c r="C978" i="1"/>
  <c r="O977" i="1"/>
  <c r="H977" i="1"/>
  <c r="C977" i="1"/>
  <c r="O976" i="1"/>
  <c r="C976" i="1"/>
  <c r="O975" i="1"/>
  <c r="C975" i="1"/>
  <c r="O974" i="1"/>
  <c r="C974" i="1"/>
  <c r="O973" i="1"/>
  <c r="C973" i="1"/>
  <c r="O972" i="1"/>
  <c r="H972" i="1"/>
  <c r="C972" i="1"/>
  <c r="O971" i="1"/>
  <c r="C971" i="1"/>
  <c r="O970" i="1"/>
  <c r="C970" i="1"/>
  <c r="O969" i="1"/>
  <c r="H969" i="1"/>
  <c r="C969" i="1"/>
  <c r="O968" i="1"/>
  <c r="C968" i="1"/>
  <c r="O967" i="1"/>
  <c r="H967" i="1"/>
  <c r="C967" i="1"/>
  <c r="O966" i="1"/>
  <c r="C966" i="1"/>
  <c r="O965" i="1"/>
  <c r="C965" i="1"/>
  <c r="O964" i="1"/>
  <c r="H964" i="1"/>
  <c r="C964" i="1"/>
  <c r="O963" i="1"/>
  <c r="C963" i="1"/>
  <c r="O962" i="1"/>
  <c r="H962" i="1"/>
  <c r="C962" i="1"/>
  <c r="O961" i="1"/>
  <c r="C961" i="1"/>
  <c r="O960" i="1"/>
  <c r="C960" i="1"/>
  <c r="O959" i="1"/>
  <c r="C959" i="1"/>
  <c r="O958" i="1"/>
  <c r="C958" i="1"/>
  <c r="O957" i="1"/>
  <c r="C957" i="1"/>
  <c r="O956" i="1"/>
  <c r="C956" i="1"/>
  <c r="O955" i="1"/>
  <c r="C955" i="1"/>
  <c r="O954" i="1"/>
  <c r="C954" i="1"/>
  <c r="O953" i="1"/>
  <c r="C953" i="1"/>
  <c r="O952" i="1"/>
  <c r="C952" i="1"/>
  <c r="O951" i="1"/>
  <c r="C951" i="1"/>
  <c r="O950" i="1"/>
  <c r="H950" i="1"/>
  <c r="C950" i="1"/>
  <c r="O949" i="1"/>
  <c r="C949" i="1"/>
  <c r="O948" i="1"/>
  <c r="C948" i="1"/>
  <c r="O947" i="1"/>
  <c r="H947" i="1"/>
  <c r="C947" i="1"/>
  <c r="O946" i="1"/>
  <c r="C946" i="1"/>
  <c r="O945" i="1"/>
  <c r="C945" i="1"/>
  <c r="O944" i="1"/>
  <c r="H944" i="1"/>
  <c r="C944" i="1"/>
  <c r="O943" i="1"/>
  <c r="C943" i="1"/>
  <c r="O942" i="1"/>
  <c r="H942" i="1"/>
  <c r="C942" i="1"/>
  <c r="O941" i="1"/>
  <c r="C941" i="1"/>
  <c r="O940" i="1"/>
  <c r="C940" i="1"/>
  <c r="O939" i="1"/>
  <c r="C939" i="1"/>
  <c r="O938" i="1"/>
  <c r="H938" i="1"/>
  <c r="C938" i="1"/>
  <c r="O937" i="1"/>
  <c r="C937" i="1"/>
  <c r="O936" i="1"/>
  <c r="H936" i="1"/>
  <c r="C936" i="1"/>
  <c r="O935" i="1"/>
  <c r="H935" i="1"/>
  <c r="C935" i="1"/>
  <c r="O934" i="1"/>
  <c r="H934" i="1"/>
  <c r="C934" i="1"/>
  <c r="O933" i="1"/>
  <c r="C933" i="1"/>
  <c r="O932" i="1"/>
  <c r="C932" i="1"/>
  <c r="O931" i="1"/>
  <c r="C931" i="1"/>
  <c r="O930" i="1"/>
  <c r="H930" i="1"/>
  <c r="C930" i="1"/>
  <c r="O929" i="1"/>
  <c r="C929" i="1"/>
  <c r="O928" i="1"/>
  <c r="C928" i="1"/>
  <c r="O927" i="1"/>
  <c r="C927" i="1"/>
  <c r="O926" i="1"/>
  <c r="C926" i="1"/>
  <c r="O925" i="1"/>
  <c r="H925" i="1"/>
  <c r="C925" i="1"/>
  <c r="O924" i="1"/>
  <c r="C924" i="1"/>
  <c r="O923" i="1"/>
  <c r="C923" i="1"/>
  <c r="O922" i="1"/>
  <c r="C922" i="1"/>
  <c r="O921" i="1"/>
  <c r="C921" i="1"/>
  <c r="O920" i="1"/>
  <c r="C920" i="1"/>
  <c r="O919" i="1"/>
  <c r="C919" i="1"/>
  <c r="O918" i="1"/>
  <c r="C918" i="1"/>
  <c r="O917" i="1"/>
  <c r="H917" i="1"/>
  <c r="C917" i="1"/>
  <c r="O916" i="1"/>
  <c r="C916" i="1"/>
  <c r="O915" i="1"/>
  <c r="C915" i="1"/>
  <c r="O914" i="1"/>
  <c r="C914" i="1"/>
  <c r="O913" i="1"/>
  <c r="H913" i="1"/>
  <c r="C913" i="1"/>
  <c r="O912" i="1"/>
  <c r="C912" i="1"/>
  <c r="O911" i="1"/>
  <c r="H911" i="1"/>
  <c r="C911" i="1"/>
  <c r="O910" i="1"/>
  <c r="C910" i="1"/>
  <c r="O909" i="1"/>
  <c r="H909" i="1"/>
  <c r="C909" i="1"/>
  <c r="O908" i="1"/>
  <c r="C908" i="1"/>
  <c r="O907" i="1"/>
  <c r="C907" i="1"/>
  <c r="O906" i="1"/>
  <c r="H906" i="1"/>
  <c r="C906" i="1"/>
  <c r="O905" i="1"/>
  <c r="C905" i="1"/>
  <c r="O904" i="1"/>
  <c r="C904" i="1"/>
  <c r="O903" i="1"/>
  <c r="C903" i="1"/>
  <c r="O902" i="1"/>
  <c r="C902" i="1"/>
  <c r="O901" i="1"/>
  <c r="C901" i="1"/>
  <c r="O900" i="1"/>
  <c r="C900" i="1"/>
  <c r="O899" i="1"/>
  <c r="C899" i="1"/>
  <c r="O898" i="1"/>
  <c r="H898" i="1"/>
  <c r="C898" i="1"/>
  <c r="O897" i="1"/>
  <c r="C897" i="1"/>
  <c r="O896" i="1"/>
  <c r="C896" i="1"/>
  <c r="O895" i="1"/>
  <c r="C895" i="1"/>
  <c r="O894" i="1"/>
  <c r="C894" i="1"/>
  <c r="O893" i="1"/>
  <c r="H893" i="1"/>
  <c r="C893" i="1"/>
  <c r="O892" i="1"/>
  <c r="C892" i="1"/>
  <c r="O891" i="1"/>
  <c r="C891" i="1"/>
  <c r="O890" i="1"/>
  <c r="C890" i="1"/>
  <c r="O889" i="1"/>
  <c r="C889" i="1"/>
  <c r="O888" i="1"/>
  <c r="H888" i="1"/>
  <c r="C888" i="1"/>
  <c r="O887" i="1"/>
  <c r="H887" i="1"/>
  <c r="C887" i="1"/>
  <c r="O886" i="1"/>
  <c r="C886" i="1"/>
  <c r="O885" i="1"/>
  <c r="C885" i="1"/>
  <c r="O884" i="1"/>
  <c r="H884" i="1"/>
  <c r="C884" i="1"/>
  <c r="O883" i="1"/>
  <c r="C883" i="1"/>
  <c r="O882" i="1"/>
  <c r="H882" i="1"/>
  <c r="C882" i="1"/>
  <c r="O881" i="1"/>
  <c r="C881" i="1"/>
  <c r="O880" i="1"/>
  <c r="C880" i="1"/>
  <c r="O879" i="1"/>
  <c r="C879" i="1"/>
  <c r="O878" i="1"/>
  <c r="C878" i="1"/>
  <c r="O877" i="1"/>
  <c r="C877" i="1"/>
  <c r="O876" i="1"/>
  <c r="H876" i="1"/>
  <c r="C876" i="1"/>
  <c r="O875" i="1"/>
  <c r="C875" i="1"/>
  <c r="O874" i="1"/>
  <c r="C874" i="1"/>
  <c r="O873" i="1"/>
  <c r="H873" i="1"/>
  <c r="C873" i="1"/>
  <c r="O872" i="1"/>
  <c r="C872" i="1"/>
  <c r="O871" i="1"/>
  <c r="C871" i="1"/>
  <c r="O870" i="1"/>
  <c r="H870" i="1"/>
  <c r="C870" i="1"/>
  <c r="O869" i="1"/>
  <c r="C869" i="1"/>
  <c r="O868" i="1"/>
  <c r="H868" i="1"/>
  <c r="C868" i="1"/>
  <c r="O867" i="1"/>
  <c r="C867" i="1"/>
  <c r="O866" i="1"/>
  <c r="C866" i="1"/>
  <c r="O865" i="1"/>
  <c r="C865" i="1"/>
  <c r="O864" i="1"/>
  <c r="C864" i="1"/>
  <c r="O863" i="1"/>
  <c r="C863" i="1"/>
  <c r="O862" i="1"/>
  <c r="C862" i="1"/>
  <c r="O861" i="1"/>
  <c r="C861" i="1"/>
  <c r="O860" i="1"/>
  <c r="C860" i="1"/>
  <c r="O859" i="1"/>
  <c r="C859" i="1"/>
  <c r="O858" i="1"/>
  <c r="H858" i="1"/>
  <c r="C858" i="1"/>
  <c r="O857" i="1"/>
  <c r="C857" i="1"/>
  <c r="O856" i="1"/>
  <c r="C856" i="1"/>
  <c r="O855" i="1"/>
  <c r="H855" i="1"/>
  <c r="C855" i="1"/>
  <c r="O854" i="1"/>
  <c r="C854" i="1"/>
  <c r="O853" i="1"/>
  <c r="H853" i="1"/>
  <c r="C853" i="1"/>
  <c r="O852" i="1"/>
  <c r="H852" i="1"/>
  <c r="C852" i="1"/>
  <c r="O851" i="1"/>
  <c r="H851" i="1"/>
  <c r="C851" i="1"/>
  <c r="O850" i="1"/>
  <c r="C850" i="1"/>
  <c r="O849" i="1"/>
  <c r="C849" i="1"/>
  <c r="O848" i="1"/>
  <c r="C848" i="1"/>
  <c r="O847" i="1"/>
  <c r="C847" i="1"/>
  <c r="O846" i="1"/>
  <c r="C846" i="1"/>
  <c r="O845" i="1"/>
  <c r="H845" i="1"/>
  <c r="C845" i="1"/>
  <c r="O844" i="1"/>
  <c r="C844" i="1"/>
  <c r="O843" i="1"/>
  <c r="C843" i="1"/>
  <c r="O842" i="1"/>
  <c r="H842" i="1"/>
  <c r="C842" i="1"/>
  <c r="O841" i="1"/>
  <c r="H841" i="1"/>
  <c r="C841" i="1"/>
  <c r="O840" i="1"/>
  <c r="C840" i="1"/>
  <c r="O839" i="1"/>
  <c r="C839" i="1"/>
  <c r="O838" i="1"/>
  <c r="H838" i="1"/>
  <c r="C838" i="1"/>
  <c r="O837" i="1"/>
  <c r="C837" i="1"/>
  <c r="O836" i="1"/>
  <c r="C836" i="1"/>
  <c r="O835" i="1"/>
  <c r="C835" i="1"/>
  <c r="O834" i="1"/>
  <c r="H834" i="1"/>
  <c r="C834" i="1"/>
  <c r="O833" i="1"/>
  <c r="C833" i="1"/>
  <c r="O832" i="1"/>
  <c r="C832" i="1"/>
  <c r="O831" i="1"/>
  <c r="C831" i="1"/>
  <c r="O830" i="1"/>
  <c r="C830" i="1"/>
  <c r="O829" i="1"/>
  <c r="C829" i="1"/>
  <c r="O828" i="1"/>
  <c r="C828" i="1"/>
  <c r="O827" i="1"/>
  <c r="C827" i="1"/>
  <c r="O826" i="1"/>
  <c r="C826" i="1"/>
  <c r="O825" i="1"/>
  <c r="H825" i="1"/>
  <c r="C825" i="1"/>
  <c r="O824" i="1"/>
  <c r="C824" i="1"/>
  <c r="O823" i="1"/>
  <c r="C823" i="1"/>
  <c r="O822" i="1"/>
  <c r="C822" i="1"/>
  <c r="O821" i="1"/>
  <c r="C821" i="1"/>
  <c r="O820" i="1"/>
  <c r="C820" i="1"/>
  <c r="O819" i="1"/>
  <c r="C819" i="1"/>
  <c r="O818" i="1"/>
  <c r="C818" i="1"/>
  <c r="O817" i="1"/>
  <c r="H817" i="1"/>
  <c r="C817" i="1"/>
  <c r="O816" i="1"/>
  <c r="C816" i="1"/>
  <c r="O815" i="1"/>
  <c r="C815" i="1"/>
  <c r="O814" i="1"/>
  <c r="C814" i="1"/>
  <c r="O813" i="1"/>
  <c r="C813" i="1"/>
  <c r="O812" i="1"/>
  <c r="C812" i="1"/>
  <c r="O811" i="1"/>
  <c r="H811" i="1"/>
  <c r="C811" i="1"/>
  <c r="O810" i="1"/>
  <c r="H810" i="1"/>
  <c r="C810" i="1"/>
  <c r="O809" i="1"/>
  <c r="C809" i="1"/>
  <c r="O808" i="1"/>
  <c r="C808" i="1"/>
  <c r="O807" i="1"/>
  <c r="C807" i="1"/>
  <c r="O806" i="1"/>
  <c r="C806" i="1"/>
  <c r="O805" i="1"/>
  <c r="C805" i="1"/>
  <c r="O804" i="1"/>
  <c r="C804" i="1"/>
  <c r="O803" i="1"/>
  <c r="C803" i="1"/>
  <c r="O802" i="1"/>
  <c r="C802" i="1"/>
  <c r="O801" i="1"/>
  <c r="C801" i="1"/>
  <c r="O800" i="1"/>
  <c r="C800" i="1"/>
  <c r="O799" i="1"/>
  <c r="C799" i="1"/>
  <c r="O798" i="1"/>
  <c r="C798" i="1"/>
  <c r="O797" i="1"/>
  <c r="C797" i="1"/>
  <c r="O796" i="1"/>
  <c r="C796" i="1"/>
  <c r="O795" i="1"/>
  <c r="H795" i="1"/>
  <c r="C795" i="1"/>
  <c r="O794" i="1"/>
  <c r="C794" i="1"/>
  <c r="O793" i="1"/>
  <c r="H793" i="1"/>
  <c r="C793" i="1"/>
  <c r="O792" i="1"/>
  <c r="H792" i="1"/>
  <c r="C792" i="1"/>
  <c r="O791" i="1"/>
  <c r="H791" i="1"/>
  <c r="C791" i="1"/>
  <c r="O790" i="1"/>
  <c r="C790" i="1"/>
  <c r="O789" i="1"/>
  <c r="C789" i="1"/>
  <c r="O788" i="1"/>
  <c r="H788" i="1"/>
  <c r="C788" i="1"/>
  <c r="O787" i="1"/>
  <c r="C787" i="1"/>
  <c r="O786" i="1"/>
  <c r="C786" i="1"/>
  <c r="O785" i="1"/>
  <c r="C785" i="1"/>
  <c r="O784" i="1"/>
  <c r="H784" i="1"/>
  <c r="C784" i="1"/>
  <c r="O783" i="1"/>
  <c r="C783" i="1"/>
  <c r="O782" i="1"/>
  <c r="C782" i="1"/>
  <c r="O781" i="1"/>
  <c r="C781" i="1"/>
  <c r="O780" i="1"/>
  <c r="C780" i="1"/>
  <c r="O779" i="1"/>
  <c r="C779" i="1"/>
  <c r="O778" i="1"/>
  <c r="C778" i="1"/>
  <c r="O777" i="1"/>
  <c r="C777" i="1"/>
  <c r="O776" i="1"/>
  <c r="C776" i="1"/>
  <c r="O775" i="1"/>
  <c r="H775" i="1"/>
  <c r="C775" i="1"/>
  <c r="O774" i="1"/>
  <c r="C774" i="1"/>
  <c r="O773" i="1"/>
  <c r="H773" i="1"/>
  <c r="C773" i="1"/>
  <c r="O772" i="1"/>
  <c r="C772" i="1"/>
  <c r="O771" i="1"/>
  <c r="C771" i="1"/>
  <c r="O770" i="1"/>
  <c r="C770" i="1"/>
  <c r="O769" i="1"/>
  <c r="C769" i="1"/>
  <c r="O768" i="1"/>
  <c r="H768" i="1"/>
  <c r="C768" i="1"/>
  <c r="O767" i="1"/>
  <c r="C767" i="1"/>
  <c r="O766" i="1"/>
  <c r="C766" i="1"/>
  <c r="O765" i="1"/>
  <c r="C765" i="1"/>
  <c r="O764" i="1"/>
  <c r="C764" i="1"/>
  <c r="O763" i="1"/>
  <c r="C763" i="1"/>
  <c r="O762" i="1"/>
  <c r="C762" i="1"/>
  <c r="O761" i="1"/>
  <c r="H761" i="1"/>
  <c r="C761" i="1"/>
  <c r="O760" i="1"/>
  <c r="H760" i="1"/>
  <c r="C760" i="1"/>
  <c r="O759" i="1"/>
  <c r="C759" i="1"/>
  <c r="O758" i="1"/>
  <c r="C758" i="1"/>
  <c r="O757" i="1"/>
  <c r="C757" i="1"/>
  <c r="O756" i="1"/>
  <c r="H756" i="1"/>
  <c r="C756" i="1"/>
  <c r="O755" i="1"/>
  <c r="C755" i="1"/>
  <c r="O754" i="1"/>
  <c r="C754" i="1"/>
  <c r="O753" i="1"/>
  <c r="C753" i="1"/>
  <c r="O752" i="1"/>
  <c r="C752" i="1"/>
  <c r="O751" i="1"/>
  <c r="C751" i="1"/>
  <c r="O750" i="1"/>
  <c r="C750" i="1"/>
  <c r="O749" i="1"/>
  <c r="C749" i="1"/>
  <c r="O748" i="1"/>
  <c r="C748" i="1"/>
  <c r="O747" i="1"/>
  <c r="C747" i="1"/>
  <c r="O746" i="1"/>
  <c r="C746" i="1"/>
  <c r="O745" i="1"/>
  <c r="C745" i="1"/>
  <c r="O744" i="1"/>
  <c r="H744" i="1"/>
  <c r="C744" i="1"/>
  <c r="O743" i="1"/>
  <c r="C743" i="1"/>
  <c r="O742" i="1"/>
  <c r="H742" i="1"/>
  <c r="C742" i="1"/>
  <c r="O741" i="1"/>
  <c r="C741" i="1"/>
  <c r="O740" i="1"/>
  <c r="C740" i="1"/>
  <c r="O739" i="1"/>
  <c r="C739" i="1"/>
  <c r="O738" i="1"/>
  <c r="H738" i="1"/>
  <c r="C738" i="1"/>
  <c r="O737" i="1"/>
  <c r="C737" i="1"/>
  <c r="O736" i="1"/>
  <c r="C736" i="1"/>
  <c r="O735" i="1"/>
  <c r="C735" i="1"/>
  <c r="O734" i="1"/>
  <c r="C734" i="1"/>
  <c r="O733" i="1"/>
  <c r="C733" i="1"/>
  <c r="O732" i="1"/>
  <c r="C732" i="1"/>
  <c r="O731" i="1"/>
  <c r="C731" i="1"/>
  <c r="O730" i="1"/>
  <c r="C730" i="1"/>
  <c r="O729" i="1"/>
  <c r="H729" i="1"/>
  <c r="C729" i="1"/>
  <c r="O728" i="1"/>
  <c r="H728" i="1"/>
  <c r="C728" i="1"/>
  <c r="O727" i="1"/>
  <c r="H727" i="1"/>
  <c r="C727" i="1"/>
  <c r="O726" i="1"/>
  <c r="C726" i="1"/>
  <c r="O725" i="1"/>
  <c r="C725" i="1"/>
  <c r="O724" i="1"/>
  <c r="C724" i="1"/>
  <c r="O723" i="1"/>
  <c r="C723" i="1"/>
  <c r="O722" i="1"/>
  <c r="H722" i="1"/>
  <c r="C722" i="1"/>
  <c r="O721" i="1"/>
  <c r="H721" i="1"/>
  <c r="C721" i="1"/>
  <c r="O720" i="1"/>
  <c r="C720" i="1"/>
  <c r="O719" i="1"/>
  <c r="C719" i="1"/>
  <c r="O718" i="1"/>
  <c r="C718" i="1"/>
  <c r="O717" i="1"/>
  <c r="C717" i="1"/>
  <c r="O716" i="1"/>
  <c r="C716" i="1"/>
  <c r="O715" i="1"/>
  <c r="C715" i="1"/>
  <c r="O714" i="1"/>
  <c r="C714" i="1"/>
  <c r="O713" i="1"/>
  <c r="C713" i="1"/>
  <c r="O712" i="1"/>
  <c r="C712" i="1"/>
  <c r="O711" i="1"/>
  <c r="C711" i="1"/>
  <c r="O710" i="1"/>
  <c r="H710" i="1"/>
  <c r="C710" i="1"/>
  <c r="O709" i="1"/>
  <c r="C709" i="1"/>
  <c r="O708" i="1"/>
  <c r="C708" i="1"/>
  <c r="O707" i="1"/>
  <c r="H707" i="1"/>
  <c r="C707" i="1"/>
  <c r="O706" i="1"/>
  <c r="C706" i="1"/>
  <c r="O705" i="1"/>
  <c r="C705" i="1"/>
  <c r="O704" i="1"/>
  <c r="C704" i="1"/>
  <c r="O703" i="1"/>
  <c r="H703" i="1"/>
  <c r="C703" i="1"/>
  <c r="O702" i="1"/>
  <c r="C702" i="1"/>
  <c r="O701" i="1"/>
  <c r="C701" i="1"/>
  <c r="O700" i="1"/>
  <c r="C700" i="1"/>
  <c r="O699" i="1"/>
  <c r="C699" i="1"/>
  <c r="O698" i="1"/>
  <c r="C698" i="1"/>
  <c r="O697" i="1"/>
  <c r="C697" i="1"/>
  <c r="O696" i="1"/>
  <c r="C696" i="1"/>
  <c r="O695" i="1"/>
  <c r="C695" i="1"/>
  <c r="O694" i="1"/>
  <c r="C694" i="1"/>
  <c r="O693" i="1"/>
  <c r="C693" i="1"/>
  <c r="O692" i="1"/>
  <c r="C692" i="1"/>
  <c r="O691" i="1"/>
  <c r="C691" i="1"/>
  <c r="O690" i="1"/>
  <c r="C690" i="1"/>
  <c r="O689" i="1"/>
  <c r="C689" i="1"/>
  <c r="O688" i="1"/>
  <c r="C688" i="1"/>
  <c r="O687" i="1"/>
  <c r="H687" i="1"/>
  <c r="C687" i="1"/>
  <c r="O686" i="1"/>
  <c r="C686" i="1"/>
  <c r="O685" i="1"/>
  <c r="C685" i="1"/>
  <c r="O684" i="1"/>
  <c r="C684" i="1"/>
  <c r="O683" i="1"/>
  <c r="C683" i="1"/>
  <c r="O682" i="1"/>
  <c r="C682" i="1"/>
  <c r="O681" i="1"/>
  <c r="C681" i="1"/>
  <c r="O680" i="1"/>
  <c r="C680" i="1"/>
  <c r="O679" i="1"/>
  <c r="C679" i="1"/>
  <c r="O678" i="1"/>
  <c r="C678" i="1"/>
  <c r="O677" i="1"/>
  <c r="H677" i="1"/>
  <c r="C677" i="1"/>
  <c r="O676" i="1"/>
  <c r="H676" i="1"/>
  <c r="C676" i="1"/>
  <c r="O675" i="1"/>
  <c r="C675" i="1"/>
  <c r="O674" i="1"/>
  <c r="C674" i="1"/>
  <c r="O673" i="1"/>
  <c r="C673" i="1"/>
  <c r="O672" i="1"/>
  <c r="H672" i="1"/>
  <c r="C672" i="1"/>
  <c r="O671" i="1"/>
  <c r="H671" i="1"/>
  <c r="C671" i="1"/>
  <c r="O670" i="1"/>
  <c r="C670" i="1"/>
  <c r="O669" i="1"/>
  <c r="C669" i="1"/>
  <c r="O668" i="1"/>
  <c r="C668" i="1"/>
  <c r="O667" i="1"/>
  <c r="C667" i="1"/>
  <c r="O666" i="1"/>
  <c r="C666" i="1"/>
  <c r="O665" i="1"/>
  <c r="C665" i="1"/>
  <c r="O664" i="1"/>
  <c r="C664" i="1"/>
  <c r="O663" i="1"/>
  <c r="C663" i="1"/>
  <c r="O662" i="1"/>
  <c r="H662" i="1"/>
  <c r="C662" i="1"/>
  <c r="O661" i="1"/>
  <c r="H661" i="1"/>
  <c r="C661" i="1"/>
  <c r="O660" i="1"/>
  <c r="C660" i="1"/>
  <c r="O659" i="1"/>
  <c r="C659" i="1"/>
  <c r="O658" i="1"/>
  <c r="H658" i="1"/>
  <c r="C658" i="1"/>
  <c r="O657" i="1"/>
  <c r="C657" i="1"/>
  <c r="O656" i="1"/>
  <c r="C656" i="1"/>
  <c r="O655" i="1"/>
  <c r="C655" i="1"/>
  <c r="O654" i="1"/>
  <c r="C654" i="1"/>
  <c r="O653" i="1"/>
  <c r="H653" i="1"/>
  <c r="C653" i="1"/>
  <c r="O652" i="1"/>
  <c r="C652" i="1"/>
  <c r="O651" i="1"/>
  <c r="C651" i="1"/>
  <c r="O650" i="1"/>
  <c r="C650" i="1"/>
  <c r="O649" i="1"/>
  <c r="C649" i="1"/>
  <c r="O648" i="1"/>
  <c r="C648" i="1"/>
  <c r="O647" i="1"/>
  <c r="C647" i="1"/>
  <c r="O646" i="1"/>
  <c r="C646" i="1"/>
  <c r="O645" i="1"/>
  <c r="C645" i="1"/>
  <c r="O644" i="1"/>
  <c r="C644" i="1"/>
  <c r="O643" i="1"/>
  <c r="C643" i="1"/>
  <c r="O642" i="1"/>
  <c r="C642" i="1"/>
  <c r="O641" i="1"/>
  <c r="C641" i="1"/>
  <c r="O640" i="1"/>
  <c r="C640" i="1"/>
  <c r="O639" i="1"/>
  <c r="C639" i="1"/>
  <c r="O638" i="1"/>
  <c r="C638" i="1"/>
  <c r="O637" i="1"/>
  <c r="C637" i="1"/>
  <c r="O636" i="1"/>
  <c r="C636" i="1"/>
  <c r="O635" i="1"/>
  <c r="C635" i="1"/>
  <c r="O634" i="1"/>
  <c r="C634" i="1"/>
  <c r="O633" i="1"/>
  <c r="C633" i="1"/>
  <c r="O632" i="1"/>
  <c r="C632" i="1"/>
  <c r="O631" i="1"/>
  <c r="C631" i="1"/>
  <c r="O630" i="1"/>
  <c r="C630" i="1"/>
  <c r="O629" i="1"/>
  <c r="H629" i="1"/>
  <c r="C629" i="1"/>
  <c r="O628" i="1"/>
  <c r="C628" i="1"/>
  <c r="O627" i="1"/>
  <c r="H627" i="1"/>
  <c r="C627" i="1"/>
  <c r="O626" i="1"/>
  <c r="C626" i="1"/>
  <c r="O625" i="1"/>
  <c r="C625" i="1"/>
  <c r="O624" i="1"/>
  <c r="H624" i="1"/>
  <c r="C624" i="1"/>
  <c r="O623" i="1"/>
  <c r="C623" i="1"/>
  <c r="O622" i="1"/>
  <c r="C622" i="1"/>
  <c r="O621" i="1"/>
  <c r="H621" i="1"/>
  <c r="C621" i="1"/>
  <c r="O620" i="1"/>
  <c r="H620" i="1"/>
  <c r="C620" i="1"/>
  <c r="O619" i="1"/>
  <c r="C619" i="1"/>
  <c r="O618" i="1"/>
  <c r="C618" i="1"/>
  <c r="O617" i="1"/>
  <c r="C617" i="1"/>
  <c r="O616" i="1"/>
  <c r="H616" i="1"/>
  <c r="C616" i="1"/>
  <c r="O615" i="1"/>
  <c r="C615" i="1"/>
  <c r="O614" i="1"/>
  <c r="C614" i="1"/>
  <c r="O613" i="1"/>
  <c r="H613" i="1"/>
  <c r="C613" i="1"/>
  <c r="O612" i="1"/>
  <c r="C612" i="1"/>
  <c r="O611" i="1"/>
  <c r="C611" i="1"/>
  <c r="O610" i="1"/>
  <c r="C610" i="1"/>
  <c r="O609" i="1"/>
  <c r="C609" i="1"/>
  <c r="O608" i="1"/>
  <c r="C608" i="1"/>
  <c r="O607" i="1"/>
  <c r="C607" i="1"/>
  <c r="O606" i="1"/>
  <c r="C606" i="1"/>
  <c r="O605" i="1"/>
  <c r="C605" i="1"/>
  <c r="O604" i="1"/>
  <c r="C604" i="1"/>
  <c r="O603" i="1"/>
  <c r="C603" i="1"/>
  <c r="O602" i="1"/>
  <c r="C602" i="1"/>
  <c r="O601" i="1"/>
  <c r="C601" i="1"/>
  <c r="O600" i="1"/>
  <c r="H600" i="1"/>
  <c r="C600" i="1"/>
  <c r="O599" i="1"/>
  <c r="H599" i="1"/>
  <c r="C599" i="1"/>
  <c r="O598" i="1"/>
  <c r="C598" i="1"/>
  <c r="O597" i="1"/>
  <c r="C597" i="1"/>
  <c r="O596" i="1"/>
  <c r="C596" i="1"/>
  <c r="O595" i="1"/>
  <c r="C595" i="1"/>
  <c r="O594" i="1"/>
  <c r="C594" i="1"/>
  <c r="O593" i="1"/>
  <c r="C593" i="1"/>
  <c r="O592" i="1"/>
  <c r="C592" i="1"/>
  <c r="O591" i="1"/>
  <c r="H591" i="1"/>
  <c r="C591" i="1"/>
  <c r="O590" i="1"/>
  <c r="C590" i="1"/>
  <c r="O589" i="1"/>
  <c r="C589" i="1"/>
  <c r="O588" i="1"/>
  <c r="C588" i="1"/>
  <c r="O587" i="1"/>
  <c r="C587" i="1"/>
  <c r="O586" i="1"/>
  <c r="H586" i="1"/>
  <c r="C586" i="1"/>
  <c r="O585" i="1"/>
  <c r="H585" i="1"/>
  <c r="C585" i="1"/>
  <c r="O584" i="1"/>
  <c r="C584" i="1"/>
  <c r="O583" i="1"/>
  <c r="H583" i="1"/>
  <c r="C583" i="1"/>
  <c r="O582" i="1"/>
  <c r="C582" i="1"/>
  <c r="O581" i="1"/>
  <c r="C581" i="1"/>
  <c r="O580" i="1"/>
  <c r="C580" i="1"/>
  <c r="O579" i="1"/>
  <c r="H579" i="1"/>
  <c r="C579" i="1"/>
  <c r="O578" i="1"/>
  <c r="C578" i="1"/>
  <c r="O577" i="1"/>
  <c r="C577" i="1"/>
  <c r="O576" i="1"/>
  <c r="H576" i="1"/>
  <c r="C576" i="1"/>
  <c r="O575" i="1"/>
  <c r="C575" i="1"/>
  <c r="O574" i="1"/>
  <c r="C574" i="1"/>
  <c r="O573" i="1"/>
  <c r="C573" i="1"/>
  <c r="O572" i="1"/>
  <c r="H572" i="1"/>
  <c r="C572" i="1"/>
  <c r="O571" i="1"/>
  <c r="C571" i="1"/>
  <c r="O570" i="1"/>
  <c r="C570" i="1"/>
  <c r="O569" i="1"/>
  <c r="C569" i="1"/>
  <c r="O568" i="1"/>
  <c r="H568" i="1"/>
  <c r="C568" i="1"/>
  <c r="O567" i="1"/>
  <c r="H567" i="1"/>
  <c r="C567" i="1"/>
  <c r="O566" i="1"/>
  <c r="C566" i="1"/>
  <c r="O565" i="1"/>
  <c r="C565" i="1"/>
  <c r="O564" i="1"/>
  <c r="C564" i="1"/>
  <c r="O563" i="1"/>
  <c r="H563" i="1"/>
  <c r="C563" i="1"/>
  <c r="O562" i="1"/>
  <c r="H562" i="1"/>
  <c r="C562" i="1"/>
  <c r="O561" i="1"/>
  <c r="H561" i="1"/>
  <c r="C561" i="1"/>
  <c r="O560" i="1"/>
  <c r="H560" i="1"/>
  <c r="C560" i="1"/>
  <c r="O559" i="1"/>
  <c r="H559" i="1"/>
  <c r="C559" i="1"/>
  <c r="O558" i="1"/>
  <c r="H558" i="1"/>
  <c r="C558" i="1"/>
  <c r="O557" i="1"/>
  <c r="H557" i="1"/>
  <c r="C557" i="1"/>
  <c r="O556" i="1"/>
  <c r="H556" i="1"/>
  <c r="C556" i="1"/>
  <c r="O555" i="1"/>
  <c r="H555" i="1"/>
  <c r="C555" i="1"/>
  <c r="O554" i="1"/>
  <c r="H554" i="1"/>
  <c r="C554" i="1"/>
  <c r="O553" i="1"/>
  <c r="C553" i="1"/>
  <c r="O552" i="1"/>
  <c r="C552" i="1"/>
  <c r="O551" i="1"/>
  <c r="C551" i="1"/>
  <c r="O550" i="1"/>
  <c r="C550" i="1"/>
  <c r="O549" i="1"/>
  <c r="C549" i="1"/>
  <c r="O548" i="1"/>
  <c r="C548" i="1"/>
  <c r="O547" i="1"/>
  <c r="H547" i="1"/>
  <c r="C547" i="1"/>
  <c r="O546" i="1"/>
  <c r="H546" i="1"/>
  <c r="C546" i="1"/>
  <c r="O545" i="1"/>
  <c r="H545" i="1"/>
  <c r="C545" i="1"/>
  <c r="O544" i="1"/>
  <c r="C544" i="1"/>
  <c r="O543" i="1"/>
  <c r="C543" i="1"/>
  <c r="O542" i="1"/>
  <c r="C542" i="1"/>
  <c r="O541" i="1"/>
  <c r="C541" i="1"/>
  <c r="O540" i="1"/>
  <c r="C540" i="1"/>
  <c r="O539" i="1"/>
  <c r="C539" i="1"/>
  <c r="O538" i="1"/>
  <c r="C538" i="1"/>
  <c r="O537" i="1"/>
  <c r="H537" i="1"/>
  <c r="C537" i="1"/>
  <c r="O536" i="1"/>
  <c r="C536" i="1"/>
  <c r="O535" i="1"/>
  <c r="C535" i="1"/>
  <c r="O534" i="1"/>
  <c r="H534" i="1"/>
  <c r="C534" i="1"/>
  <c r="O533" i="1"/>
  <c r="C533" i="1"/>
  <c r="O532" i="1"/>
  <c r="C532" i="1"/>
  <c r="O531" i="1"/>
  <c r="C531" i="1"/>
  <c r="O530" i="1"/>
  <c r="C530" i="1"/>
  <c r="O529" i="1"/>
  <c r="C529" i="1"/>
  <c r="O528" i="1"/>
  <c r="C528" i="1"/>
  <c r="O527" i="1"/>
  <c r="C527" i="1"/>
  <c r="O526" i="1"/>
  <c r="C526" i="1"/>
  <c r="O525" i="1"/>
  <c r="C525" i="1"/>
  <c r="O524" i="1"/>
  <c r="H524" i="1"/>
  <c r="C524" i="1"/>
  <c r="O523" i="1"/>
  <c r="H523" i="1"/>
  <c r="C523" i="1"/>
  <c r="O522" i="1"/>
  <c r="C522" i="1"/>
  <c r="O521" i="1"/>
  <c r="C521" i="1"/>
  <c r="O520" i="1"/>
  <c r="C520" i="1"/>
  <c r="O519" i="1"/>
  <c r="C519" i="1"/>
  <c r="O518" i="1"/>
  <c r="C518" i="1"/>
  <c r="O517" i="1"/>
  <c r="C517" i="1"/>
  <c r="O516" i="1"/>
  <c r="H516" i="1"/>
  <c r="C516" i="1"/>
  <c r="O515" i="1"/>
  <c r="C515" i="1"/>
  <c r="O514" i="1"/>
  <c r="C514" i="1"/>
  <c r="O513" i="1"/>
  <c r="C513" i="1"/>
  <c r="O512" i="1"/>
  <c r="C512" i="1"/>
  <c r="O511" i="1"/>
  <c r="H511" i="1"/>
  <c r="C511" i="1"/>
  <c r="O510" i="1"/>
  <c r="H510" i="1"/>
  <c r="C510" i="1"/>
  <c r="O509" i="1"/>
  <c r="C509" i="1"/>
  <c r="O508" i="1"/>
  <c r="C508" i="1"/>
  <c r="O507" i="1"/>
  <c r="C507" i="1"/>
  <c r="O506" i="1"/>
  <c r="C506" i="1"/>
  <c r="O505" i="1"/>
  <c r="C505" i="1"/>
  <c r="O504" i="1"/>
  <c r="H504" i="1"/>
  <c r="C504" i="1"/>
  <c r="O503" i="1"/>
  <c r="C503" i="1"/>
  <c r="O502" i="1"/>
  <c r="H502" i="1"/>
  <c r="C502" i="1"/>
  <c r="O501" i="1"/>
  <c r="C501" i="1"/>
  <c r="O500" i="1"/>
  <c r="H500" i="1"/>
  <c r="C500" i="1"/>
  <c r="O499" i="1"/>
  <c r="C499" i="1"/>
  <c r="O498" i="1"/>
  <c r="C498" i="1"/>
  <c r="O497" i="1"/>
  <c r="H497" i="1"/>
  <c r="C497" i="1"/>
  <c r="O496" i="1"/>
  <c r="C496" i="1"/>
  <c r="O495" i="1"/>
  <c r="C495" i="1"/>
  <c r="O494" i="1"/>
  <c r="H494" i="1"/>
  <c r="C494" i="1"/>
  <c r="O493" i="1"/>
  <c r="H493" i="1"/>
  <c r="C493" i="1"/>
  <c r="O492" i="1"/>
  <c r="C492" i="1"/>
  <c r="O491" i="1"/>
  <c r="C491" i="1"/>
  <c r="O490" i="1"/>
  <c r="C490" i="1"/>
  <c r="O489" i="1"/>
  <c r="C489" i="1"/>
  <c r="O488" i="1"/>
  <c r="C488" i="1"/>
  <c r="O487" i="1"/>
  <c r="C487" i="1"/>
  <c r="O486" i="1"/>
  <c r="C486" i="1"/>
  <c r="O485" i="1"/>
  <c r="C485" i="1"/>
  <c r="O484" i="1"/>
  <c r="C484" i="1"/>
  <c r="O483" i="1"/>
  <c r="C483" i="1"/>
  <c r="O482" i="1"/>
  <c r="H482" i="1"/>
  <c r="C482" i="1"/>
  <c r="O481" i="1"/>
  <c r="C481" i="1"/>
  <c r="O480" i="1"/>
  <c r="C480" i="1"/>
  <c r="O479" i="1"/>
  <c r="C479" i="1"/>
  <c r="O478" i="1"/>
  <c r="H478" i="1"/>
  <c r="C478" i="1"/>
  <c r="O477" i="1"/>
  <c r="C477" i="1"/>
  <c r="O476" i="1"/>
  <c r="C476" i="1"/>
  <c r="O475" i="1"/>
  <c r="C475" i="1"/>
  <c r="O474" i="1"/>
  <c r="C474" i="1"/>
  <c r="O473" i="1"/>
  <c r="C473" i="1"/>
  <c r="O472" i="1"/>
  <c r="C472" i="1"/>
  <c r="O471" i="1"/>
  <c r="C471" i="1"/>
  <c r="O470" i="1"/>
  <c r="H470" i="1"/>
  <c r="C470" i="1"/>
  <c r="O469" i="1"/>
  <c r="C469" i="1"/>
  <c r="O468" i="1"/>
  <c r="H468" i="1"/>
  <c r="C468" i="1"/>
  <c r="O467" i="1"/>
  <c r="H467" i="1"/>
  <c r="C467" i="1"/>
  <c r="O466" i="1"/>
  <c r="C466" i="1"/>
  <c r="O465" i="1"/>
  <c r="C465" i="1"/>
  <c r="O464" i="1"/>
  <c r="C464" i="1"/>
  <c r="O463" i="1"/>
  <c r="C463" i="1"/>
  <c r="O462" i="1"/>
  <c r="C462" i="1"/>
  <c r="O461" i="1"/>
  <c r="C461" i="1"/>
  <c r="O460" i="1"/>
  <c r="C460" i="1"/>
  <c r="O459" i="1"/>
  <c r="C459" i="1"/>
  <c r="O458" i="1"/>
  <c r="C458" i="1"/>
  <c r="O457" i="1"/>
  <c r="C457" i="1"/>
  <c r="O456" i="1"/>
  <c r="C456" i="1"/>
  <c r="O455" i="1"/>
  <c r="C455" i="1"/>
  <c r="O454" i="1"/>
  <c r="C454" i="1"/>
  <c r="O453" i="1"/>
  <c r="C453" i="1"/>
  <c r="O452" i="1"/>
  <c r="H452" i="1"/>
  <c r="C452" i="1"/>
  <c r="O451" i="1"/>
  <c r="C451" i="1"/>
  <c r="O450" i="1"/>
  <c r="C450" i="1"/>
  <c r="O449" i="1"/>
  <c r="C449" i="1"/>
  <c r="O448" i="1"/>
  <c r="C448" i="1"/>
  <c r="O447" i="1"/>
  <c r="C447" i="1"/>
  <c r="O446" i="1"/>
  <c r="C446" i="1"/>
  <c r="O445" i="1"/>
  <c r="C445" i="1"/>
  <c r="O444" i="1"/>
  <c r="C444" i="1"/>
  <c r="O443" i="1"/>
  <c r="C443" i="1"/>
  <c r="O442" i="1"/>
  <c r="C442" i="1"/>
  <c r="O441" i="1"/>
  <c r="C441" i="1"/>
  <c r="O440" i="1"/>
  <c r="C440" i="1"/>
  <c r="O439" i="1"/>
  <c r="C439" i="1"/>
  <c r="O438" i="1"/>
  <c r="C438" i="1"/>
  <c r="O437" i="1"/>
  <c r="H437" i="1"/>
  <c r="C437" i="1"/>
  <c r="O436" i="1"/>
  <c r="C436" i="1"/>
  <c r="O435" i="1"/>
  <c r="C435" i="1"/>
  <c r="O434" i="1"/>
  <c r="C434" i="1"/>
  <c r="O433" i="1"/>
  <c r="C433" i="1"/>
  <c r="O432" i="1"/>
  <c r="C432" i="1"/>
  <c r="O431" i="1"/>
  <c r="C431" i="1"/>
  <c r="O430" i="1"/>
  <c r="H430" i="1"/>
  <c r="C430" i="1"/>
  <c r="O429" i="1"/>
  <c r="C429" i="1"/>
  <c r="O428" i="1"/>
  <c r="H428" i="1"/>
  <c r="C428" i="1"/>
  <c r="O427" i="1"/>
  <c r="C427" i="1"/>
  <c r="O426" i="1"/>
  <c r="C426" i="1"/>
  <c r="O425" i="1"/>
  <c r="H425" i="1"/>
  <c r="C425" i="1"/>
  <c r="O424" i="1"/>
  <c r="C424" i="1"/>
  <c r="O423" i="1"/>
  <c r="C423" i="1"/>
  <c r="O422" i="1"/>
  <c r="C422" i="1"/>
  <c r="O421" i="1"/>
  <c r="C421" i="1"/>
  <c r="O420" i="1"/>
  <c r="C420" i="1"/>
  <c r="O419" i="1"/>
  <c r="H419" i="1"/>
  <c r="C419" i="1"/>
  <c r="O418" i="1"/>
  <c r="C418" i="1"/>
  <c r="O417" i="1"/>
  <c r="C417" i="1"/>
  <c r="O416" i="1"/>
  <c r="C416" i="1"/>
  <c r="O415" i="1"/>
  <c r="C415" i="1"/>
  <c r="O414" i="1"/>
  <c r="C414" i="1"/>
  <c r="O413" i="1"/>
  <c r="C413" i="1"/>
  <c r="O412" i="1"/>
  <c r="C412" i="1"/>
  <c r="O411" i="1"/>
  <c r="C411" i="1"/>
  <c r="O410" i="1"/>
  <c r="C410" i="1"/>
  <c r="O409" i="1"/>
  <c r="C409" i="1"/>
  <c r="O408" i="1"/>
  <c r="C408" i="1"/>
  <c r="O407" i="1"/>
  <c r="H407" i="1"/>
  <c r="C407" i="1"/>
  <c r="O406" i="1"/>
  <c r="C406" i="1"/>
  <c r="O405" i="1"/>
  <c r="C405" i="1"/>
  <c r="O404" i="1"/>
  <c r="C404" i="1"/>
  <c r="O403" i="1"/>
  <c r="C403" i="1"/>
  <c r="O402" i="1"/>
  <c r="C402" i="1"/>
  <c r="O401" i="1"/>
  <c r="C401" i="1"/>
  <c r="O400" i="1"/>
  <c r="C400" i="1"/>
  <c r="O399" i="1"/>
  <c r="C399" i="1"/>
  <c r="O398" i="1"/>
  <c r="C398" i="1"/>
  <c r="O397" i="1"/>
  <c r="C397" i="1"/>
  <c r="O396" i="1"/>
  <c r="C396" i="1"/>
  <c r="O395" i="1"/>
  <c r="H395" i="1"/>
  <c r="C395" i="1"/>
  <c r="O394" i="1"/>
  <c r="C394" i="1"/>
  <c r="O393" i="1"/>
  <c r="C393" i="1"/>
  <c r="O392" i="1"/>
  <c r="C392" i="1"/>
  <c r="O391" i="1"/>
  <c r="C391" i="1"/>
  <c r="O390" i="1"/>
  <c r="H390" i="1"/>
  <c r="C390" i="1"/>
  <c r="O389" i="1"/>
  <c r="C389" i="1"/>
  <c r="O388" i="1"/>
  <c r="C388" i="1"/>
  <c r="O387" i="1"/>
  <c r="H387" i="1"/>
  <c r="C387" i="1"/>
  <c r="O386" i="1"/>
  <c r="C386" i="1"/>
  <c r="O385" i="1"/>
  <c r="C385" i="1"/>
  <c r="O384" i="1"/>
  <c r="H384" i="1"/>
  <c r="C384" i="1"/>
  <c r="O383" i="1"/>
  <c r="C383" i="1"/>
  <c r="O382" i="1"/>
  <c r="C382" i="1"/>
  <c r="O381" i="1"/>
  <c r="C381" i="1"/>
  <c r="O380" i="1"/>
  <c r="C380" i="1"/>
  <c r="O379" i="1"/>
  <c r="C379" i="1"/>
  <c r="O378" i="1"/>
  <c r="C378" i="1"/>
  <c r="O377" i="1"/>
  <c r="C377" i="1"/>
  <c r="O376" i="1"/>
  <c r="C376" i="1"/>
  <c r="O375" i="1"/>
  <c r="C375" i="1"/>
  <c r="O374" i="1"/>
  <c r="C374" i="1"/>
  <c r="O373" i="1"/>
  <c r="H373" i="1"/>
  <c r="C373" i="1"/>
  <c r="O372" i="1"/>
  <c r="H372" i="1"/>
  <c r="C372" i="1"/>
  <c r="O371" i="1"/>
  <c r="C371" i="1"/>
  <c r="O370" i="1"/>
  <c r="C370" i="1"/>
  <c r="O369" i="1"/>
  <c r="C369" i="1"/>
  <c r="O368" i="1"/>
  <c r="C368" i="1"/>
  <c r="O367" i="1"/>
  <c r="C367" i="1"/>
  <c r="O366" i="1"/>
  <c r="H366" i="1"/>
  <c r="C366" i="1"/>
  <c r="O365" i="1"/>
  <c r="C365" i="1"/>
  <c r="O364" i="1"/>
  <c r="C364" i="1"/>
  <c r="O363" i="1"/>
  <c r="C363" i="1"/>
  <c r="O362" i="1"/>
  <c r="C362" i="1"/>
  <c r="O361" i="1"/>
  <c r="C361" i="1"/>
  <c r="O360" i="1"/>
  <c r="C360" i="1"/>
  <c r="O359" i="1"/>
  <c r="H359" i="1"/>
  <c r="C359" i="1"/>
  <c r="O358" i="1"/>
  <c r="C358" i="1"/>
  <c r="O357" i="1"/>
  <c r="H357" i="1"/>
  <c r="C357" i="1"/>
  <c r="O356" i="1"/>
  <c r="H356" i="1"/>
  <c r="C356" i="1"/>
  <c r="O355" i="1"/>
  <c r="C355" i="1"/>
  <c r="O354" i="1"/>
  <c r="C354" i="1"/>
  <c r="O353" i="1"/>
  <c r="H353" i="1"/>
  <c r="C353" i="1"/>
  <c r="O352" i="1"/>
  <c r="C352" i="1"/>
  <c r="O351" i="1"/>
  <c r="H351" i="1"/>
  <c r="C351" i="1"/>
  <c r="O350" i="1"/>
  <c r="C350" i="1"/>
  <c r="O349" i="1"/>
  <c r="C349" i="1"/>
  <c r="O348" i="1"/>
  <c r="C348" i="1"/>
  <c r="O347" i="1"/>
  <c r="C347" i="1"/>
  <c r="O346" i="1"/>
  <c r="C346" i="1"/>
  <c r="O345" i="1"/>
  <c r="C345" i="1"/>
  <c r="O344" i="1"/>
  <c r="C344" i="1"/>
  <c r="O343" i="1"/>
  <c r="H343" i="1"/>
  <c r="C343" i="1"/>
  <c r="O342" i="1"/>
  <c r="C342" i="1"/>
  <c r="O341" i="1"/>
  <c r="H341" i="1"/>
  <c r="C341" i="1"/>
  <c r="O340" i="1"/>
  <c r="C340" i="1"/>
  <c r="O339" i="1"/>
  <c r="C339" i="1"/>
  <c r="O338" i="1"/>
  <c r="C338" i="1"/>
  <c r="O337" i="1"/>
  <c r="H337" i="1"/>
  <c r="C337" i="1"/>
  <c r="O336" i="1"/>
  <c r="H336" i="1"/>
  <c r="C336" i="1"/>
  <c r="O335" i="1"/>
  <c r="H335" i="1"/>
  <c r="C335" i="1"/>
  <c r="O334" i="1"/>
  <c r="C334" i="1"/>
  <c r="O333" i="1"/>
  <c r="C333" i="1"/>
  <c r="O332" i="1"/>
  <c r="C332" i="1"/>
  <c r="O331" i="1"/>
  <c r="C331" i="1"/>
  <c r="O330" i="1"/>
  <c r="H330" i="1"/>
  <c r="C330" i="1"/>
  <c r="O329" i="1"/>
  <c r="H329" i="1"/>
  <c r="C329" i="1"/>
  <c r="O328" i="1"/>
  <c r="C328" i="1"/>
  <c r="O327" i="1"/>
  <c r="C327" i="1"/>
  <c r="O326" i="1"/>
  <c r="H326" i="1"/>
  <c r="C326" i="1"/>
  <c r="O325" i="1"/>
  <c r="C325" i="1"/>
  <c r="O324" i="1"/>
  <c r="C324" i="1"/>
  <c r="O323" i="1"/>
  <c r="C323" i="1"/>
  <c r="O322" i="1"/>
  <c r="C322" i="1"/>
  <c r="O321" i="1"/>
  <c r="H321" i="1"/>
  <c r="C321" i="1"/>
  <c r="O320" i="1"/>
  <c r="C320" i="1"/>
  <c r="O319" i="1"/>
  <c r="C319" i="1"/>
  <c r="O318" i="1"/>
  <c r="C318" i="1"/>
  <c r="O317" i="1"/>
  <c r="C317" i="1"/>
  <c r="O316" i="1"/>
  <c r="H316" i="1"/>
  <c r="C316" i="1"/>
  <c r="O315" i="1"/>
  <c r="H315" i="1"/>
  <c r="C315" i="1"/>
  <c r="O314" i="1"/>
  <c r="C314" i="1"/>
  <c r="O313" i="1"/>
  <c r="C313" i="1"/>
  <c r="O312" i="1"/>
  <c r="C312" i="1"/>
  <c r="O311" i="1"/>
  <c r="C311" i="1"/>
  <c r="O310" i="1"/>
  <c r="C310" i="1"/>
  <c r="O309" i="1"/>
  <c r="C309" i="1"/>
  <c r="O308" i="1"/>
  <c r="C308" i="1"/>
  <c r="O307" i="1"/>
  <c r="H307" i="1"/>
  <c r="C307" i="1"/>
  <c r="O306" i="1"/>
  <c r="H306" i="1"/>
  <c r="C306" i="1"/>
  <c r="O305" i="1"/>
  <c r="C305" i="1"/>
  <c r="O304" i="1"/>
  <c r="H304" i="1"/>
  <c r="C304" i="1"/>
  <c r="O303" i="1"/>
  <c r="C303" i="1"/>
  <c r="O302" i="1"/>
  <c r="C302" i="1"/>
  <c r="O301" i="1"/>
  <c r="C301" i="1"/>
  <c r="O300" i="1"/>
  <c r="C300" i="1"/>
  <c r="O299" i="1"/>
  <c r="H299" i="1"/>
  <c r="C299" i="1"/>
  <c r="O298" i="1"/>
  <c r="C298" i="1"/>
  <c r="O297" i="1"/>
  <c r="C297" i="1"/>
  <c r="O296" i="1"/>
  <c r="C296" i="1"/>
  <c r="O295" i="1"/>
  <c r="H295" i="1"/>
  <c r="C295" i="1"/>
  <c r="O294" i="1"/>
  <c r="C294" i="1"/>
  <c r="O293" i="1"/>
  <c r="H293" i="1"/>
  <c r="C293" i="1"/>
  <c r="O292" i="1"/>
  <c r="C292" i="1"/>
  <c r="O291" i="1"/>
  <c r="C291" i="1"/>
  <c r="O290" i="1"/>
  <c r="C290" i="1"/>
  <c r="O289" i="1"/>
  <c r="H289" i="1"/>
  <c r="C289" i="1"/>
  <c r="O288" i="1"/>
  <c r="C288" i="1"/>
  <c r="O287" i="1"/>
  <c r="C287" i="1"/>
  <c r="O286" i="1"/>
  <c r="C286" i="1"/>
  <c r="O285" i="1"/>
  <c r="C285" i="1"/>
  <c r="O284" i="1"/>
  <c r="H284" i="1"/>
  <c r="C284" i="1"/>
  <c r="O283" i="1"/>
  <c r="C283" i="1"/>
  <c r="O282" i="1"/>
  <c r="C282" i="1"/>
  <c r="O281" i="1"/>
  <c r="C281" i="1"/>
  <c r="O280" i="1"/>
  <c r="H280" i="1"/>
  <c r="C280" i="1"/>
  <c r="O279" i="1"/>
  <c r="C279" i="1"/>
  <c r="O278" i="1"/>
  <c r="C278" i="1"/>
  <c r="O277" i="1"/>
  <c r="C277" i="1"/>
  <c r="O276" i="1"/>
  <c r="C276" i="1"/>
  <c r="O275" i="1"/>
  <c r="C275" i="1"/>
  <c r="O274" i="1"/>
  <c r="C274" i="1"/>
  <c r="O273" i="1"/>
  <c r="C273" i="1"/>
  <c r="O272" i="1"/>
  <c r="C272" i="1"/>
  <c r="O271" i="1"/>
  <c r="H271" i="1"/>
  <c r="C271" i="1"/>
  <c r="O270" i="1"/>
  <c r="H270" i="1"/>
  <c r="C270" i="1"/>
  <c r="O269" i="1"/>
  <c r="C269" i="1"/>
  <c r="O268" i="1"/>
  <c r="C268" i="1"/>
  <c r="O267" i="1"/>
  <c r="C267" i="1"/>
  <c r="O266" i="1"/>
  <c r="C266" i="1"/>
  <c r="O265" i="1"/>
  <c r="H265" i="1"/>
  <c r="C265" i="1"/>
  <c r="O264" i="1"/>
  <c r="H264" i="1"/>
  <c r="C264" i="1"/>
  <c r="O263" i="1"/>
  <c r="C263" i="1"/>
  <c r="O262" i="1"/>
  <c r="C262" i="1"/>
  <c r="O261" i="1"/>
  <c r="C261" i="1"/>
  <c r="O260" i="1"/>
  <c r="C260" i="1"/>
  <c r="O259" i="1"/>
  <c r="C259" i="1"/>
  <c r="O258" i="1"/>
  <c r="C258" i="1"/>
  <c r="O257" i="1"/>
  <c r="H257" i="1"/>
  <c r="C257" i="1"/>
  <c r="O256" i="1"/>
  <c r="C256" i="1"/>
  <c r="O255" i="1"/>
  <c r="C255" i="1"/>
  <c r="O254" i="1"/>
  <c r="C254" i="1"/>
  <c r="O253" i="1"/>
  <c r="C253" i="1"/>
  <c r="O252" i="1"/>
  <c r="H252" i="1"/>
  <c r="C252" i="1"/>
  <c r="O251" i="1"/>
  <c r="C251" i="1"/>
  <c r="O250" i="1"/>
  <c r="H250" i="1"/>
  <c r="C250" i="1"/>
  <c r="O249" i="1"/>
  <c r="C249" i="1"/>
  <c r="O248" i="1"/>
  <c r="C248" i="1"/>
  <c r="O247" i="1"/>
  <c r="C247" i="1"/>
  <c r="O246" i="1"/>
  <c r="C246" i="1"/>
  <c r="O245" i="1"/>
  <c r="C245" i="1"/>
  <c r="O244" i="1"/>
  <c r="H244" i="1"/>
  <c r="C244" i="1"/>
  <c r="O243" i="1"/>
  <c r="C243" i="1"/>
  <c r="O242" i="1"/>
  <c r="C242" i="1"/>
  <c r="O241" i="1"/>
  <c r="C241" i="1"/>
  <c r="O240" i="1"/>
  <c r="C240" i="1"/>
  <c r="O239" i="1"/>
  <c r="C239" i="1"/>
  <c r="O238" i="1"/>
  <c r="C238" i="1"/>
  <c r="O237" i="1"/>
  <c r="C237" i="1"/>
  <c r="O236" i="1"/>
  <c r="C236" i="1"/>
  <c r="O235" i="1"/>
  <c r="C235" i="1"/>
  <c r="O234" i="1"/>
  <c r="C234" i="1"/>
  <c r="O233" i="1"/>
  <c r="H233" i="1"/>
  <c r="C233" i="1"/>
  <c r="O232" i="1"/>
  <c r="C232" i="1"/>
  <c r="O231" i="1"/>
  <c r="H231" i="1"/>
  <c r="C231" i="1"/>
  <c r="O230" i="1"/>
  <c r="H230" i="1"/>
  <c r="C230" i="1"/>
  <c r="O229" i="1"/>
  <c r="C229" i="1"/>
  <c r="O228" i="1"/>
  <c r="C228" i="1"/>
  <c r="O227" i="1"/>
  <c r="H227" i="1"/>
  <c r="C227" i="1"/>
  <c r="O226" i="1"/>
  <c r="C226" i="1"/>
  <c r="O225" i="1"/>
  <c r="C225" i="1"/>
  <c r="O224" i="1"/>
  <c r="H224" i="1"/>
  <c r="C224" i="1"/>
  <c r="O223" i="1"/>
  <c r="H223" i="1"/>
  <c r="C223" i="1"/>
  <c r="O222" i="1"/>
  <c r="C222" i="1"/>
  <c r="O221" i="1"/>
  <c r="C221" i="1"/>
  <c r="O220" i="1"/>
  <c r="C220" i="1"/>
  <c r="O219" i="1"/>
  <c r="C219" i="1"/>
  <c r="O218" i="1"/>
  <c r="H218" i="1"/>
  <c r="C218" i="1"/>
  <c r="O217" i="1"/>
  <c r="C217" i="1"/>
  <c r="O216" i="1"/>
  <c r="C216" i="1"/>
  <c r="O215" i="1"/>
  <c r="C215" i="1"/>
  <c r="O214" i="1"/>
  <c r="C214" i="1"/>
  <c r="O213" i="1"/>
  <c r="C213" i="1"/>
  <c r="O212" i="1"/>
  <c r="H212" i="1"/>
  <c r="C212" i="1"/>
  <c r="O211" i="1"/>
  <c r="H211" i="1"/>
  <c r="C211" i="1"/>
  <c r="O210" i="1"/>
  <c r="C210" i="1"/>
  <c r="O209" i="1"/>
  <c r="C209" i="1"/>
  <c r="O208" i="1"/>
  <c r="C208" i="1"/>
  <c r="O207" i="1"/>
  <c r="C207" i="1"/>
  <c r="O206" i="1"/>
  <c r="C206" i="1"/>
  <c r="O205" i="1"/>
  <c r="H205" i="1"/>
  <c r="C205" i="1"/>
  <c r="O204" i="1"/>
  <c r="H204" i="1"/>
  <c r="C204" i="1"/>
  <c r="O203" i="1"/>
  <c r="C203" i="1"/>
  <c r="O202" i="1"/>
  <c r="C202" i="1"/>
  <c r="O201" i="1"/>
  <c r="C201" i="1"/>
  <c r="O200" i="1"/>
  <c r="C200" i="1"/>
  <c r="O199" i="1"/>
  <c r="C199" i="1"/>
  <c r="O198" i="1"/>
  <c r="C198" i="1"/>
  <c r="O197" i="1"/>
  <c r="C197" i="1"/>
  <c r="O196" i="1"/>
  <c r="C196" i="1"/>
  <c r="O195" i="1"/>
  <c r="H195" i="1"/>
  <c r="C195" i="1"/>
  <c r="O194" i="1"/>
  <c r="H194" i="1"/>
  <c r="C194" i="1"/>
  <c r="O193" i="1"/>
  <c r="C193" i="1"/>
  <c r="O192" i="1"/>
  <c r="C192" i="1"/>
  <c r="O191" i="1"/>
  <c r="C191" i="1"/>
  <c r="O190" i="1"/>
  <c r="C190" i="1"/>
  <c r="O189" i="1"/>
  <c r="C189" i="1"/>
  <c r="O188" i="1"/>
  <c r="C188" i="1"/>
  <c r="O187" i="1"/>
  <c r="C187" i="1"/>
  <c r="O186" i="1"/>
  <c r="H186" i="1"/>
  <c r="C186" i="1"/>
  <c r="O185" i="1"/>
  <c r="C185" i="1"/>
  <c r="O184" i="1"/>
  <c r="C184" i="1"/>
  <c r="O183" i="1"/>
  <c r="C183" i="1"/>
  <c r="O182" i="1"/>
  <c r="H182" i="1"/>
  <c r="C182" i="1"/>
  <c r="O181" i="1"/>
  <c r="C181" i="1"/>
  <c r="O180" i="1"/>
  <c r="C180" i="1"/>
  <c r="O179" i="1"/>
  <c r="C179" i="1"/>
  <c r="O178" i="1"/>
  <c r="C178" i="1"/>
  <c r="O177" i="1"/>
  <c r="C177" i="1"/>
  <c r="O176" i="1"/>
  <c r="C176" i="1"/>
  <c r="O175" i="1"/>
  <c r="H175" i="1"/>
  <c r="C175" i="1"/>
  <c r="O174" i="1"/>
  <c r="C174" i="1"/>
  <c r="O173" i="1"/>
  <c r="C173" i="1"/>
  <c r="O172" i="1"/>
  <c r="H172" i="1"/>
  <c r="C172" i="1"/>
  <c r="O171" i="1"/>
  <c r="H171" i="1"/>
  <c r="C171" i="1"/>
  <c r="O170" i="1"/>
  <c r="H170" i="1"/>
  <c r="C170" i="1"/>
  <c r="O169" i="1"/>
  <c r="H169" i="1"/>
  <c r="C169" i="1"/>
  <c r="O168" i="1"/>
  <c r="C168" i="1"/>
  <c r="O167" i="1"/>
  <c r="C167" i="1"/>
  <c r="O166" i="1"/>
  <c r="C166" i="1"/>
  <c r="O165" i="1"/>
  <c r="C165" i="1"/>
  <c r="O164" i="1"/>
  <c r="C164" i="1"/>
  <c r="O163" i="1"/>
  <c r="H163" i="1"/>
  <c r="C163" i="1"/>
  <c r="O162" i="1"/>
  <c r="H162" i="1"/>
  <c r="C162" i="1"/>
  <c r="O161" i="1"/>
  <c r="C161" i="1"/>
  <c r="O160" i="1"/>
  <c r="H160" i="1"/>
  <c r="C160" i="1"/>
  <c r="O159" i="1"/>
  <c r="C159" i="1"/>
  <c r="O158" i="1"/>
  <c r="C158" i="1"/>
  <c r="O157" i="1"/>
  <c r="C157" i="1"/>
  <c r="O156" i="1"/>
  <c r="C156" i="1"/>
  <c r="O155" i="1"/>
  <c r="H155" i="1"/>
  <c r="C155" i="1"/>
  <c r="O154" i="1"/>
  <c r="C154" i="1"/>
  <c r="O153" i="1"/>
  <c r="C153" i="1"/>
  <c r="O152" i="1"/>
  <c r="C152" i="1"/>
  <c r="O151" i="1"/>
  <c r="C151" i="1"/>
  <c r="O150" i="1"/>
  <c r="C150" i="1"/>
  <c r="O149" i="1"/>
  <c r="C149" i="1"/>
  <c r="O148" i="1"/>
  <c r="C148" i="1"/>
  <c r="O147" i="1"/>
  <c r="C147" i="1"/>
  <c r="O146" i="1"/>
  <c r="H146" i="1"/>
  <c r="C146" i="1"/>
  <c r="O145" i="1"/>
  <c r="H145" i="1"/>
  <c r="C145" i="1"/>
  <c r="O144" i="1"/>
  <c r="C144" i="1"/>
  <c r="O143" i="1"/>
  <c r="C143" i="1"/>
  <c r="O142" i="1"/>
  <c r="C142" i="1"/>
  <c r="O141" i="1"/>
  <c r="C141" i="1"/>
  <c r="O140" i="1"/>
  <c r="C140" i="1"/>
  <c r="O139" i="1"/>
  <c r="C139" i="1"/>
  <c r="O138" i="1"/>
  <c r="C138" i="1"/>
  <c r="O137" i="1"/>
  <c r="C137" i="1"/>
  <c r="O136" i="1"/>
  <c r="H136" i="1"/>
  <c r="C136" i="1"/>
  <c r="O135" i="1"/>
  <c r="C135" i="1"/>
  <c r="O134" i="1"/>
  <c r="C134" i="1"/>
  <c r="O133" i="1"/>
  <c r="C133" i="1"/>
  <c r="O132" i="1"/>
  <c r="C132" i="1"/>
  <c r="O131" i="1"/>
  <c r="C131" i="1"/>
  <c r="O130" i="1"/>
  <c r="H130" i="1"/>
  <c r="C130" i="1"/>
  <c r="O129" i="1"/>
  <c r="H129" i="1"/>
  <c r="C129" i="1"/>
  <c r="O128" i="1"/>
  <c r="C128" i="1"/>
  <c r="O127" i="1"/>
  <c r="H127" i="1"/>
  <c r="C127" i="1"/>
  <c r="O126" i="1"/>
  <c r="C126" i="1"/>
  <c r="O125" i="1"/>
  <c r="H125" i="1"/>
  <c r="C125" i="1"/>
  <c r="O124" i="1"/>
  <c r="C124" i="1"/>
  <c r="O123" i="1"/>
  <c r="H123" i="1"/>
  <c r="C123" i="1"/>
  <c r="O122" i="1"/>
  <c r="C122" i="1"/>
  <c r="O121" i="1"/>
  <c r="C121" i="1"/>
  <c r="O120" i="1"/>
  <c r="C120" i="1"/>
  <c r="O119" i="1"/>
  <c r="C119" i="1"/>
  <c r="O118" i="1"/>
  <c r="C118" i="1"/>
  <c r="O117" i="1"/>
  <c r="C117" i="1"/>
  <c r="O116" i="1"/>
  <c r="C116" i="1"/>
  <c r="O115" i="1"/>
  <c r="C115" i="1"/>
  <c r="O114" i="1"/>
  <c r="C114" i="1"/>
  <c r="O113" i="1"/>
  <c r="C113" i="1"/>
  <c r="O112" i="1"/>
  <c r="C112" i="1"/>
  <c r="O111" i="1"/>
  <c r="C111" i="1"/>
  <c r="O110" i="1"/>
  <c r="C110" i="1"/>
  <c r="O109" i="1"/>
  <c r="H109" i="1"/>
  <c r="C109" i="1"/>
  <c r="O108" i="1"/>
  <c r="C108" i="1"/>
  <c r="O107" i="1"/>
  <c r="C107" i="1"/>
  <c r="O106" i="1"/>
  <c r="C106" i="1"/>
  <c r="O105" i="1"/>
  <c r="H105" i="1"/>
  <c r="C105" i="1"/>
  <c r="O104" i="1"/>
  <c r="C104" i="1"/>
  <c r="O103" i="1"/>
  <c r="C103" i="1"/>
  <c r="O102" i="1"/>
  <c r="H102" i="1"/>
  <c r="C102" i="1"/>
  <c r="O101" i="1"/>
  <c r="C101" i="1"/>
  <c r="O100" i="1"/>
  <c r="C100" i="1"/>
  <c r="O99" i="1"/>
  <c r="C99" i="1"/>
  <c r="O98" i="1"/>
  <c r="C98" i="1"/>
  <c r="O97" i="1"/>
  <c r="C97" i="1"/>
  <c r="O96" i="1"/>
  <c r="C96" i="1"/>
  <c r="O95" i="1"/>
  <c r="C95" i="1"/>
  <c r="O94" i="1"/>
  <c r="C94" i="1"/>
  <c r="O93" i="1"/>
  <c r="C93" i="1"/>
  <c r="O92" i="1"/>
  <c r="H92" i="1"/>
  <c r="C92" i="1"/>
  <c r="O91" i="1"/>
  <c r="C91" i="1"/>
  <c r="O90" i="1"/>
  <c r="H90" i="1"/>
  <c r="C90" i="1"/>
  <c r="O89" i="1"/>
  <c r="C89" i="1"/>
  <c r="O88" i="1"/>
  <c r="H88" i="1"/>
  <c r="C88" i="1"/>
  <c r="O87" i="1"/>
  <c r="C87" i="1"/>
  <c r="O86" i="1"/>
  <c r="H86" i="1"/>
  <c r="C86" i="1"/>
  <c r="O85" i="1"/>
  <c r="H85" i="1"/>
  <c r="C85" i="1"/>
  <c r="O84" i="1"/>
  <c r="H84" i="1"/>
  <c r="C84" i="1"/>
  <c r="O83" i="1"/>
  <c r="H83" i="1"/>
  <c r="C83" i="1"/>
  <c r="O82" i="1"/>
  <c r="C82" i="1"/>
  <c r="O81" i="1"/>
  <c r="C81" i="1"/>
  <c r="O80" i="1"/>
  <c r="C80" i="1"/>
  <c r="O79" i="1"/>
  <c r="C79" i="1"/>
  <c r="O78" i="1"/>
  <c r="C78" i="1"/>
  <c r="O77" i="1"/>
  <c r="H77" i="1"/>
  <c r="C77" i="1"/>
  <c r="O76" i="1"/>
  <c r="C76" i="1"/>
  <c r="O75" i="1"/>
  <c r="C75" i="1"/>
  <c r="O74" i="1"/>
  <c r="C74" i="1"/>
  <c r="O73" i="1"/>
  <c r="C73" i="1"/>
  <c r="O72" i="1"/>
  <c r="H72" i="1"/>
  <c r="C72" i="1"/>
  <c r="O71" i="1"/>
  <c r="C71" i="1"/>
  <c r="O70" i="1"/>
  <c r="C70" i="1"/>
  <c r="O69" i="1"/>
  <c r="C69" i="1"/>
  <c r="O68" i="1"/>
  <c r="C68" i="1"/>
  <c r="O67" i="1"/>
  <c r="C67" i="1"/>
  <c r="O66" i="1"/>
  <c r="H66" i="1"/>
  <c r="C66" i="1"/>
  <c r="O65" i="1"/>
  <c r="C65" i="1"/>
  <c r="O64" i="1"/>
  <c r="C64" i="1"/>
  <c r="O63" i="1"/>
  <c r="C63" i="1"/>
  <c r="O62" i="1"/>
  <c r="C62" i="1"/>
  <c r="O61" i="1"/>
  <c r="C61" i="1"/>
  <c r="O60" i="1"/>
  <c r="H60" i="1"/>
  <c r="C60" i="1"/>
  <c r="O59" i="1"/>
  <c r="C59" i="1"/>
  <c r="O58" i="1"/>
  <c r="H58" i="1"/>
  <c r="C58" i="1"/>
  <c r="O57" i="1"/>
  <c r="C57" i="1"/>
  <c r="O56" i="1"/>
  <c r="C56" i="1"/>
  <c r="O55" i="1"/>
  <c r="C55" i="1"/>
  <c r="O54" i="1"/>
  <c r="C54" i="1"/>
  <c r="O53" i="1"/>
  <c r="C53" i="1"/>
  <c r="O52" i="1"/>
  <c r="H52" i="1"/>
  <c r="C52" i="1"/>
  <c r="O51" i="1"/>
  <c r="H51" i="1"/>
  <c r="C51" i="1"/>
  <c r="O50" i="1"/>
  <c r="C50" i="1"/>
  <c r="O49" i="1"/>
  <c r="C49" i="1"/>
  <c r="O48" i="1"/>
  <c r="C48" i="1"/>
  <c r="O47" i="1"/>
  <c r="C47" i="1"/>
  <c r="O46" i="1"/>
  <c r="C46" i="1"/>
  <c r="O45" i="1"/>
  <c r="C45" i="1"/>
  <c r="O44" i="1"/>
  <c r="C44" i="1"/>
  <c r="O43" i="1"/>
  <c r="C43" i="1"/>
  <c r="O42" i="1"/>
  <c r="H42" i="1"/>
  <c r="C42" i="1"/>
  <c r="O41" i="1"/>
  <c r="C41" i="1"/>
  <c r="O40" i="1"/>
  <c r="C40" i="1"/>
  <c r="O39" i="1"/>
  <c r="C39" i="1"/>
  <c r="O38" i="1"/>
  <c r="C38" i="1"/>
  <c r="O37" i="1"/>
  <c r="C37" i="1"/>
  <c r="O36" i="1"/>
  <c r="C36" i="1"/>
  <c r="O35" i="1"/>
  <c r="C35" i="1"/>
  <c r="O34" i="1"/>
  <c r="C34" i="1"/>
  <c r="O33" i="1"/>
  <c r="C33" i="1"/>
  <c r="O32" i="1"/>
  <c r="C32" i="1"/>
  <c r="O31" i="1"/>
  <c r="C31" i="1"/>
  <c r="O30" i="1"/>
  <c r="C30" i="1"/>
  <c r="O29" i="1"/>
  <c r="C29" i="1"/>
  <c r="O28" i="1"/>
  <c r="C28" i="1"/>
  <c r="O27" i="1"/>
  <c r="H27" i="1"/>
  <c r="C27" i="1"/>
  <c r="O26" i="1"/>
  <c r="C26" i="1"/>
  <c r="O25" i="1"/>
  <c r="C25" i="1"/>
  <c r="O24" i="1"/>
  <c r="C24" i="1"/>
  <c r="O23" i="1"/>
  <c r="C23" i="1"/>
  <c r="O22" i="1"/>
  <c r="C22" i="1"/>
  <c r="O21" i="1"/>
  <c r="C21" i="1"/>
  <c r="O20" i="1"/>
  <c r="C20" i="1"/>
  <c r="O19" i="1"/>
  <c r="C19" i="1"/>
  <c r="O18" i="1"/>
  <c r="C18" i="1"/>
  <c r="O17" i="1"/>
  <c r="C17" i="1"/>
  <c r="O16" i="1"/>
  <c r="H16" i="1"/>
  <c r="C16" i="1"/>
  <c r="O15" i="1"/>
  <c r="C15" i="1"/>
  <c r="O14" i="1"/>
  <c r="C14" i="1"/>
  <c r="O13" i="1"/>
  <c r="C13" i="1"/>
  <c r="O12" i="1"/>
  <c r="C12" i="1"/>
  <c r="O11" i="1"/>
  <c r="C11" i="1"/>
  <c r="O10" i="1"/>
  <c r="H10" i="1"/>
  <c r="C10" i="1"/>
  <c r="O9" i="1"/>
  <c r="C9" i="1"/>
  <c r="O8" i="1"/>
  <c r="C8" i="1"/>
  <c r="O7" i="1"/>
  <c r="H7" i="1"/>
  <c r="C7" i="1"/>
  <c r="O6" i="1"/>
  <c r="C6" i="1"/>
  <c r="O5" i="1"/>
  <c r="H5" i="1"/>
  <c r="C5" i="1"/>
  <c r="O4" i="1"/>
  <c r="C4" i="1"/>
  <c r="O3" i="1"/>
  <c r="H3" i="1"/>
  <c r="C3" i="1"/>
  <c r="O2" i="1"/>
  <c r="C2" i="1"/>
</calcChain>
</file>

<file path=xl/sharedStrings.xml><?xml version="1.0" encoding="utf-8"?>
<sst xmlns="http://schemas.openxmlformats.org/spreadsheetml/2006/main" count="9790" uniqueCount="4853">
  <si>
    <t>timestamp</t>
  </si>
  <si>
    <t>title</t>
  </si>
  <si>
    <t>english title</t>
  </si>
  <si>
    <t>price</t>
  </si>
  <si>
    <t>market</t>
  </si>
  <si>
    <t>surface</t>
  </si>
  <si>
    <t>location</t>
  </si>
  <si>
    <t>new location</t>
  </si>
  <si>
    <t>remote_support</t>
  </si>
  <si>
    <t>lighting</t>
  </si>
  <si>
    <t>advertiser_type</t>
  </si>
  <si>
    <t>description</t>
  </si>
  <si>
    <t>no_of_rooms</t>
  </si>
  <si>
    <t>form_of_property</t>
  </si>
  <si>
    <t>english form of property</t>
  </si>
  <si>
    <t>url</t>
  </si>
  <si>
    <t>is_for_sale</t>
  </si>
  <si>
    <t>posting_id</t>
  </si>
  <si>
    <t>REJTANA PARK : 2 Pokoje 41,37 m² + Balkon + Garaż</t>
  </si>
  <si>
    <t>market,primary</t>
  </si>
  <si>
    <t>ul. Sebastiana Felsztyńskiego, Nowe Rokicie, Górna, Łódź, łódzkie</t>
  </si>
  <si>
    <t>null</t>
  </si>
  <si>
    <t>agency</t>
  </si>
  <si>
    <t>Inwestycja ukończona - mieszkania gotowe do odbioru od zaraz!
Na sprzedaż dwupokojowe mieszkanie o powierzchni 41,37 m2 z możliwością zakupu miejsca postojowego w hali garażowej oraz komórki lokatorskiej. 
Mieszkanie mieści się na 1 piętrze w nowej inwestycji "Rejtana Park" przy ul. Felsztyńskiego 10 tuż przy parku Rejtana. Stan deweloperski.
"Rejtana Park" to nowe osiedle w dzielnicy Łódź-Górna. To właśnie tutaj powstaje dynamiczne i szykowne miejsce do życia. Projekt składa się z budynku 4-piętrowego oraz dwóch budynków 8-piętrowych, graniczących bezpośrednio z jednym z najstarszych parków w Łodzi - Parkiem Rejtana.
Doskonała lokalizacja gwarantuje łatwą komunikację, liczne placówki handlowe, centrum sportowe, a także bliskie sąsiedztwo terenów zielonych i rekreacyjnych.
Dzięki dużym przeszkleniom oraz południowej wystawie z widokiem na Park Rejtana mieszkania będą doskonale nasłonecznione niezależnie od pory roku.
Każde mieszkanie zostało starannie przeanalizowane pod kątem funkcjonalnej aranżacji i wygody przebywania. Niemalże wszystkie mieszkania posiadają co najmniej jeden balkon.
Liczne udogodnienia obejmują między innymi: dwie hale garażowe na poziomie 0 oraz -1, ogólnie dostępną rowerownie/wózkownie czy komórki lokatorskie.
Pełna oferta na naszej stronie:
rejtanapark .pl</t>
  </si>
  <si>
    <t>pełna własność</t>
  </si>
  <si>
    <t>https://www.otodom.pl/pl/oferta/rejtana-park-2-pokoje-41-37-m-balkon-garaz-ID4ntr2</t>
  </si>
  <si>
    <t>4ntr2</t>
  </si>
  <si>
    <t>Nadolice Wielkie*Bliźniak 139M*Działka 413,55M*</t>
  </si>
  <si>
    <t>Magnoliowa, Dobrzykowice, Czernica, wrocławski, dolnośląskie</t>
  </si>
  <si>
    <t>NADOLICE WIELKIE * DOMY W ZABUDOWIE BLIŹNIACZEJ *UL. MAGNOLIOWABiuro sprzedaży Developera : 669 511 511 Zapraszam do zapoznania się z nasza ofertą sprzedaży domów  w zabudowie bliźniaczej  w Nadolicach Wielkich przy ul. Magnoliowej .Osiedle ma bezpośredni dostęp do asfaltowej i oświetlonej drogi gminnej.Inwestycja podzielona na IV Etapy . Dostępny lokal (2A, ) o powierzchni użytkowej 138,95m posadowiony na działce 413,57 m .Termin realizacji IV Q 2023 r / I Q 2024 . *Przepiękny duży salon, kuchnia z oknem , wiatrołap , garaż , kotłownia , 2 łazienki , 3 sypialnie, garderoba ,  wykończone poddasze ok.40m. Proponujemy dogodne warunki płatności !!! Atuty:   Przestrzeń / Jakość / KomfortSpecyfikacja pomieszczeń :PARTER :- przestronny salon 32,41m- kuchnia z oknem 11,48m- łazienka z kabiną prysznicową , wc, umywalka: 2,96m- wiatrołap z oknem 5,74 m- garaż 18,47m- kotłownia / pralnia 6,05m- ogród 236,23 mPIĘTRO:- sypialnia 12,48m - sypialnia 12,80m- sypialnia 12,09m -  garderoba 6,11m- łazienka z oknem 7,76mPODDASZE nieużytkowe :- rewelacyjna przestrzeń około 40 mDomy oddawane w stanie deweloperskim :* ogrzewanie podłogowe w całym budynku ( posadzki ANHYDRYTOWE CEMEX ).* sterowniki w każdym pomieszczeniu* schody z prefabrykatu* rolety elektryczna na parterze oraz na piętrze* drzwi przesuwne w salonie* wykończone poddasze ( ocieplenie, płyty GK ,OSB)* parapety wewnętrzne z konglomeratu* piec gazowy ISOTWIN, dwufunkcyjny z zasobnikiem 2x 21L.* panelowe ogrodzenie działkiCENA : 839 000 złOsiedle jest wyposażone w pełną infrastrukturę, tj. wodociąg, kanalizację sanitarną, prąd, gaz, kanalizację deszczową odprowadzającą wody opadowe poza teren osiedla, światłowód oraz wybrukowane, oświetlone wewnętrzne drogi jak i chodniki wraz z odwodnieniem.Nowoczesna i ponadczasowa forma, zapewnia funkcjonalność i dzięki połączeniu brył budynku poprzez garaż wewnętrzny daje pełną prywatność mieszkańcom.Lokalizacja :Nadolice Wielkie, ul. Magnoliowa /ul. Rzeczna , Osiedle - Spatium.Niecałe 5 kilometrów od granicy Wrocławia, 14 od Placu Grunwaldzkiego, bliskość Wschodniej Obwodnicy, odnowionej podwrocławskiej trasy kolejowej , jak również komunikacja miejska (linie autobusowe 845 oraz 865) umożliwiają komfortowy dojazd do miasta.W odległości 1km od osiedla przystanek kolejowy (park and ride) nowej szybkiej trasy do Wrocławia .W okolicy sklepy , restauracje , przedszkole .DO ZOBACZENIA NA INWESTYCJIPatrycja Batijewska tel.: 669 511 511*Oferujemy pełne wsparcie przy bezpiecznej finalizacji zakupu oraz zapewnimy pomoc w uzyskaniu najlepszej oferty kredytowej ! *Powyższa oferta ma charakter informacyjny i nie stanowi oferty handlowej w rozumieniu art. 66 §1 Kodeksu Cywilnego oraz innych właściwych przepisów prawnych.Oferta wysłana z programu dla biur nieruchomości ASARI CRM ()</t>
  </si>
  <si>
    <t>https://www.otodom.pl/pl/oferta/nadolice-wielkieblizniak-139mdzialka-413-55m-ID4n82E</t>
  </si>
  <si>
    <t>4n82E</t>
  </si>
  <si>
    <t>Kawalerka do remontu, 2 piętro Wyżyny</t>
  </si>
  <si>
    <t>market,secondary</t>
  </si>
  <si>
    <t>ul. Łomżyńska, Wyżyny, Bydgoszcz, kujawsko-pomorskie</t>
  </si>
  <si>
    <t>NA SPRZEDAŻKawalerka na drugim piętrze bloku przy ul. Łomżyńskiej w Bydgoszczy. Do remontu.Powierzchnia 26m2Do mieszkania przynależy piwnica.Czynsz do wspólnoty 310złWięcej info:BARTOSZ ZAWISKI 797 606 479EXPANDER NIERUCHOMOŚCI*Chcesz sprawdzić swoją zdolność kredytową zanim zdecydujesz się na zakup nieruchomości?Skontaktuj się z ekspertem finansowym EXPANDERMAGDALENA ZAWISKAtel. 664 119 029Zainteresowany? Zadzwoń teraz i umów się na spotkanie online</t>
  </si>
  <si>
    <t>https://www.otodom.pl/pl/oferta/kawalerka-do-remontu-2-pietro-wyzyny-ID4nQZK</t>
  </si>
  <si>
    <t>4nQZK</t>
  </si>
  <si>
    <t>Parterowy dom z dużą działką</t>
  </si>
  <si>
    <t>Kołaków, Dąbrówka, wołomiński, mazowieckie</t>
  </si>
  <si>
    <t>Na sprzedaż parterowy dom wolnostojący o powierzchni całkowitej 127,18m2, położony na ogrodzonej, dużej działce 960m2.
Nieruchomość w stanie surowym otwartym. Aktualny etap budowy przedstawiony na zdjęciach.
Teren w pełni ogrodzony i zagospodarowany.
Nieruchomość wyróżnia się dużymi przeszkleniami a uroku dodaje jej przestronny taras z wyjściami z salonu i sypialni.
Miejsca parkingowe przewidziane przed budynkiem.
Rozkład pomieszczeń:1. Wiatrołap - 4,632. Hol - 7,983. Kotłownia - 2,444. Spiżarnia - 2,305. Kuchnia - 10,466. Salon - 24,867. Toaleta - 1,868. Pokój - 14,699. Pokój - 15,3910. Pokój - 10,0111. Łazienka - 6,26
Woda i prąd doprowadzone do działki.
Technologia budynku:ściany: bloczek z betonu komórkowego H+H 24 cm, styropian Termo Organika 20 cm, tynkstrop: płyta żelbetowadach: dwuspadowy, nachylenie 30 st. , więźba drewniana, blacha
LOKALIZACJADom usytuowany jest w miejscowości Kołaków, w gminie Dąbrówka, z dogodnym dojazdem do Warszawy dzięki trasie S8. Nieruchomość położona w spokojnej i cichej okolicy, w otoczeniu zieleni.
Zapraszam do kontaktu i obejrzenia nieruchomości</t>
  </si>
  <si>
    <t>https://www.otodom.pl/pl/oferta/parterowy-dom-z-duza-dzialka-ID4na1B</t>
  </si>
  <si>
    <t>4na1B</t>
  </si>
  <si>
    <t>Mieszkanie nad Motławą po remoncie w centrum</t>
  </si>
  <si>
    <t>ul. Kamienna Grobla, Śródmieście, Gdańsk, pomorskie</t>
  </si>
  <si>
    <t>private</t>
  </si>
  <si>
    <t>mieszkanie z widokiem na Motławę po kapitalnym remoncie w pełni umeblowane,nowe okna drzwi instalacja elektryczna i wodno-kanalizacyjna, nowe meble ze sprzętem AGD pod zabudowę oraz łazienka, mieszkanie ciepłe i nasłonecznione, dwie duże szafy pod zabudowę ,mieszkanie z piwnicą 15m2 i z balkonem,w bloku winda.blok po kapitalnym remoncie ocieplony oraz po remoncie klatki schodowej nowa glazura, w pobliskiej okolicy przedszkole szkoła plac zabaw dla dzieci komunikacja miejska a zarazem ciche spokojne miejsce z zielenią i przepięknym widokiem na Motławę i stare miasto
zaproponuj swoją cenę
POŚREDNIKOM DZIĘKUJĘ
miejsca parkingowe ogólnodostępne dla mieszkańców na terenie parkingu za blokiem oraz przed blokiem nr 9
Kuchnia w pełni wyposażona :piekarnik płyta indukcyjna zmywarka pod zabudowę m-ki Bosch ,pochłaniacz wbudowany, lodówka z zamrażarką</t>
  </si>
  <si>
    <t>https://www.otodom.pl/pl/oferta/mieszkanie-nad-motlawa-po-remoncie-w-centrum-ID4om2A</t>
  </si>
  <si>
    <t>4om2A</t>
  </si>
  <si>
    <t>2x OGRÓD_3km Starówka_17xTramwaj_RABAT &gt;100tys zł</t>
  </si>
  <si>
    <t>ZAOSZCZĘDŹ WYBIERAJĄC RYNEK PIERWOTNY – 0zł PCC + 0zł Prowizji
Specjalna oferta promocyjna na mieszkania oraz miejsca postojowe – zadzwoń i spytaj się o szczegóły ! Zabezpiecz się przed podwyżkami!
Możliwość kontaktu telefonicznego w godzinach 8:00 - 20:00 od poniedziałku do soboty oraz umówienia się na spotkanie w tygodniu 9:00 - 17:30 lub w sobotę 9:00 - 13:30
➤ Bardzo duża dostępność lokali w ustawnych układach jak i stronach świata
➤ Umowa rezerwacyjna tylko 1000zł
➤ Brak dodatkowych kosztów (*Akt notarialny w cenie – zapytaj o szczegóły) i GWARANCJA CENY
DOGODNA LOKALIZACJA:
Dojazd do malowniczego Starego Rynku zajmuje około 12minut;
Dla zwolenników komunikacji miejskiej jedynie 200 m od osiedla funkcjonują liczne przystanki tramwajowe (17 linii tramwajowych) oraz autobusowe (3 linie autobusowe);
Niedaleko działa również stacja kolejowa Poznań Starołęka, która pozwala dotrzeć m.in. na dworzec główny w zaledwie 7 min.
ROZBUDOWANA INFRASTRUKTURA HANDLOWO-USŁUGOWA + ŚWIETNE TERENY DO AKTYWNEGO WYPOCZYNKU NA ŚWIEŻYM POWIETRZU:
Najbliższy supermarket znajduje się w odległości 500m od osiedla (Biedronka); a od Pasażu Rondo dzieli nas 10-minutowy spacer (800m);
Od centrum medycznego dzieli nas 3minutowy spacer (400m);
Do najbliższej restauracji dotrzemy już w 2 minuty (350m);
Otoczenie terenów zielonych, m.in. park Osiedla Armii Krajowej z zagospodarowaniem dla osób lubiących aktywny wypoczynek (siłownia plenerowa, kort tenisowy, plac zabaw), bliskość rzeki i terenów nadwarciańskich; Las Dębiński; Verde8; Park Rataje ze skałką wspinaczkową, placami zabaw, fontanną, siłownią zewnętrzną;
Infrastruktura sportowo-rekreacyjna z kortami tenisowymi, street workout parkiem, boiskami, kręgielnią, skateparkiem i siłowniami plenerowymi w pobliżu mostu Przemysława I;
Najbliższa siłownia jest zlokalizowana 15 min pieszo od osiedla.
ATUTY OSIEDLA:
·        Stacja ładowania samochodów elektrycznych
·        Pakiet antysmogowy  
·        Siłownia dla mieszkańców osiedla
·        Przestronny balkon / taras z ogródkiem w każdym mieszkaniu
·        Miejsce postojowe naziemne / w hali garażowej podziemnej
·        Stojaki rowerowe
·        CO: miejskie
·        Plac zabaw dla najmłodszych</t>
  </si>
  <si>
    <t>https://www.otodom.pl/pl/oferta/2x-ogrod-3km-starowka-17xtramwaj-rabat-100tys-zl-ID4oCD8</t>
  </si>
  <si>
    <t>4oCD8</t>
  </si>
  <si>
    <t>Apartament 55m wykończony pod klucz w PięknymStylu</t>
  </si>
  <si>
    <t>ul. Fordońska, Stary Fordon, Bydgoszcz, kujawsko-pomorskie</t>
  </si>
  <si>
    <t xml:space="preserve">Szanowni Państwo,  Z przyjemnością prezentujemy Państwu ofertę sprzedaży nieruchomości w Bydgoszczy na osiedlu Fordon.To idealna okazja dla osób, które szukają wyjątkowego miejsca do życia lub świetnej opcji inwestycyjnej.Mieszkanie wykończone najwyższej klasy materiałami.  Opis mieszkania: Powierzchnia: 54,95 m2 Liczba pokoi: 3 + garderoba/gabinet (około 4m2) Kuchnia: salon z aneksem (AGD Whirpool) Łazienka: razem z wc Przedpokój: rozkładowyBalkon: TakKlimatyzacja: Takmiejsce w hali garażowej: możliwość dokupienia (38 000 zł)  Opis budynku: Rodzaj budynku: apartamentowiec  Liczba pięter: 5 Rok budowy: 2023 Stan budynku: Idealny Materiał budowlany: silikat i żelbet  Lokalizacja: Nieruchomość znajduje się w bydgoskim Fordonie na osiedlu "Panorama Wiślana". W pobliżu znajdują się sklepy, restauracje, przystanki komunikacji miejskiej oraz liczne miejsca rekreacyjne. Lokalizacja ta jest idealna dla rodzin z dziećmi oraz osób, które cenią sobie spokojny tryb życia.  Cena: Cena nieruchomości wynosi 624 900 zł. W cenę wliczone są niektóre meble i sprzęty AGD znajdujące się w mieszkaniu.  Jeśli jesteście Państwo zainteresowani tą ofertą, proszę o kontakt w celu umówienia się na obejrzenie nieruchomości oraz uzyskania dodatkowych informacji.  Z poważaniem, Jakub KaczmarekSimpleDomtel: 729 057 290email:    Zawarte powyżej informacje mają charakter wyłącznie informacyjny i nie stanowią oferty handlowej w rozumieniu obowiązujących przepisów prawa. W  Sp. z o.o. dbamy o to, aby treści prezentowane w naszych ofertach były aktualne i rzetelne. Informacje dotyczące ofert pochodzą z oświadczeń sprzedających, a my dokładamy wszelkich starań, aby były one jak najbardziej wiarygodne.
Oferta wysłana z programu dla biur nieruchomości ASARI CRM ()
</t>
  </si>
  <si>
    <t>https://www.otodom.pl/pl/oferta/apartament-55m-wykonczony-pod-klucz-w-pieknymstylu-ID4nMV0</t>
  </si>
  <si>
    <t>4nMV0</t>
  </si>
  <si>
    <t>Apartament 54m2, 3 pok, Gwarancja najniższej ceny!</t>
  </si>
  <si>
    <t>Sielec, Sosnowiec, śląskie</t>
  </si>
  <si>
    <t>U Nas kupujący nie płaci PCC i PROWIZJI 
W naszej ofercie znajdują się również inne mieszkania i apartamenty na tej jak i innych inwestycjach, dlatego zachęcamy do bezpośredniego kontaktu, gwarantując tym samym znalezienie dla Państwa idealnej nieruchomości w najniższej cenie.
BUDYNEK JUŻ GOTOWY
Wszystkie mieszkania na piętrach posiadać będą obszerne balkony, a zaprojektowane na parterze – tarasy wybrukowane kostką oraz zielone ogródki. Sprawną komunikację wewnątrz budynku zapewnią szybkie i ciche windy. Dla wygody zmotoryzowanych mieszkańców przewidziano optymalną liczbę miejsc postojowych na terenie osiedla i w podziemnej hali garażowej. Teren osiedla zagospodarowany będzie starannie wyselekcjonowaną roślinnością i elementami małej architektury. Budynek będzie podłączony do miejskiego węzła cieplnego.
Lokalizacja:
- Inwestycja jest realizowana w dzielnicy Sielec. Dojazd autem do centrum Sosnowca zajmuje tylko 5 minut.
- Inwestycja znajduje się w bezpośrednim sąsiedztwie rozległych terenów zielonych - tylko 1,5 km od Parku Sieleckiego, blisko Parku Środula z licznymi miejscami do wypoczynku na świeżym powietrzu. Taka lokalizacja sprzyja aktywności fizycznej i rodzinnym spacerom - z dala od zgiełku miasta.
- Codzienna wygoda dzięki bogatej infrastrukturze. W sąsiedztwie sklepy, m.in. Lidl, Biedronka, tylko 4 km od galerii handlowych Plejada i Sosnowiec Plaza.
- Rozwinięta komunikacja miejska: tuż przy osiedlu znajduje się przystanek autobusowy, dzięki czemu codzienne dojazdy do szkoły czy pracy nie wymagają korzystania z samochodu.
- Dogodna lokalizacja w rejonie ul. Klimontowskiej i dobre połączenie z trasami S1, DK94 oraz A4 umożliwiają szybki dojazd do sąsiednich miejscowości.
Co jeszcze zyskujesz?
- Pakiet antysmogowy – to codzienna ochrona przed zanieczyszczeniami, smogiem, pyłkami, kurzem, grzybami oraz innymi alergenami. System składa się z zaawansowanego technicznie układu filtrów, które powstrzymają nie tylko drobnoustroje, lecz również owady.
- Opcja Murapol Appartme - Twoje wymarzone mieszkanie może stać się jeszcze bardziej nowoczesne, oszczędne i bezpieczne, a Tobie będzie żyło się w nim komfortowo.  Nasz smart home wyróżnia:
- sterowanie manualne lub z aplikacją mobilną, czyli możliwość zarządzania mediami w mieszkaniu na dwa sposoby: za pomocą aplikacji mobilnej, lub manualnego przycisku - tzw. funkcji hotelowej.
- pełna kontrola nad dopływem wody - chroń swoje mieszkanie przed zalaniem dzięki systemowi sterowania głównymi zaworami wody. Możesz zamykać i otwierać jej dopływ nawet wtedy, gdy jesteś poza domem.
- niezawodność działania - zintegrowane systemy automatyki mieszkaniowej oznaczają, że nasz smart home działa równolegle w formie bezprzewodowej, jak i przewodowej.
Jesteśmy dla Państwa dostępni również w weekendy!   Do Państwa dyspozycji pozostają nasi profesjonalni doradcy finansowi, którzy ZA DARMO pomogą w dopasowaniu najlepszej oferty kredytu hipotecznego dopasowanego do Państwa potrzeb.   Dodatkowo oferujemy usługi naszej firmy wykończeniowej, która przygotuje dla Państwa mieszkanie pod klucz! Przy zakupie mieszkania DARMOWA konsultacja z architektem!   Więcej informacji pod numerem telefonu 882 059 982
Niniejsza oferta nie stanowi oferty w rozumieniu Kodeksu cywilnego.</t>
  </si>
  <si>
    <t>https://www.otodom.pl/pl/oferta/apartament-54m2-3-pok-gwarancja-najnizszej-ceny-ID4os4L</t>
  </si>
  <si>
    <t>4os4L</t>
  </si>
  <si>
    <t>Nowe 3 pokoje 70,76 m2! Doskonały układ! Balkon!</t>
  </si>
  <si>
    <t>Komfortowe 3 pokoje 70,76 m2 z pralnią, doskonałym układem i balkonem 5,17 m2 !Kameralna inwestycja z nowoczesną architekturą położona w malowniczej lokalizacji przy terenach zielonych oraz niedaleko brzegu Warty.Każde mieszkanie posiada balkon lub taras.Mieszkania mają możliwość wydzielenia osobnej kuchni z oknem. Niewątpliwym atutem są niezwykle funkcjonalne układy mieszkań.Do dyspozycji mieszkańców w budynku znajduje się wózkarnia oraz rowerownia.Dostępne miejsca postojowe w hali garażowej oraz komórki lokatorskie.Układ mieszkania:- łazienka 1 - 4,5 m2- łazienka 2 - 2,72 m2- pokój dzienny z kuchnią - 29,94 m2- pokój - 9,22 m2- pralnia - 2,82 m2- przedpokój - 8,02 m2- sypialnia - 12,56 m2- ściany działowe - 0,98 m2Razem: 70,76 m2Powierzchnia dodatkowa:- balkon - 5,17 m2Lokalizacja:- 7,2 km do centrum- 330 m do przystanku komunikacji miejskiej- bliskość terenów zielonych- bliskość punktów handlowo- usługowychZakup bez podatku PCC i prowizji.Zapewniamy bezpłatną pomoc kredytową.Ostatnie mieszkania gotowe do odbioru !Zapraszam do kontaktu oraz na prezentację mieszkania w biurze sprzedaży.Bruno DragonEkspert ds. Nieruchomościtel. 506 068 393M.09Zainteresowany? Zadzwoń teraz i umów się na spotkanie online</t>
  </si>
  <si>
    <t>https://www.otodom.pl/pl/oferta/nowe-3-pokoje-70-76-m2-doskonaly-uklad-balkon-ID4ocqO</t>
  </si>
  <si>
    <t>4ocqO</t>
  </si>
  <si>
    <t>Przestronne 3 pokoje w Świdwinie!</t>
  </si>
  <si>
    <t>Świdwin, świdwiński, zachodniopomorskie</t>
  </si>
  <si>
    <t xml:space="preserve">Polecam do sprzedaży przestronne, trzypokojowe, jasne mieszkanie usytuowane na ul. Gen. Bartoszcze 3, na osiedlu wojskowym.
Niski blok, zadbane otoczenie budynku, możliwość parkowania pod blokiem.
Lokal o powierzchni: 81m2 mieści się na parterze i składa się z :
salonu z aneksem kuchennym
przedpokoju
łazienki
sypialni
sypialni
piwnicy
Mieszkanie idealne dla rodziny.
Wolne od zaraz.
Zapraszam do kontaktu o każdej porze dnia pod nr tel : 500 109 176
</t>
  </si>
  <si>
    <t>https://www.otodom.pl/pl/oferta/przestronne-3-pokoje-w-swidwinie-ID4orDF</t>
  </si>
  <si>
    <t>4orDF</t>
  </si>
  <si>
    <t>Gotowe 3 pokoje 64,45 m2 + 2 miejsca parkingowe</t>
  </si>
  <si>
    <t>ul. Tadeusza Jasińskiego, Jasień, Gdańsk, pomorskie</t>
  </si>
  <si>
    <t>Przedstawiam piękne i praktycznie zaprojektowane 3-pokojowe mieszkanie, umeblowane i gotowe do zamieszkania!
Nie odpowiadam na SMS, pośrednikom nieruchomości dziękuję za współpracę 
Mieszkanie mieści się w intensywnie rozwijającej się dzielnicy Gdańska - Jasieniu, z dostępnym zapleczem edukacyjno - handlowym pozwalającym wygodnie mieszkać. Miejsce charakteryzują zadbane tereny zielone, bliskość natury a zarazem możliwość szybkiego dojazdu do Centrum Gdańska (15 minut samochodem) jak i dojazd na obwodnicę (3 minuty). Osiedle połączone komunikacyjnie z centrum Gdańska poprzez pętlę autobusową. Dla swoich mieszkańców wyposażone jest w wielofunkcyjne boisko, oczko wodne, wiele różnorodnych placów zabaw. Osiedle monitorowane,
Wśród najbliższych sklepów znajduje się kilkaset metrów od mieszkania: Stokrotka, Żabka oraz w tym samym budynku Przedszkole Publiczne Pozytywne nr 7, żłobek A-Kuku, Kawialnia, Studio Figura. Idąc dalej w zasięgu ręki jest apteka, dentysta, przychodnia, siłownia, a w odległości ok 1 km Rental Park (Rossmann, siłownia, Lidl, Pepco, przedszkole, Sowa i wiele innych) oraz Morski Park Handlowy z Carrefour, OBI, Media Expert, apteka, Jula)
Mieszkanie mieści się w budynku powstałym w 2021 roku przez cenionego dewelopera INPRO, na które się składa:
- słoneczny salon z aneksem kuchennym
- dwie niezależne widne sypialnie
- łazienka
- przedpokój
- garderoba
- balkon
Mieszkanie jest dwustronne, ścianki działowe murowane, każde okno wyposażone w wykonywane na zamówienie rolety plisowane. Lokal mieści się na drugim piętrze 3-piętrowego budynku co daje ogromny komfort podczas gorącego lata i ciepło zimą. Na podłogach poza częścią kuchenną i łazienką, ułożono panele wysokiej ścieralności oraz wodoodporności 24h, wszystkie listwy przypodłogowe są wodoodporne. W całym mieszkaniu użyto szklanych włączników dotykowych oraz gniazdek z tej samej kolekcji Livolo dobranych kolorystycznie do pomieszczenia.
Lokal został przemyślanie zaprojektowany. W każdym wnętrzu znajdują się meble zrobione na wymiar, co pozwoliło na funkcjonalne wykorzystanie każdego centymetra, nie tracąc przy tym uroku.
Kuchnia
Aneks kuchenny jest wyjątkowo rozbudowany z mnóstwem szafek do przechowywania. Pod zlewem umieszczono 5-stopniowy filtr do oczyszczania wody pitnej, z tego powodu w bateria kuchenna posiada dodatkowy kranik do przefiltrowanej wody nadającej się bezpośrednio do picia. Kuchnię wyposażono w płytę indukcyjną oraz piekarnik Electrolux, pojemną lodówko-zamrażarkę LG, okap teleskopowy SeeNERGY o wysokiej wydajności, zmywarka Electrolux Comfort lift, mikrofalę Samsung z funkcją grilla. W części kuchennej znajduje się stół jadalny rozsuwany na 8 osób (w komplecie 8 krzeseł). Meble kuchenne jak i stół wykonane z tych samych materiałów przygotowane przez stolarza. W salonie jak i części kuchennej wykonano również dwie szklane witryny ze szklanymi półkami i oświetleniem LED, które umieszczono również pod szafkami wiszącymi. W tym pomieszczeniu skorzystano z oświetlenia punktowego które rozmieszczono na całej długości aneksu i przedpokoju; dodatkowa lampa nad stołem. Dodano dwa wpuszczone w blat gniazda, unikając umieszczania gniazdek na ścianie.
Salon
Cała zabudowa widoczna na zdjęciu przygotowana na wymiar. Obok miejsca na drobiazgi/książki, umieszczono dwa rzędy zamykanych szafek na dokumenty itp. Podświetlana szklana witryna. Kanapa rozkładana z miejscem do spania i przechowywania pościeli. Nad nią dopasowane do mebli półki na książki. Geometryczna tapeta ze złotym akcentem na ścianie za narożnikiem. TV LG 65’
Główna sypialnia 
Wyposażona w łóżko kontynentalne z welurowym wezgłowiem o wymiarach 160 x 200 cm, 3-drzwiową szafę oraz szafki nocne wykonane na wymiar. W pomieszczeniu przytulna tapeta, złote dodatki i oświetlenie, stylowa oprawa okna.
Pokój
Pokój został przygotowany do zamieszkania przez dwójkę dzieci. Szafa, szafki do przechowywania, półka na książki oraz biurko wykonane na wymiar. Biurko przystosowane na dwie osoby, z wyjściami do ładowania/ podłączenia sprzętu komputerowego/oświetlenia.
Pod nim dwie szafki „kontenerki” z szufladami na kółkach co daje swobodę pracy i rozmieszczania ich wedle potrzeby. Piękna tapeta w złoto-niebieskie ananasy jest kolorowym akcentem w pomieszczeniu. Pokój przy minimalnych kosmetycznych zmianach może też służyć jako gabinet. 
Przedpokój
Wyposażony w szafę na wymiar z półkami na buty i wieszaki na okrycie wierzchnie. Przy szafie umieszczono wygodne miękkie siedzisko oraz lustro. Dopełnieniem są lamele wykonane przez stolarza w tym samym kolorze co blat kuchenny/stół/wykończenia szaf i szafek oraz metalowe akcenty dekoracyjne.
Garderoba
Wykonana w całości przez stolarza z mnóstwem wieszaków, półek, miejscem na deskę do prasowania oraz żelazko. Wygospodarowano również miejsce na robot sprzątający. Garderoba zamykana drzwiami przesuwnymi, co zdecydowanie wpływa na swobodę poruszania się po przedpokoju. W garderobie umieszczono widoczny na zdjęciu system Danfoss Link do sterowania ogrzewaniem poprzez panel/aplikację w telefonie. Dzięki temu w mieszkaniu jest optymalna temperatura co przekłada się na oszczędność jak i komfort mieszkania.
Łazienka
Pomieszczenie utrzymane w złoto-brązowej tonacji. Oprócz szafki pod zlew przygotowanej przez stolarza, cała ściana zabudowana w 4-drzwiowe zamykane szafki na wszelkie akcesoria kosmetyczne, ręczniki itd. Na ścianie z lustrem hiszpańskie płytki które w połączeniu ze złotymi akcentami nadają elegancki ton wnętrzu. Lustro z podświetlaną ramą, oprócz oświetlenia punktowego na suficie, umieszczono dodatkowe oświetlenie nad blatem z 3 punktami świetlnymi. W łazience sprzęt AGD najwyższej klasy: zarówno pralka i suszarka firmy AEG, do 8 kg. Umywalka nadblatowa, WC podwieszane w zabudowie, prysznic z odpływem liniowym. Nad pralką i suszarką kolejna zamykana szafka na akcesoria do prania/sprzątania, realizowane również na zamówienie
Do mieszkania przynależą 2 naziemne miejsca parkingowe oraz piwnica wielkości 8,68 m2
Cena mieszkania zawiera wyposażenie AGD, RTV wymienione powyżej, zabudowy, meble, system Danfoss Link, filtr do uzdatniania wody. Wszystkie sprzęty AGD, RTV są na gwarancji, zakupione w 2022 r.
*Przedstawiona oferta cenowa ma charakter informacyjny i nie stanowi oferty handlowej w rozumieniu Art.66 par.1 Kodeksu Cywilnego
 </t>
  </si>
  <si>
    <t>https://www.otodom.pl/pl/oferta/gotowe-3-pokoje-64-45-m2-2-miejsca-parkingowe-ID4oxZK</t>
  </si>
  <si>
    <t>4oxZK</t>
  </si>
  <si>
    <t>Rozkładowe 3 pokojowe mieszkanie z loggią</t>
  </si>
  <si>
    <t>ul. Teofila Lenartowicza, Zagórze Południe, Sosnowiec, śląskie</t>
  </si>
  <si>
    <t>Przedstawiamy Państwu ofertę sprzedaży, mieszkania w Sosnowcu przy ulicy Lenartowicza. Mieszkanie w pełni wyposażone, gotowe do zamieszkania.MOŻLIWA ZAMIANA na mniejsze mieszkanie o powierzchni od MINIMUM 48m2 - 60m2 na tym samym osiedlu na 1 lub 2 piętrze.Układ funkcjonalny:- salon / pokój 1 z loggią,- sypialnia / pokój 2,- sypialnia / pokój 3,- oddzielna kuchnia,- łazienka,- oddzielny WC,- przedpokój,Media:- prąd,- woda miejska i kanalizacja,- gaz,- ogrzewanie miejskie,- ciepła woda z sieci miejskiej,Do mieszkania przynależy piwnica.Forma własności: Pełna własność.Zapraszamy na prezentację!</t>
  </si>
  <si>
    <t>https://www.otodom.pl/pl/oferta/rozkladowe-3-pokojowe-mieszkanie-z-loggia-ID4obLm</t>
  </si>
  <si>
    <t>4obLm</t>
  </si>
  <si>
    <t>Mieszkanie, 42,78 m², Zabrze</t>
  </si>
  <si>
    <t>os. Janek, Guido, Zabrze, śląskie</t>
  </si>
  <si>
    <t>Zapraszamy do zakupu dwupokojowego mieszkania o powierzchni 42,78 m2. Mieszkanie usytuowane jest na parterze bloku o niskiej zabudowie.
Lokal składa się z 2 niezależnych pokoi, oddzielnej kuchni, łazienki z wc oraz przedpokoju. Mieszkanie z przynależną piwnicą. Wejście do klatki zabezpieczone domofonem. Ogrzewanie miejskie z podzielnikami, ciepła woda z piecyka gazowego.  
Na ścianach w pokojach gładzie, na podłogach panele. Sufit podwieszany z oświetleniem halogenowym w jednym z pokoi oraz w kuchni. Kuchnia oraz łazienka wykafelkowane płytkami starszego typu. W przedpokoju znajduje się szafa zabudowana z drzwiami przesuwnymi, na ścianach panele PCV, podłoga wykafelkowana. Okna plastikowe.
Lokal do odświeżenia/odnowienia.
Miesięczne opłaty wraz z zaliczką na CO wynoszą 515 zł.
Mieszkanie położone jest na spokojnym i cichym osiedlu w bezpośrednim sąsiedztwie miejsca parkingowe oraz las.
W pobliżu sklepy, placówki oświatowe, przychodnia lekarska, plac zabaw.
Dobry dostęp do środków komunikacji miejskiej. Doskonały dojazd do DTŚ oraz A4.
Niniejsza propozycja nie stanowi oferty handlowej w rozumieniu Kodeksu Cywilnego, lecz ma charakter informacyjny.</t>
  </si>
  <si>
    <t>spółdzielcze wł. prawo do lokalu</t>
  </si>
  <si>
    <t>https://www.otodom.pl/pl/oferta/mieszkanie-42-78-m-zabrze-ID4mRHq</t>
  </si>
  <si>
    <t>4mRHq</t>
  </si>
  <si>
    <t>Centrum. Piękne dwupokojowe wykończone pod klucz!!</t>
  </si>
  <si>
    <t>Okole, Bydgoszcz, kujawsko-pomorskie</t>
  </si>
  <si>
    <t xml:space="preserve">Biuro Makler poleca:Chciałbyś mieszkać blisko Centrum?W bliskiej odległości do Kanału Bydgoskiego i terenów zielonych?Ze świetną komunikacją z pozostałymi dzielnicami miasta i pełną infrastrukturą wokół?Nie czekaj ta inwestycja jest właśnie dla Ciebie!!!Nieruchomości w świeżo oddanej inwestycji na ulicy Grunwaldzkiej. Opis Nieruchomości: Mieszkanie trzy pokojowe po powierzchni 58,36 m2, na pierwszym piętrze nowo powstałego budynku z balkonem.Możliwość zakupu garażu lub miejsca parkingowego. Teren zabezpiecza wysoka brama automatyczna otwierana za pomocą impulsu połączenia telekomunikacyjnego. O inwestycji:Deweloper oferuje 30 mieszkań, 2 lokale użytkowe, 15 garaży oraz 15 miejsc parkingowych w gotowym budynku w stanie developerskim zamkniętym.&amp;middot;         Każde mieszkanie uzbrojone w piec gazowy dwu-funkcyjny.&amp;middot;         Ogrzewanie podłogowe.&amp;middot;         Okna 3 szybowe.Budynek A wyposażony w windę przeszkloną zewnętrzną, Budynek C wyposażony w windę wewnętrzną.Dziedziniec z miejscami postojowymi wyłożony kostką brukową.Teren zabezpiecza wysoka brama automatyczna, otwierana za pomocą impulsu połączenia telekomunikacyjnego.Oferowane mieszkania wyróżniają się nowoczesną architekturą, wysokim standardem i ciekawymi rozwiązaniami.Zapraszam na prezentację!! </t>
  </si>
  <si>
    <t>https://www.otodom.pl/pl/oferta/centrum-piekne-dwupokojowe-wykonczone-pod-klucz-ID4os6d</t>
  </si>
  <si>
    <t>4os6d</t>
  </si>
  <si>
    <t>Dwupokojowe mieszkanie z windą - Piaseczno</t>
  </si>
  <si>
    <t>Piaseczno, Piaseczno, piaseczyński, mazowieckie</t>
  </si>
  <si>
    <t>Prezentowana nieruchomość to mieszkanie o powierzchni 34,2m2.Składa się z:- salonu z aneksem kuchennym 18,7m2 z wyjściem na loggię 3,5m2,- sypialni 9m2,- łazienki 3,5m2 z kabiną prysznicową,- przedpokoju/korytarza 3m2.Mieszkanie jest zadbane, wymaga odświeżenia.Dobrze doświetlone, dzięki ekspozycji okien na południowy-wschód.Czynsz wynosi ok. 460 złotych, przy jednej osobie. W skład tej opłaty wchodzą zaliczki na ogrzewanie i wodę, fundusz remontowy i śmieci.Dodatkowo do mieszkania przynależy miejsce parkingowe w garażu, dodatkowo płatne 30 000 złotych (zakup obligatoryjny).Lokal znajduje się w Piasecznie, przy ulicy Energetycznej.8.- piętro (ostatnie).Oferta wysłana z programu dla biur nieruchomości ASARI CRM ()</t>
  </si>
  <si>
    <t>https://www.otodom.pl/pl/oferta/dwupokojowe-mieszkanie-z-winda-piaseczno-ID4opYt</t>
  </si>
  <si>
    <t>4opYt</t>
  </si>
  <si>
    <t>Luksusowy apartament po remoncie w Pile</t>
  </si>
  <si>
    <t xml:space="preserve">Jedyna taka oferta!Komfortowy apartament blisko centrum Piły,  monochromatyczny w stylu Scandi, w pełni umeblowany i wyposażony, o powierzchni użytkowej 26,1  m2.Przemyślany układ i oryginalne rozwiązania architektoniczne, oraz  stylowe wykończenie nadają mu niepowtarzalnego charakteru.Całość wykonana z dbałością o każdy detal. Mieszkanie gotowe do zamieszkania od zaraz. Mieszkanie kompletnie umeblowane i wyposażone w sprzęt RTV i AGD. - pokój z aneksem kuchennym, meble w zabudowie , wygodna sofa , stolik, stół z krzesłami oraz komfortowa strefa TV,- stylowa łazienka z wc, - przedpokój,- piwnica.Mieszkanie blisko  Centrum Piły to dobre rozwiązanie dla osób ceniących wygodę i komfort codziennego życia. Dobra komunikacja miejsca, bliskość sklepów, centrum handlowego i innych punktów użyteczności publicznej typu przedszkola, szkoły, sklepy, banki etc. Przy bloku prywatny parking zamykany na szlaban. Zapraszam do kontaktu po więcej szczegółów oraz prezentację nieruchomości. 
Oferta wysłana z programu dla biur nieruchomości ASARI CRM ()
</t>
  </si>
  <si>
    <t>https://www.otodom.pl/pl/oferta/luksusowy-apartament-po-remoncie-w-pile-ID4nW9q</t>
  </si>
  <si>
    <t>4nW9q</t>
  </si>
  <si>
    <t>Mieszkanie, 53,53 m², Lublin</t>
  </si>
  <si>
    <t>Bronowice, Lublin, lubelskie</t>
  </si>
  <si>
    <t>Lublin, Wrońska - BG, 138- Oferta Deweloperska! Budowa nieruchomości została rozpoczęta, planowany termin zakończenia budowy 30 listopad 2025r. Nieruchomość o powierzchni 53,53m2, zlokalizowana będzie na 3 piętrze. Zestawienie pomieszczeń: -Przedpokój- 8,58m2 -Salon +aneks- 16,28m2 -Pokój- 12,36 -Pokój- 9,70m2 -Łazienka- 4,83m2 -WC- 1,78m2 -Balkon- 13,10m2Dostępne media: -Instalacja wodna -Instalacja prądowa -Instalacja sanitarna -Instalacja centralnego ogrzewaniaMiejsca postojowe zaprojektowane zostały w garażu podziemnym oraz na kondygnacji naziemnej, 8 z nich dla osób z niepełnosprawnościami. Kondygnacja podziemna zawierać również będzie komórki lokatorskie. Każda klatka wyposażona będzie w windy zapewniające możliwość poruszania się między wszystkimi kondygnacjami. Do lokalu mieszkalnego obowiązkowy jest zakup miejsca postojowego w garażu podziemnym oraz komórki lokatorskiej. Inwestycja znajduje się w świetnej lokalizacji, blisko centrum, szkół oraz przedszkoli, w pobliżu znajduje się także przychodnia, apteka, sklepy spożywcze (Stokrotka, Kaufland). Teren wokół budynku wyróżnia się zielenią, dobrym oświetleniem, a także placem zabaw dla najmłodszych. W ofercie posiadam również inne metraże mieszkań.ZADZWOŃ JUŻ DZIŚ I UMÓW SIĘ NA PREZENTACJĘ! tel:. 797-426-704W razie wszelkich pytań zadzwoń, zapytaj i umów się na wizytę na nieruchomości. Grupa WGN Koncern Obrotu Nieruchomościami - Lublin Informacje dotyczące nieruchomości zostały sporządzone na podstawie oświadczeń i nie są ofertą w rozumieniu przepisów prawa, mają charakter wyłącznie informacyjny i mogą podlegać aktualizacji, zalecamy ich osobistą weryfikację. Wszystkie teksty, rysunki, zdjęcia oraz wszystkie inne informacje opublikowane na niniejszych stronach podlegają prawom autorskim Grupa WGN Koncern Obrotu Nieruchomościami - Lublin. Wszelkie kopiowanie, dystrybucja, elektroniczne przetwarzanie oraz przesyłanie zawartości bez zezwolenia zabronione. Wszelkie prawa zastrzeżone.</t>
  </si>
  <si>
    <t>https://www.otodom.pl/pl/oferta/mieszkanie-53-53-m-lublin-ID4nvtf</t>
  </si>
  <si>
    <t>4nvtf</t>
  </si>
  <si>
    <t>29,31m2 Mieszkanie M2 Łódź Centrum ul. Karolewska</t>
  </si>
  <si>
    <t>ul. Karolewska, Stare Polesie, Polesie, Łódź, łódzkie</t>
  </si>
  <si>
    <t>Witam, do sprzedania mieszkanie własnościowe z KW o powierzchni 29,31 m2 wraz z komórką lokatorską o powierzchni 2,3 m2.
Mieszkanie składa się z 2 pokoi -  salonu z aneksem kuchennym, oddzielnej sypialni oraz łazienki z wc.
Z przedmiotowym lokalem związane jest prawo do wyłącznego korzystania z komórki lokatorskiej.
W mieszkaniu wstawiono nowe drzwi wejściowe oraz wewnętrzne. Okna PCV. Na ścianach gładź, pełna zabudowa gipsowa, oświetlenie halogenowe, sztukateria. Nowa instalacja elektryczna , sanitarno-hydrauliczna.
W przedpokoju szafa z lustrami wykonana przez stolarza pod wymiar. Salon pomieści stół z krzesłami, kanapę i inne meble.
Jasna sypialnia, w której również szafa na całej ścianie za drzwiami pod wymiar.
Meble kuchenne pod wymiar,, min: zmywarka/piekarnik/lodówka .
W łazience prysznic ze szklanym parawanem, system WC podwieszany, umywalka oraz lustro z dodatkowym oświetleniem, dzięki któremu łazienka jest bardzo jasna.+ zabudowa szafki na kosmetyki nad geberitem zlicowana ze ścianą .
Klatka schodowa jest zadbana. Mieszkanie uzbrojone we wszystkie rzeczy stałe widoczne na projekcie.
Lokalizacja mieszkania jest bardzo dobrze skomunikowana z resztą miasta. W pobliżu przystanki autobusowe, Blok położony jest blisko punktów handlowo - usługowych, sklepy spożywcze, liczne markety, poczta, apteka, rynek, przychodnie. W pobliżu szkoła, przedszkole . W sąsiedztwie Dworzec PKP Łódź Kaliska, Park Poniatowskiego i Zdrowie. W niedalekiej odległości od Galerii Łódzkiej , 5 minut do ul.” Piotrkowskiej i 15 min do Manufaktury.  
Mieszkanie nie wymaga żadnych nakładów finansowych. Nie jest obciążonehipoteką. Czynsz ok. 400 zł 
- Mieszkanie zlokalizowane na 6 piętrze w 11 piętrowym wieżowcu przy ul. Karolewskiej 24/28.
- Blok ogrodzony, brama na pilota, możliwość parkowania na zamkniętym terenie.
 - Okna mieszkania wychodzą na południe.  
- Mieszkanie w bloku z 1981 roku.
Mieszkanie jest remontowane zgodnie z projektem zaprezentowanym powyżej. 
Z uwagi na szybko sprzedające się mieszkania nie mamy w ofercie żadnego gotowego lokalu (wszystko sprzedaje się nam podczas remontu). Konkretnie to mieszkanie będzie skończone do połowy lutego 2024r. dzięki czemu możemy "uszyć" nieruchomość pod przyszłego właściciela :).
Na tym etapie klienci wspierający się rządowym kredytem 2% są mile widziani, ponieważ my robimy remont a TY załatwiasz procedury kredytowe.
Jesteśmy elastyczni czasowo i na pewno dopasujemy się do dnia i godziny oględzin zaproponowanej przez Ciebie.
Kupując od nas mieszkanie NIE PŁACISZ PROWIZJI. Jesteśmy w stałej współpracy ze stolarzem oraz osobami, które przeprowadzały remont w mieszkaniu w związku z tym po zakupie mieszkania jesteśmy w stałym kontakcie, nie znikamy! Oferujemy pomoc w sprawach kredytowych, przy wyborze notariusza oraz ubezpieczenia mieszkania. 
Zapraszam do kontaktu. Sprzedaż bez prowizji i bez pośredników.</t>
  </si>
  <si>
    <t>https://www.otodom.pl/pl/oferta/29-31m2-mieszkanie-m2-lodz-centrum-ul-karolewska-ID4oGlp</t>
  </si>
  <si>
    <t>4oGlp</t>
  </si>
  <si>
    <t>Komfortowy Dom Tarnów ul. Jesionowa</t>
  </si>
  <si>
    <t>Kontakt:tel.664 788 766 wewnętrzny 5 Basiabezpośrednie numery kontaktowe:Basia 883 870 656Basia S. 536 255 276Andrzej 796 656 870
"Czas na własne M?
Mamy dla Ciebie M+ plus, w cenie M. Zapytaj o szczegóły."
Oferujemy do sprzedaży, na "Osiedlu Jesionowym 2" 4 domy-mieszkania z garażem w bardzo wysokim standardzie deweloperskim, o całkowitej powierzchni użytkowej 98,25 mkw, a powierzchni podłogi 102,25 mkw. Położone, każdy na działce w Tarnowie-Krzyżu, w cichej okolicy pomiędzy domami jednorodzinnymi.
Budynki wybudowane są z pustaka Thermopor 25, kryte blacho-dachówkową renomowanej firmy z długoletnią  gwarancją, z elewacją zewnętrzną budynku z ociepleniem 20 centymetrowym styropianem.
W domu: wszystkie instalacje (w tym instalacja klimatyzacji, instalacja pod internet, satelitę, światłowód), ogrzewanie podłogowe z piecem gazowym dwu funkcyjnym renomowanej firmy plus termostat, tynki cementowo - wapienne, wylewki, parapety zewnętrzne, drzwi wejściowe antywłamaniowe, Okna PCV. Dużą zaletą tego domu są bardzo niskie koszty eksploatacji.
Cena obejmuje wykonanie podjazdu i chodnika  oraz ogrodzenia.
Cena od 6 000,00 zł/m2
"Policz plusy małe i duże:
100m2 +
+ garaż
+ własny ogródek
+ balkon do każdej sypialni
+ doskonała lokalizacja
+ wysoka jakość wykończenia"
Dom posiada 2 poziomy, parter + poddasze. Na parterze znajduje się garaż, wiatrołap, kuchnia, salon, łazienka, na poddaszu znajdują się trzy sypialnie, łazienka, garderoba oraz hol.
"Osiedle Jesionowe - Wszystkie zalety wiejskiego życia - w sercu Miasta !"
Idealna lokalizacja w pobliżu: przystanek autobusowy (180m), przedszkole publiczne (400m), kościół (590m), szkoła (710m), sklep (870m), supermarket, centrum handlowe Gemmini (1,8 km), bardzo blisko do ścisłego centrum Tarnowa (4,2 km na Rynek).
"Osiedle Jesionowe - Prawdopodobnie najlepsze mieszkania w mieście."
Budynek sprzedajemy na fakturę VAT, podana cena jest ceną BRUTTO. Kupujący zwolniony z opłaty skarbowej 2%. Po więcej szczegółów zapraszamy do kontaktu z biurem: Basia tel.664 788 766 wewnętrzny 2 , bezpośrednie numery kontaktowe:  Basia 883 870 656, Basia S. 536 255 276, Andrzej 796 656 870 - w celu umówienia się bezpośrednio na naszych budowach.
Zapraszamy do zapoznania się z naszą pełną ofertą oraz SPACER 3D po naszych mieszkaniach na stronie.
AWD-JORTIS DEWELOPER
Plusy to nasza specjalność.
UWAGA: Ogłoszenie nie jest ofertą sprzedażową, a tylko ofertą informacyjną!</t>
  </si>
  <si>
    <t>https://www.otodom.pl/pl/oferta/komfortowy-dom-tarnow-ul-jesionowa-ID4mZ2V</t>
  </si>
  <si>
    <t>4mZ2V</t>
  </si>
  <si>
    <t>Mieszkanie 3pokoje, ogródek-gotowe do zamieszkania</t>
  </si>
  <si>
    <t>ul. Królewskie Wzgórze, Piecki-Migowo, Gdańsk, pomorskie</t>
  </si>
  <si>
    <t>Na sprzedaż słoneczne i przytulne mieszkanie w Gdańsk osiedle Królewskie Wzgórze.
LOKALIZACJA
Mieszkanie znajduje się na spokojnym i cichym osiedlu Królewskie Wzgórze dzielnica Piecki – Migowo potocznie zwana Moreną. Okolica bardzo dobrze rozwinięte posiadająca wszelkie udogodnienia: sklepy , hipermarkety , szkoła, przedszkole, żłobek oraz wszelkie usługi np. przychodnia, fryzjer kosmetyczka. Bezpośrednio  przy osiedlu znajduje się przystanek autobusowy oraz tramwajowy a w niedalekiej okolicy kolej metropolitalna. W pobliżu atrakcje tj.  place zabaw, Multipark Morena oraz Trójmiejski Park Krajobrazowy.
BUDYNEK
Nieruchomość usytuowana jest na parterze trzypiętrowego , nowoczesnego budynku. W bloku znajdują się komórki lokatorskie oraz hala garażowa. Klatka czysta oraz przestronna. Na każdym piętrze znajdują się cztery mieszkania.
MIESZKANIE
Prezentowane mieszkanie wykończone jest w stylu nowoczesnym z ekspozycją południowo – zachodnią. W skład nieruchomości wchodzi:
salon z kuchnią – 21,6 m2
pokój 1- 11,9 m2
pokój 2- 13,6m2
łazienka – 5,4m2
hol – 8,6m2
ogródek- 35,9 m2
komórka lokatorska (w cenie mieszkania) – 2,73 m2
Elementy stałe, meble i dodatki dekoracyjne pozostają na wyposażeniu mieszkania.
Zapraszam do kontaktu.  Powyższa oferta ma charakter informacyjny i nie stanowi oferty handlowej w rozumieniu art. 66 1 Kodeksu Cywilnego.</t>
  </si>
  <si>
    <t>https://www.otodom.pl/pl/oferta/mieszkanie-3pokoje-ogrodek-gotowe-do-zamieszkania-ID4on4D</t>
  </si>
  <si>
    <t>4on4D</t>
  </si>
  <si>
    <t>4 pok. w znakomitej cenie</t>
  </si>
  <si>
    <t>Bezpośrednio od dewelopera. Bez podatku PCC bez prowizji
Nowe zielone osiedle. w standardzie Pakiety Smart Home, nawiewniki antysmogowe.
Lokalizacja:
 Dojazd autem do centrum Poznania zajmuje tylko 15 minut.
Zaledwie 5 minut drogi rowerem i kwadrans spacerem znajdują się rozległe tereny zielone rezerwatu przyrody Żurawiniec z licznymi miejscami do wypoczynku na świeżym powietrzu. Taka lokalizacja sprzyja aktywności fizycznej i rodzinnym spacerom - z dala od zgiełku miasta.
W promieniu kilkuset metrów od osiedla działają sklepy i punkty handlowe (Żabka, Netto, Biedronka, Carrefour). Dojazd do centrum handlowego Plaza z kinem Cinema City zajmuje 10 minut.
Bliskość żłobków, szkół i przedszkoli jest atutem dla wielu osób planujących nabyć nowe mieszkanie. Naramowice to doskonałe miejsce dla rodzin, ponieważ osiedlając się tu, nie musisz martwić się o czasochłonne poranne odwożenie dzieci – wszystko jest na miejscu.
Lokalizacja w bliskości dużych węzłów komunikacyjnych i dogodny dojazd do śródmieścia sprawiają, że centrum Poznania znajduje się na wyciągnięcie ręki.
Codzienne podróżowanie ułatwi bliskość przystanków MPK. Kursują tu linie nr: 144, 146, 167, 169, 234, 248, 911.
z poważaniem
Paweł Biadun
882 953 888</t>
  </si>
  <si>
    <t>https://www.otodom.pl/pl/oferta/4-pok-w-znakomitej-cenie-ID4oIyr</t>
  </si>
  <si>
    <t>4oIyr</t>
  </si>
  <si>
    <t>Nowa cena! Jasne,przestronne mieszkanie Trzemeszno</t>
  </si>
  <si>
    <t>Nowa, niższa cena!Oferuję do sprzedaży jasne i przestronne mieszkanie 2- pokojowe zlokalizowane na cichym i spokojnym osiedlu w Trzemesznie.Mieszkanie o powierzchni 56m2, znajduje się na 4 piętrze w czteropiętrowym bloku. Składa się z dwóch pokoi, w tym jeden z balkonem, kuchni, łazienki z prysznicem i dużego przedpokoju. W 2020 roku  przeprowadzono generalny remont: wymianę instalacji elektrycznej, paneli podłogowych.Na podłodze w kuchni położone są płytki ceramiczne, w salonie i pokojach panele podłogowe. Na ścianach tapety i gładź szpachlowa.Nowe okna PCV z roletami zewnętrznymi wychodzą na wschód w sypialni i kuchni i na zachód w salonie. Niski czynsz ok. 620 zł przy 2 osobach.Mieszkanie nie wymaga wkładu własnego, od razu do wprowadzenia. Mieszkanie sprzedawane jest bez wyposażenia. W pobliżu znajdują się sklepy, szkoła, obiekty użyteczności publicznej.Dostępne od zaraz.Zapraszam na prezentację.Joanna Kowalewska 787 923 020</t>
  </si>
  <si>
    <t>https://www.otodom.pl/pl/oferta/nowa-cena-jasne-przestronne-mieszkanie-trzemeszno-ID4hg2k</t>
  </si>
  <si>
    <t>4hg2k</t>
  </si>
  <si>
    <t>OSTATNIA szeregówka +OGRÓD_ ODBIERZ klucze-&gt;zobacz</t>
  </si>
  <si>
    <t>Ujeścisko-Łostowice, Gdańsk, pomorskie</t>
  </si>
  <si>
    <t>Ujeścisko-Łostowice, Gdańsk, Pomeranian Voivodeship</t>
  </si>
  <si>
    <t>WIELKA NOWOROCZNA PROMOCJA - kilkadziesiąt mieszkań w specjalnej ofercie PROMOCYJNEJ - zadzwoń i zarezerwuj swoje wymarzone lokum już dzisiaj!
OSTATNIE MIESZKANIE 4-POKOJOWE W SZEREGOWCU NA PARTERZE Z OGRÓDKIEM - umów się na oglądanie na żywo! 
+BEZPŁATNA pomoc dedykowanego DORADCY KREDYTOWEGO w załatwieniu formalności kredytowych!
*Gwarancja wpłaconych środków na poczet ceny nieruchomości!
BUDYNEK Z POZWOLENIEM NA UŻYTKOWANIE - ODBIERZ KLUCZE JUŻ DZIŚ!!
Możliwość umówienia spotkania od poniedziałku do soboty oraz obejrzenia mieszkań na żywo!
PROMOCJE dotyczą mieszkań, jak i miejsc postojowych!
*ZAREZERWUJ MIESZKANIE WRAZ Z JEGO CENĄ JUŻ ZA JEDYNE 1.000,00 PLN – bez notariusza!!
0zł PCC + 0zł Prowizja = oszczędzasz wybierając rynek pierwotny!
Kontakt telefoniczny możliwy 6 dni w tygodniu od 8 do 20.
LOKALIZACJA:1. Szybki dojazd do Głównego Miasta - ok. 10-15minut samochodem (w zależności od natężenia ruchu) / ok. 18 minut autobusem (osiedle obok przystanku autobusowego);2. Bogate zaplecze handlowo-usługowe ze sklepami, piekarniami i restauracjami obok;3. Idealna lokalizacja pod kątem rodziców z dziećmi dzięki bogatej ofercie edukacyjnej (żłobki, przedszkola, szkoły podstawowe);4. Duża ilość miejsc spacerowych, osiedle jest otoczone terenami zielonymi, w pobliżu znajdują się liczne Parki, m.in. Park Ferberów;zdrowo1
6. Możliwość przesiadki w kolejkę, skąd dotrzemy do Gdańsk Główny w ok. 5minuty;
*Możliwość obsługi w języku angielskim I speak English fluently</t>
  </si>
  <si>
    <t>https://www.otodom.pl/pl/oferta/ostatnia-szeregowka-ogrod-odbierz-klucze-zobacz-ID4oCVs</t>
  </si>
  <si>
    <t>4oCVs</t>
  </si>
  <si>
    <t>Ustawne pokoje| z garderobą| promocja 50 000 zł</t>
  </si>
  <si>
    <t>Karłowice, Psie Pole, Wrocław, dolnośląskie</t>
  </si>
  <si>
    <t xml:space="preserve">Zapraszam na spotkanie - Kasia tel. 881 474 470Zakup od dewelopera - kupujący nie płaci prowizji oraz podatku 2% PCC! Największe atuty inwestycji:&amp;radic; budynek z windą i halą garażową&amp;radic; liczne tereny rekreacyjne, ścieżki rowerowe&amp;radic; Las Sołtysowicki&amp;radic; w pobliżu pełna infrastruktura: sklepy, przychodnia, apteka, placówki edukacyjne Mieszkanie 3 pokojowe o powierzchni około 49 m2 usytuowane na 1 piętrze.Wystawa okienna: wschód Lokal składa się z:pokoju dziennego z kuchniądwóch sypialniłazienkigarderobyprzedpokoju Dodatkowo: loggiamiejsce postojowe i komórki lokatorskie osobno płatne Termin realizacji: jesień 2025Mieszkanie jest oddawane w stanie deweloperskim. Zdjęcia przedstawione w ofercie są wizualizacjami. ✔︎ Zapewniam pomoc w uzyskaniu kredytu oraz wykończeniu mieszkania pod klucz.✔︎ Możliwość bezpłatnej rezerwacji mieszkania.✔︎ Kupując ze mną nieruchomość zyskujesz 10% rabatu na wykończenie lub remont mieszkania*Kontakt do osoby prowadzącej ofertę:Kasia: tel. 881 474 470Numer licencji zawodowej: 24771@-mail: telefon do biura: 71 307 24 00oto-5.1.5Oferta została przygotowana na podstawie informacji uzyskanych od dewelopera. Informacje te są przez nas weryfikowane i sprawdzane, mogą jednak ulegać aktualizacji, w związku z czym powyższa oferta nie stanowi oferty handlowej w rozumieniu Kodeksu Cywilnego, a dane w niej zawarte mają jedynie charakter informacyjny. Pośrednik odpowiedzialny zawodowo za wykonanie umowy pośrednictwa: Katarzyna Dorosz (licencja nr: 24771) </t>
  </si>
  <si>
    <t>https://www.otodom.pl/pl/oferta/ustawne-pokoje-z-garderoba-promocja-50-000-zl-ID4oB6Y</t>
  </si>
  <si>
    <t>4oB6Y</t>
  </si>
  <si>
    <t>Dwupoziomowy penthouse na Starym Mokotowie </t>
  </si>
  <si>
    <t>ul. Ksawerów, Ksawerów, Mokotów, Warszawa, mazowieckie</t>
  </si>
  <si>
    <t xml:space="preserve">   Dwupoziomowy penthouse z 175m2 tarasem w kameralnej inwestycji na starym Mokotowie zlokalizowany przy ul. Ksawerów     ENGLISH DESCRIPTION BELOW - PLEASE DO NOT HESITATE TO CONTACT US   Hamilton May prezentuje Państwu wyjątkowy, przestronny, dwupoziomowy penthouse z przestronnym tarasem, znajdujący się w prestiżowej części Mokotowa. Apartament jest w stanie deweloperskim do dowolnej aranżacji. Posiada w standardzie własnąwentylację mechaniczną z rekuperacją, klimatyzatory, grzejniki kanałowe i oknaelektryczne.      → OPIS NIERUCHOMOŚCI   Komfortowy, luksusowy penthouse położony na dwóch ostatnich piętrach  jest w stanie deweloperskim co zapewnia elastyczność w jego aranżacji. Dla komfortu Właścicieli z garażu podziemnego wjeżdża się bezpośrednio windą do apartamentu. Z okien rozpościera się przepiękny widok na zieleń i park z pałacykiem secesyjnym. Obecny plan przewiduje, że apartament będzie się składał z hallu prowadzącego do części dziennej, w której znajduje się salon, jadalnia, kuchnia, pomieszczenie gospodarcze. W części prywatnej znajdują się trzy sypialnie, dwie łazienki i garderoba. Dodatkowo przewidziana została toaleta dla gości, pralnia oraz gabinet. Na drugiej kondygnacji mieści się przestronny salon, sypialnia z garderobą oraz łazienka. Apartament posiada na 3. piętrze loggię o powierzchni 16 m2, a na powierzchni antresoli taras 175 m2 do własnego użytku. Istnieje możliwość zakupu trzech miejsc postojowych w garażu podziemnym w cenie 100 000 zł za miejsce postojowe.         → BUDYNEK   Inwestycja Ksawerów to wyjątkowy apartamentowiec przy parku z pałacykiem secesyjnym, w którym znajduje się osiem apartamentów, po dwa na każdym piętrze.Wjazd windą z garażu podziemnego bezpośrednio do apartamentu. W każdym apartamencie jest przepiękny widok na zieleń oraz park z pałacykiem secesyjnym. Na I, II i III piętrze do dyspozycji mieszkańców są przestronne balkon , a dla właścicieli apartamentów na parterze - taras.III i IV piętro to dwukondygnacyjne penthouse'y, na IV piętrze znajduje się taras o powierzchni 175 m2 przynależący do każdego penthouse'u (łącznie 350 m2 tarasu).W budynku znajduje się garaż podziemny. Do budowy i wykończenia wykorzystane zostały najwyższej jakości materiały: marmur, parkiet z dębu wędzonego, francuska elewacja Carea, ściany z żywą roślinnością czy skóra. Dbałość o środowisko przejawia się w wertykalnym ogrodzie w lobby oraz systemach wentylacyjnych z filtrami antysmogowymi. Prezentowana nieruchomość to harmonia nowoczesnego luksusu, zaawansowanej technologii i zrównoważonego stylu życia dla tych, którzy cenią wyrafinowane otoczenie.         → LOKALIZACJA   Nieruchomość znajduje się w zacisznej i otoczonej zielenią części Górnego Mokotowa, na skrzyżowaniu dwóch ulic Wielickiej i Ksawerów. Stary Mokotów to obszar z renomowanymi parkami, malowniczymi skwerkami i kompleksową infrastrukturą. Jest to jedna z najbardziej prestiżowych dzielnic Warszawy - zielonej, bogatej w liczne parki i ogrody. Urok tej dzielnicy sprawia, iż Mokotów często wybierany jest na rezydencję wielu ambasad i ambasadorów przebywających w Polsce. Park Królikarnia i Park Arkadia stanowią popularne miejsca rekreacji dla mieszkańców Warszawy. Ogród Jordanowski, usytuowany w bliskim sąsiedztwie nieruchomości i sąsiadujący z Parkiem Dreszera, stanowi preferowane miejsce zabaw dla najmłodszych mieszkańców Mokotowa. Nie ma w całej okolicy drugiego placu zabaw, który dorównywałby temu, co oferuje Ogród Jordanowski. Budynek znajduje się w doskonałym punkcie komunikacyjnym. Dwie stacje metra, kilka przystanków autobusowych i tramwajowych są oddalone o kilka minut spacerem. W ciągu 15 minut można dostać się samochodem zarówno do centrum miasta jak i lotniska im. F. Chopina. W sąsiedztwie położone są liczne restauracje, galerie handlowe takie jak Galeria Mokotów i Sadyba Best Mall. Okolica jest bardzo dobrze zaopatrzona w obiekty sportowe jak baseny, korty tenisowe, lodowiska oraz tory wyścigów konnych, szkoły, przedszkola.         → OPŁATY   Cena 10 161 310 PLN + opcjonalnie  miejsce w parkingu podziemnym (100 000 PLN )  +  opcjonalnie  komórka lokatorska  (5000 PLN )       Wszystkie zainteresowane osoby zapraszamy do kontaktu z biurem Hamilton May.      Numer oferty: 19784   - - - - - - - - - - - - - - - - - - - - - - - - - - - - - - - - - - - - - - - - - - - - - - - - - -   A two-level penthouse with a terrace of 175m2 in an intimate development in Stary Mokotow on Ksawerów Street.    Hamilton May presents an exceptional, spacious two-level penthouse with a spacious terrace, located in a prestigious part of Mokotow. The apartment is in developer condition for any arrangement. It has its own mechanical ventilation with recuperation, air conditioners, ducted radiators and electric windows as standard.      → PROPERTY DESCRIPTION   The comfortable, luxurious penthouse, located on the top two floors, is in developer condition which provides flexibility in its arrangement. For the comfort of the Owners, an elevator directly enters the apartment from the underground garage. There is a beautiful view of the greenery and the park with the Art Nouveau palace. The current plan is for the apartment to consist of a hallway leading to the living area, which includes a living room, dining room, kitchen, utility room. The private area includes three bedrooms, two bathrooms and a dressing room. In addition, a guest toilet, a laundry room and a study are provided. On the second floor there is a spacious living room, a bedroom with a dressing room and a bathroom. The apartment has on the 3rd floor a loggia of 16 sqm, and on the mezzanine area a terrace of 175 sqm for personal use. It is possible to purchase three parking spaces in the underground garage at a price of PLN 100,000 per parking space.         → BUILDING   Ksawerów investment is a unique residential complex with a park with an Art Nouveau palace, which features eight apartments - two on each floor.A lift connects the underground garage directly with each apartment. Every property offers a beautiful view of the surrounding greenery and the park with an Art Nouveau palace. The first, second and third floor offer spacious balconies, while the owners of the apartments on the ground floor have access to terraces.The third and fourth floor of the development feature 2-story penthouses; the 4th level also has two terraces of 175m2 each (paired with two of the aforementioned penthouses).The building comes with an underground garage. The development was created and finished using high quality marble, smoked oak parquet, French Carea facade, greenery-covered walls and leather. Care for the environment is manifested in a vertical garden in the lobby and ventilation systems with anti-smog filters. The presented property is a harmony of modern luxury, advanced technology and sustainable lifestyle for those who appreciate sophisticated surroundings.         → LOCATION   The property is located in a secluded and surrounded by greenery part of Górny Mokotów, at the intersection of Wielicka and Ksawerów Streets. Old Mokotow is an area with renowned parks, picturesque squares and comprehensive infrastructure. It is one of the most prestigious districts of Warsaw - green, rich in numerous parks and gardens. The charm of this district makes Mokotow often chosen as the residence of many embassies and ambassadors residing in Poland. Królikarnia Park and Arkadia Park are popular recreation spots for Warsaw residents. Jordanowski Garden, located in close proximity to the property and adjacent to Dreszer Park, is a preferred playground for the youngest residents of Mokotów. There is no other playground in the entire neighborhood that can match what the Jordanowski Garden offers. The building is located in an excellent transportation point. Two subway stations, several bus and streetcar stops are a few minutes' walk away. Within 15 minutes you can get by car to both the city center and F. Chopin Airport. Numerous restaurants, shopping malls such as Galeria Mokotow and Sadyba Best Mall are located in the neighborhood. The neighborhood is very well supplied with sports facilities such as swimming pools, tennis courts, ice rinks and horse racing tracks, schools, kindergartens.         → PRICING   Price 10,161,310 PLN + optional  underground parking place (100,000 PLN )  +  optional  storage space  (5,000 PLN )       We invite you to contact Hamilton May representatives and arrange a viewing.      Reference number: 19784    </t>
  </si>
  <si>
    <t>https://www.otodom.pl/pl/oferta/dwupoziomowy-penthouse-na-starym-mokotowie-ID4oluS</t>
  </si>
  <si>
    <t>4oluS</t>
  </si>
  <si>
    <t>Mieszkanie, 60,70 m², Poznań</t>
  </si>
  <si>
    <t>Piękne wyremontowane mieszkanie na jednej z bardziej znanych ulic Poznania. Proszę dzwonić na numer 500 227640.*Platan Nieruchomości - nieruchomości w Poznaniu.Poznaj najwyższą jakość obsługi! Gwarantujemy miłą i sprawną współpracę! Nasze biuro gwarantuje bezpieczeństwo transakcji, kompleksową obsługę kredytową i notarialną. Powyższy opis ma charakter informacyjny i nie stanowi oferty w rozumieniu przepisów Kodeksu Cywilnego.Oferta wysłana z programu dla biur nieruchomości ASARI CRM ()</t>
  </si>
  <si>
    <t>https://www.otodom.pl/pl/oferta/mieszkanie-60-70-m-poznan-ID4oDqE</t>
  </si>
  <si>
    <t>4oDqE</t>
  </si>
  <si>
    <t>Kołobrzeg przestronny apartament 2 pok. 600m do mo</t>
  </si>
  <si>
    <t>Kołobrzeg, kołobrzeski, zachodniopomorskie</t>
  </si>
  <si>
    <t>Na sprzedaż komfortowe mieszkanie zlokalizowane na Osiedlu Jantar w Kołobrzegu.Osiedle ogrodzone i monitorowane, na terenie którego znajduje się plac zabaw, ogrodzone boisko oraz ogólnodostępne miejsca parkingowe.W odległości ok 600 m morze, park nadmorski oraz ścieżka rowerowo - rekreacyjna biegnąca wzdłuż pasa nadmorskiego.W bezpośrednim sąsiedztwie markety, sklepy, pizzeria, lodziarnia, centrum ogrodnicze.Mieszkanie zlokalizowane na pierwszym piętrze, w budynku wybudowanym w 2008r. z windą.Mieszkanie o powierzchni 56,61m2	pokój dzienny z częściowo otwartą kuchnią oraz wyjściem na balkon o powierzchni 3,4m2	sypialnia	łazienka z WC	przedpokój  W cenie mieszkania wyposażenie kuchni, meble oraz sprzęty RTV i AGD.Do mieszkania przynależy komórka lokatorska o pow. 2m2Mieszkanie jednostronne, bardzo słoneczne ( kierunek zachodni ), przestronne i klasycznie wykończone.Czynsz ok. 700 zł., dodatkowe opłaty - prąd ( według zużycia )Forma prawna - pełna własnośćApartament idealny jako inwestycja lub świetne miejsce na mieszkanie dla rodziny.Możliwość wykupienia garażu ( osobna KW ) w cenie 90 000,-  o powierzchni 20,4 m2ZAPRASZAM SERDECZNIE NA PREZENTACJĘ NIERUCHOMOŚCI  PAULINA ZIELIŃSKA TEL. 660727425"Opis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</si>
  <si>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https://www.otodom.pl/pl/oferta/kolobrzeg-przestronny-apartament-2-pok-600m-do-mo-ID4lrbR</t>
  </si>
  <si>
    <t>4lrbR</t>
  </si>
  <si>
    <t>Elegancja i komfort!</t>
  </si>
  <si>
    <t>ul. Drewnowska, Stare Miasto, Bałuty, Łódź, łódzkie</t>
  </si>
  <si>
    <t xml:space="preserve">REZERWACJA!!!Przedstawiam Państwu niepowtarzalną ofertę mieszkania, które zlokalizowane jest w samym sercu miasta, naprzeciwko Manufaktury. To miejsce emanuje unikatowym stylem modern classic, łącząc ponadczasową klasykę z nowoczesnością. Mieszkanie o powierzchni 67,35 m2 to prawdziwa oaza komfortu, z ogródkiem ponad 60m2  i  balkonem typu loggia o powierzchni około 10 m2Wnętrze tego apartamentu to połączenie dbałości o detale z funkcjonalnością przestrzeni. Stylowe płytki imitujące marmur, designerskie meble, złote akcenty i ręcznie malowane obrazy tworzą niepowtarzalny klimat. Salon z aneksem kuchennym zachwyca przestronnością, aneks z  wyspą nie tylko zachwyca stylem, ale również oferuje dużo miejsca do przechowywania i blatu roboczego. To idealne połączenie funkcjonalności i estetyki, a wygodna, nowoczesna kanapa zachęca do odpoczynku po ciężkim dniu pracy.Piękna sypialnia z dużym łóżkiem oraz wyjściem na ogródek zachwyca ciepłem oraz przytulnością.Drugi pokój także z wyjściem na taras oraz ogródek może służyć jako pokój dziecięcy, albo gabinet.W łazience złote baterie, nastrojowe oświetlenie LED i drewniana szafka wykonana przez stolarza tworzą atmosferę nowoczesnej klasyki. Mieszkanie jest gotowe do zamieszkania, wykonane z najwyższą starannością, a oferta obejmuje także miejsce postojowe w hali garażowej płatne dodatkowo 40 000 zł  i komórkę lokatorską także płatną dodatkowo 10 000 złPrestiżowa lokalizacja w sąsiedztwie Manufaktury sprawia, że to miejsce jest idealne do życia, pracy i relaksu. Zapraszam do kontaktu i osobistego obejrzenia tego wyjątkowego apartamentu, który zachwyci Państwa swoim niepowtarzalnym klimatem.UWAGA ! ! ! !Prezentacja nieruchomości jest możliwa tylko w przypadku podpisania umowy pośrednictwa.Właściciel wyraża zgodę na oglądanie nieruchomości tylko po uprzednio umówionym spotkaniu, zainteresowanemu którego dane są znane pośrednikowi i oczywiście w obecności pośrednika.Kontakt do pośrednika #606200910marta @ verolodz  .plDane opisowe pochodzą z osobistych oględzin nieruchomości a także z informacji udzielonych przez właściciela i mogą różnić się od stanu faktycznego. Staramy się jednak aby odzwierciedlały stan faktyczny.Opis oferty nie stanowi oferty określonej w art. 66 i następnych K.C.Współpraca z nami to spokój i bezpieczeństwo przy zakupie mieszkania a ponadto:- oddajemy do Państwa dyspozycji firmę remontową wraz z projektantem ( pakiety : brąz, srebrny, złoty i VIP )- proponujemy współpracę z firmą zajmującą się tworzeniem smart systemów ( klamki, rolety i pełna automatyka)- współpracujemy również z odpowiedzialną firmą transportową- doradca kredytowy i ubezpieczeniowy dedykowany dla Państwa nie stanowi również problemu- kuchnia, szafy, garderoby dla naszych klientów w preferencyjnych cenach i terminach- personalizowany dostawca: Internetu, telewizji i telefonii komórkowej.Naszym celem jest to, żeby zakup mieszkania była dla Państwa niesamowity przeżyciem i dobrze wspominaną chwilą do której będziecie chętnie wracać.Możecie na nas liczyć !
Lista wszystkich dostępnych nieruchomości -  (  verolodz pl )
#NieruchomośćZGwarancją #BezpiecznyZakup #StandardyNieruchomości #verolodz
Oferta wysłana z programu dla biur nieruchomości ASARI CRM ()
</t>
  </si>
  <si>
    <t>https://www.otodom.pl/pl/oferta/elegancja-i-komfort-ID4ojUn</t>
  </si>
  <si>
    <t>4ojUn</t>
  </si>
  <si>
    <t>Budynek z rozpoczętą przebudową z projektem.</t>
  </si>
  <si>
    <t>Łąkowo, Świdwin, świdwiński, zachodniopomorskie</t>
  </si>
  <si>
    <t>Budynek z rozpoczętą przebudową z projektem.
Wyłącznie u Nas !
149 000 pln
Na sprzedaż budynek z rozpoczętą przebudową we wsi Łąkowo ( gmina Świdwin ) Pomorze Zachodnie. Bezpośrednio przy dwóch jeziorach: jezioro Łąkowo oraz jezioro Oparzno. Nieruchomość z zatwierdzonym projektem budowlanym zamiennym dotyczącym nadbudowy, przebudowy i rozbudowy oraz sposobu użytkowania budynku kotłowni na budynek mieszkalny. Wszystkie instalacje częściowo rozprowadzone, prąd , woda, kanalizacja. Wydane warunki przyłączenia do sieci gazowej. Powierzchnia użytkowa około 153m2. Powierzchnia działki 486m2. Dodatkowe zdjęcia mogę przesłać e-mailem. </t>
  </si>
  <si>
    <t>https://www.otodom.pl/pl/oferta/budynek-z-rozpoczeta-przebudowa-z-projektem-ID4nYnl</t>
  </si>
  <si>
    <t>4nYnl</t>
  </si>
  <si>
    <t>Mieszkanie 2-pokojowe w centrum Szczecina 449tys.</t>
  </si>
  <si>
    <t>ul. Bohaterów Getta Warszawskiego, Śródmieście-Zachód, Śródmieście, Szczecin, zachodniopomorskie</t>
  </si>
  <si>
    <t>Na sprzedaż przestronne, jasne, 2-pokojowe mieszkanie z garderobą położone na poddaszu 4 piętrowej kamienicy w Centrum.Na powierzchnię użytkową 59 m2, składają się: salon z aneksem kuchennym 32,50 m2, sypialnia 11,40 m2, garderoba 10,60 m2 oraz wyposażona łazienka 4,50 m2. Mieszkanie świeżo wykończone. Ogrzewanie i ciepła woda z pieca gazowego dwuobiegowego. Czynsz + fundusz remontowy około 400zł/msc.Świetna lokalizacja, ścisłe centrum miasta, przy cichej ulicy z miejscami postojowymi. ZAPRASZAM NA PREZENTACJĘ.  *KUPUJEMY MIESZKANIA Z OBCIĄŻENIAMI I DŁUGAMI ZA GOTÓWKĘ* ZADZWOŃ 91 8171717Nasi Eksperci bezpłatnie pomagają w uzyskaniu kredytu. Powyższe ogłoszenie ma wyłącznie charakter informacyjny. Nie stanowi ono oferty w myśl art. 66 i n. ustawy z dnia 23.04.1964r. Kodeks cywilny (Dz.U. 1964r. Nr 16, poz. 93, ze zm.).Oferta wysłana z programu dla biur nieruchomości ASARI CRM ()</t>
  </si>
  <si>
    <t>https://www.otodom.pl/pl/oferta/mieszkanie-2-pokojowe-w-centrum-szczecina-449tys-ID4nHMj</t>
  </si>
  <si>
    <t>4nHMj</t>
  </si>
  <si>
    <t>NOWOCZESNY dom w zabudowie bliźniaczej TYCHY 147m</t>
  </si>
  <si>
    <t>ul. Dziewanny 11, Tychy, śląskie</t>
  </si>
  <si>
    <t>DO SPRZEDARZY NOWOCZESNY DOM W ZABUDOWIE Bliźniaczej 
W PODWYŻSZONYM STANIE DEWELOPERSKIM Z GARAŻEM.
BEZ PROWIZJI. OFERTA BEZPOŚREDNIA. DOM Nr 2 - Mapka.
KUPUJĄCY NIE PŁACI PODATKU PCC.
Dom dwukondygnacyjny na planie prostokąta pokryty dachem płaskim, wybudowany z pustaka ceramicznego i ocieplony wysokiej jakości styropianem.Tarasy i podjazdy zgodnie z projektem wykonane z nowoczesnych płyt kamiennych.Cicha, zielona dzielnica z dobrym dojazdem do centrum Tychów- 5 min, Katowic - 20 min, Oświęcimia i Mikołowa.               
Wejście od strony północno-wschodniej. Ogródek od strony południowo-zachodniej.Dom posiada dodatkowo przygotowanie pod instalację-smart home ready, instalację alarmową, fotowoltaikę.           
Możliwość montażu pompy ciepła. Zewnętrzne parapety aluminiowe. Dom posiada podziemny zbiornik na wodę deszczową.Elewacja z naturalnego kamienia łupek + tynk akrylowy.
Dom posiada instalację drenażową wokół fundamentu.
W cenie otrzymujesz : Podatek VAT, przyłącze elektryczne, gazowe, wodno-ściekowe, deszczówka  i drenaż wokół domu, tynki i gładzie gotowe do malowania, wylewki, parapety zewnętrzne - wewnętrzne, rolety elektryczne, ogrzewanie podłogowe , piec gazowy, wybrukowany taras, podejście do domu i chodnik wokół domu, podjazd pod garaż , instalacje teletechniczne, teren wyrównany i ogrodzony z 2 stron, furtka od frontu na ogród. Antywłamaniowe drzwi zewnętrzne.
Planowane zakończenie prac - LUTY-MARZEC 2023.
Pośrednikom Dziękuję za współpracę !ZAPRASZAMY DO PREZENTACJI !</t>
  </si>
  <si>
    <t>https://www.otodom.pl/pl/oferta/nowoczesny-dom-w-zabudowie-blizniaczej-tychy-147m-ID4netr</t>
  </si>
  <si>
    <t>4netr</t>
  </si>
  <si>
    <t>Mieszkanie 3p na Piaskowej Górze Spółdzielcze/włas</t>
  </si>
  <si>
    <t>Piaskowa Góra, Wałbrzych, dolnośląskie</t>
  </si>
  <si>
    <t>Szanowni Państwo, 
oferuję jasne trzypokojowe mieszkanie w spokojnej okolicy na Piaskowej Górze, o powierzchni 48 m2. na 9 piętrze w bloku 11 piętrowym.
SPÓŁDZIELCZE WŁASNOŚCIOWE, CZYNSZ 450 ZŁ
W skład lokalu wchodzi:
• pokój z balkonem
salon
• sypialnia
• kuchnia 
• przedpokój• łazienka z WC
• do mieszkania przynależy piwnica.Media : ogrzewanie miejskie, prąd, woda zimna, woda ciepła z ciepłowniInne:• okna plastikowe nowe• na ścianach gładzie • na podłogach panele/kafle.• blokiem zarządza Spółdzielnia Mieszkaniowa• Forma Własności : spółdzielcze własnościowe z księgą wieczystą.• mieszkanie ciepłe, słoneczne.• na piętrze znajdują się 4 mieszkania.• blok ocieplony, po termomodernizacji.• budynek po termoizolacji , zabezpieczony domofonem,
• mieszkanie po generalnym remoncie , 
• umeblowane z zabudowaną kuchnią, sprzęt AGD nowy, markowy (pralka, lodówka, płyta indukcyjna , piekarnik, zmywarka 60)
• balkon, doskonały widok na panoramę miasta i tereny zielone.</t>
  </si>
  <si>
    <t>https://www.otodom.pl/pl/oferta/mieszkanie-3p-na-piaskowej-gorze-spoldzielcze-wlas-ID4o3r0</t>
  </si>
  <si>
    <t>4o3r0</t>
  </si>
  <si>
    <t>balkon | okolice D.Pasterza | s.deweloperski |</t>
  </si>
  <si>
    <t xml:space="preserve">Posiadam na sprzedaż dwupokojowe mieszkanie o powierzchni 40 m2 w Krakowie przy ul.Lublanskiej - Prądnik Czerwony  w Krakowie. Nieruchomość usytuowana jest na trzecim pietrze w budynku pięciopiętrowym. -&amp;gt; MOZLIWOSC PODZIAŁU NA 2 KAWALERKI JESLI ZAKUP BĘDZIE INWESTYCYJNY -&amp;gt; MOŻLIWOŚĆ WYKOŃCZENIA POD KLUCZ, PRZEZ DEWELOPERA-&amp;gt; Idealne mieszkanie pod inwestycję oraz własny użytek-&amp;gt; Mieszkanie jest na etapie ODBIORU KLUCZY OD DEWELOPERA -&amp;gt; Mieszkanie w stanie deweloperskim , do wykończenia -&amp;gt; Na tej inwestycji nie znajdziesz już wolnych mieszkań MIESZKANIE : I. Składa się z:- przedpokój - salon z aneksem kuchennym - sypialnia - łazienkaLUB - przedpokój - 2x salon z aneksem kuchennym - 2x łazienka II. Ekspozycja :III. Alarm, DOmofonIV. Drzwi  antywłamanioweV. Czynsz 450 PLN + prąd VI. Ogrzewanie i woda - miejska BUDYNEK:I. Budynek z 2022r. II. Stan budynku idealnie.III. W pobliżu budynku znajdują się miejsca parkingowe ogólnodostępne oraz podziemne.IV. Winda w budynkuV. RowerowniaVI. WózkowniaLOKALIZACJA:Osiedle Ulubione, ponieważ tak nazywa się ta inwestycja, cechuję się idealną lokalizacją pozwalającą dotrzeć w dowolne miejsce na mapie Krakowa na mapie Krakowa krótkim czasie, co dodatkowo ułatwi planowana linia tramwajowa, obecnie jest w trakcie budowy, niewielkie osiedle, bliskość parku Zaczarowanej Dorożki zaledwie 4 minuty pieszo to tylko niektóre z zalet osiedla.Lublańska: 138, 172 (Linia autobusowa)Miechowity: 125, 128, 129, 152, 159, 182, 184, 189, 482, 501, 511, 601, 608, 611 (Linia autobusowa)Linia tramwajowa w trakcie budowy.Wokół budynku znajdują liczne punkty usługowo-handlowe w odległości nie większej niż parę minut pieszo:Przychodnia - 3 minBar mleczny - 2 minPaczkomat - 2 minŻabka - 4 minBistro - 5 minCENA: 649.000 PLN Zapraszam do kontaktu oraz prezentacji nieruchomosci!W ramach swoich usług :- wyjaśniam zagadnienia prawne,- zarządzam nieruchomościami (lokale, mieszkania, budynek),- pomagam klientom przejść cały proces transakcji,- pomagam uzyskać finansowanie zakupu nieruchomości (kredyt),- współpracuje z renomowaną kancelarią notarialną (moi klienci mogą liczyć na zniżki),LIcencjonowany pośrednik nr : 29143
Oferta wysłana z programu dla biur nieruchomości ASARI CRM ()
</t>
  </si>
  <si>
    <t>https://www.otodom.pl/pl/oferta/balkon-okolice-d-pasterza-s-deweloperski-ID4nu5M</t>
  </si>
  <si>
    <t>4nu5M</t>
  </si>
  <si>
    <t>Ustawne 46m2, 3 pokoje. Niski czynsz!</t>
  </si>
  <si>
    <t>ul. gen. Stefana Grota-Roweckiego, Pogoń, Sosnowiec, śląskie</t>
  </si>
  <si>
    <t>Na sprzedaż mieszkanie przy ul. gen. S. Grota- Roweckiego w Sosnowcu - dzielnica Pogoń.
Lokal składa się z:-przedpokoju-3 pokoi-oddzielnej kuchni- balkonu typu francuski-piwnicy  C.O. miejskie ciepła woda z piecyka gazowego.NISKI CZYNSZ:  400zł! zaliczkami przy zamieszkaniu 1 osoby.Ciepłe mieszkanie.Po remoncie ok. 8 lat temu.Okna plastikowe.  dwustronna ekspozycja okien.Wymienione drzwi wejściowe i wewnętrzneBlok po termoizolacji, klatka schodowa po remoncie.Parking pod budynkiem.Spokojna, zielona okolica.W pobliżu:- mniejsze i większe sklepy - żłobek, przedszkole, szkoła podstawowa,
-uczelnia,-restauracje,-przychodnia lekarska, apteka
Lokalizacja - szybki wylot na S86. Blisko przystanku komunikacji miejskiej.
Cena do negocjacji!Zapraszam na prezentację.POTRZEBUJESZ FINANSOWANIA? SKONTAKTUJ SIĘ Z NASZYM EKSPERTEM!Jowita BłaszczakNr licencji PFRN: 27056tel. 662 110 635e-mail:</t>
  </si>
  <si>
    <t>https://www.otodom.pl/pl/oferta/ustawne-46m2-3-pokoje-niski-czynsz-ID4ozB3</t>
  </si>
  <si>
    <t>4ozB3</t>
  </si>
  <si>
    <t>3 pokoje | 77,28 m2 | apartament z tarasem</t>
  </si>
  <si>
    <t>BEZ PCC! BEZ PROWIZJI DLA KUPUJĄCGO!Prezentujemy mieszkanie z rynku pierwotnego w stanie deweloperskim o powierzchni 77,28 m2 (po podłodze 65,83 m2). Dotyczy lokalu KL1M27 (w ofercie posiadamy także inne lokale od 31-105 m2).Nowoczesny 5-cio kondygnacyjny apartamentowiec jest zlokalizowany w Skawinie przy ul. Granicznej. W pobliżu znajduje się piekarnia, sklep spożywczy, pizzeria oraz punkty handlowo usługowe.Mieszkanie znajduje się na trzecim piętrze(3/3p). Składa się z przedpokoju, pokoju dziennego z aneksem kuchennym, łazienki, dwóch sypialni, tarasu. Ekspozycja: południe, południowy-wschód.Zestawienie pomieszczeń:- przedpokój z komunikacją 12,78 m2- pokój dzienny z aneksem kuchennym 28,30 m2- sypialnia 9,20 m2- sypialnia 8,70 m2- łazienka 6,85 m2…………………………………- taras 38,35Informacje dodatkowe:- winda- domofon- odnawialne źródła energii (fotowoltaika i pompa ciepła)- lokale usługowe w budynku- komórka lokatorska (zakup opcjonalny)- zakup miejsca postojowego obligatoryjny w cenie 40 000 zł- oddanie lokalu w styczniu 2024 r.FINANSECena za lokal  730 713 złCena za miejsce postojowe 40 000 zł (garaż podziemny)Zapewniamy bezpłatne wsparcie w zakresie uzyskania kredytu hipotecznegoZapraszamy do oglądaniaŁukasz Fit nr licencji: 28437729-993-265NO PCC! NO COMMISSION FOR THE BUYER!We present an apartment from the primary market in developer condition with an area of 77.28 m2 (floor area 65.83 m2). Applies to premises KL1M27 (we also offer other premises from 31-105 m2).The modern 5-story apartment building is located in Skawina at ul. Graniczna. Nearby there is a bakery, grocery store, pizzeria and retail and service outlets.The apartment is located on the third floor (3/3 floor). It consists of a hall, a living room with a kitchenette, a bathroom, two bedrooms and a terrace. Exposure: south, south-east.List of rooms:- hall with communication 12.78 m2- living room with kitchenette 28.30 m2- bedroom 9.20 m2- bedroom 8.70 m2- bathroom 6.85 m2………………………………- terrace 38.35Additional information:- elevator- entry phone- renewable energy sources (photovoltaics and heat pump)- service premises in the building- storage room (optional purchase)- obligatory purchase of a parking space at the price of PLN 40,000- commissioning of the premises in January 2024.FINANCESPrice for the premises PLN 730,713Price for a parking space PLN 40,000 (underground garage)We provide free support in obtaining a mortgage loanWe invite you to watchŁukasz Fit license no.: 28437729-993-265БЕЗ PCC! БЕЗ КОМІСІЇ ДЛЯ ПОКУПЦЯ!Представляємо квартиру первинного ринку в стані забудовника площею 77,28 м2 (площа 65,83 м2). Стосується приміщень KL1M27 (пропонуємо також інші приміщення від 31-105 м2).Сучасний 5-поверховий житловий будинок знаходиться в Скавіні за адресою вул. Graniczna. Поруч є пекарня, продуктовий магазин, піцерія та торгово-сервісні точки.Квартира знаходиться на третьому поверсі (3/3 поверх). Складається з холу, вітальні з кухнею, ванної кімнати, двох спалень та тераси. Експозиція: південь, південний схід.Список кімнат:- зал з комунікаціями 12,78 м2- вітальня з кухнею 28,30 м2- спальня 9,20 м2- спальня 8,70 м2- санвузол 6,85 м2………………………………- тераса 38,35Додаткова інформація:- ліфт- домофон- відновлювані джерела енергії (фотовольтаїка та тепловий насос)- службові приміщення в будівлі- складське приміщення (за бажанням)- обов'язкове придбання паркомісця вартістю 40 000 злотих- введення приміщення в експлуатацію січень 2024р.ФІНАНСИЦіна за приміщення 730 713 злЦіна за паркомісце 40 000 злотих (підземний гараж)Надаємо безкоштовну підтримку в отриманні іпотечного кредитуЗапрошуємо до переглядуНомер ліцензії Łukasz Fit: 28437729-993-265</t>
  </si>
  <si>
    <t>https://www.otodom.pl/pl/oferta/3-pokoje-77-28-m2-apartament-z-tarasem-ID4oy2w</t>
  </si>
  <si>
    <t>4oy2w</t>
  </si>
  <si>
    <t>L28 - Rubikon - I Piętro REZERWACJA</t>
  </si>
  <si>
    <t>ul. Leszka Czarnego, Wilkowyja, Rzeszów, podkarpackie</t>
  </si>
  <si>
    <t>developer</t>
  </si>
  <si>
    <t>NOWOŚĆ! Bezpośrednio od dewelopera, bez prowizji i ukrytych kosztów.
Rubikon składać się będzie z 54 pomieszczeń mieszkalnych o metrażu 16-29 m2, a w budynku przewidziano również dwa miejsca na lokale usługowo-handlowe. Zastosowany typ zabudowy – czyli budynku zamieszkania zbiorowego będącego z definicji miejscem pobytu czasowego – zapewnia legalny najem krótkoterminowy. Jest to szczególnie ważne w kontekście możliwości zmian prawnych w tym zakresie, które jednak nie dotkną takich inwestycji jak Rubikon.
Budynek będzie usytuowany 2 minuty jazdy do ronda przy ul. Lwowskiej, które łączy centrum Rzeszowa oraz obwodnicę rzeszowską prowadzącą bezpośrednio na autostradę A4. W najbliższym sąsiedztwie Rubikonu znajduje się wiele ważnych centrów zdrowotnych: Kliniczny Szpital Wojewódzki nr 2, Szpital Specjalistyczny PRO-FAMILIA, Kliniczny Regionalny Ośrodek Rehabilitacyjno-Edukacyjny dla Dzieci i Młodzieży im. św. Jana Pawła II, Podkarpackie Centrum Leczenia Chorób Cywilizacyjnych Medicarpathia oraz Podkarpacki Ośrodek Pulmonologii i Alergologii. W niedalekiej odległości położone są również instytucje nauki, jak Zakład Nauk o Człowieku Uniwersytetu Rzeszowskiego, Instytut Teologiczno-Pastoralny im. św. Józefa S. Pelczara czy Wyższe Seminarium Duchowne oraz największe korporacje w Rzeszowie, m.in. Asseco Poland czy Soft System.
Taka lokalizacja będzie ogromnym atutem dla szerokiego grona najemców – zarówno studentów, turystów i osób przyjeżdżających w celach zdrowotnych czy biznesowych. Rubikon będzie więc doskonałym wyborem zarówno pod względem bardzo dochodowego najmu krótkoterminowego, jak i stabilnego najmu długoterminowego. Inwestycja jest więc prawdziwą okazją dla inwestorów.
Dodatkowe udogodnienia:
- rowerownia,
- pralnia samoobsługowa,
- stacja ładowania pojazdów elektrycznych,
- automaty vendingowe,
- bistro,
- paczkomat in-post.
Miejsce postojowe: 36900 zł. W garażu będzie dostępnych 21 miejsc postojowych.
Termin realizacji: II/III kwartał 2024 roku
Istnieje możliwość wykończenia pod klucz oraz zlecenia zarządzania.
Możliwość odliczenia VAT 23%
Posiadamy także inne lokale na parterze, pierwszym oraz drugim piętrze.
Zadzwoń i umów się na spotkanie w naszym biurze sprzedaży, a my:
- oprowadzimy Cię po terenie inwestycji- pomożemy wybrać lokal najlepiej pasujący do Ciebie- doradzimy w kwestii wykończenia i dopasowania lokalu do Twoich potrzeb
Zapraszamy do kontaktu od poniedziałku do piątku w godz. 09:00 - 17:00.
BIURO SPRZEDAŻY SZKLANE TARASYKwiatkowskiego 38/44, Rzeszów</t>
  </si>
  <si>
    <t>https://www.otodom.pl/pl/oferta/l28-rubikon-i-pietro-rezerwacja-ID4mPjN</t>
  </si>
  <si>
    <t>4mPjN</t>
  </si>
  <si>
    <t>Stara Ochota Plac Narutowicza</t>
  </si>
  <si>
    <t>ul. Poniecka, Stara Ochota, Ochota, Warszawa, mazowieckie</t>
  </si>
  <si>
    <t>Bezpośrednio sprzedam mieszkanie 2 pokojowe 55,4 m2.  Oddzielna widna kuchnia, duży salon z wyjściem na przestronny balkon w koronach drzew, sypialnia z garderobą. Okna wychodzą na wschód na dziedziniec ( cicho i spokojnie, a blisko do centrum). Komórka lokatorska  i miejsce w garażu podziemnym pod budynkiem (płatne dodatkowo 50 tyś. zł). Mieszkanie usytuowane na 5 (ostatnim) piętrze (winda).  Atrakcyjne położenie z bardzo dobrą komunikacją  praktycznie w każdym kierunku (z Placu Narutowicza tramwaje, z Niemcewicza autobusy). Łatwy dojazd z obwodnicy.</t>
  </si>
  <si>
    <t>https://www.otodom.pl/pl/oferta/stara-ochota-plac-narutowicza-ID4onSY</t>
  </si>
  <si>
    <t>4onSY</t>
  </si>
  <si>
    <t>Duża, dwupoziomowa kawalerka</t>
  </si>
  <si>
    <t>al. Partyzantów, Puławy, puławski, lubelskie</t>
  </si>
  <si>
    <t>KUP BEZ PCC !
Duża kawalerka z antresolą na IV piętrze w nowym bloku w Puławach przy al. Partyzantów.
Rozkład pomieszczeń :- salon z aneksem kuchennym (razem 24,53mkw)- antresola (8,35mkw)- łazienka (4,74mkw)- przedpokój (5,06mkw)
Dodatkowo z salonu istnieje wyjście na spory balkon (7,39mkw).
Okna z wystawą na północny-wschód i zachód.
Stan deweloperski : tynki, wylewki, rozprowadzone według życzenia instalacje, grzejniki. Możliwość adaptacji mieszkania według własnego uznania.
Miejsce parkingowe w podpiwniczeniu bloku za dodatkowym rozliczeniem.
KONIEC BUDOWY I KWARTAŁ 2024r.
0% prowizji od Kupującego.
Pośrednik odpowiedzialny za ofertę : Arkadiusz Gozdek, nr licencji : 17053W sprawie apartamentów proszę dzwonić tel. 728-369-546 (w godzinach 9:00-18:00, w soboty 10:00-14:00)
Chcesz wziąć kredyt na tą lub inną nieruchomość ?Skorzystaj z profesjonalnego i nieodpłatnego doradztwa kredytowego :Karolina Kozak-Goliszek tel. 507-201-996</t>
  </si>
  <si>
    <t>https://www.otodom.pl/pl/oferta/duza-dwupoziomowa-kawalerka-ID4mzUo</t>
  </si>
  <si>
    <t>4mzUo</t>
  </si>
  <si>
    <t>Katowice, Koszutka, Dunikowskiego 3 pokoje, balkon</t>
  </si>
  <si>
    <t>ul. Xawerego Dunikowskiego, Koszutka, Katowice, śląskie</t>
  </si>
  <si>
    <t>Mamy przyjemność zaprezentować Państwu to wyjątkowe mieszkanie, które stanowi doskonałą inwestycję w przyszłość. Zlokalizowane w samym sercu Katowic, oferuje nie tylko wyjątkową przestrzeń do życia, ale również dostęp do wielu udogodnień i atrakcji, które czynią codzienne życie wyjątkowo komfortowym.Atutem lokalu jest bliskie otoczenie szkół, przedszkoli, sklepów i restauracji, strefy kultury,  parku, placu zabaw oraz to, że jest świetnie skomunikowane.INFORMACJE O NIERUCHOMOŚCIMiasto: KatowiceUlica: DunikowskiegoPowierzchnia: 55,91m²Ilość pokoi: 3Ekspozycja: północ, południePiętro: 3Ilość pięter: 4Piwnica: takBalkon: takOgrzewanie: miejskieForma prawna: pełna własność Ciepła woda: piecyk gazowyGaz: takOkna: PCVAtuty: słoneczne, dobra lokalizacja, Układ mieszkania:- salon z balkonem- przedpokój- kuchnia- sypialnia- pokój- Łazienka z wcZalety lokalizacji:NOSPR i Spodek: To mieszkanie znajduje się zaledwie kilka kroków od strefy kultury, w tym Narodowej Orkiestry Symfonicznej Polskiego Radia (NOSPR) oraz hali widowiskowej Spodek. To idealna okazja dla miłośników muzyki i wydarzeń kulturalnych.Galeria Silesia City Center: Miłośnicy zakupów docenią bliskość prestiżowej galerii handlowej Silesia City Center, gdzie znajdują się sklepy, restauracje, kawiarnie oraz kina.Sklepy: W okolicy mieszkania znajduje się wiele sklepów spożywczych i specjalistycznych, co ułatwia codzienne zakupy.Edukacja: Rodziny z dziećmi docenią dostępność renomowanych szkół i przedszkoli w okolicy.Banki: W okolicy mieszkania znajdują się różne placówki bankowe, co ułatwia zarządzanie finansami.Centrum Miasta: Mieszkanie jest doskonale skomunikowane, dzięki czemu można łatwo dotrzeć do innych części Katowic i okolic.Placówki Medyczne: W najbliższym otoczeniu znajdują się przychodnie i placówki medyczne, co zapewnia dostęp do opieki zdrowotnej w zasięgu ręki.Kupujesz z kredytu?? Przedstawimy Ci najkorzystniejszą ofertę spośród dziesiątek ofert bankowych z ponad 20 banków, w tym bezpieczny kredyt 2%. Cała usługa jest bezpłatna, a oferta będzie bezpośrednio z banku co gwarantuje najniższą cenę. Możliwość wyliczenia zdolności kredytowej oraz raty na konkretne mieszkania podczas rozmowy telefonicznej w 5 minut. NPowyższa oferta ma charakter informacyjny i nie stanowi oferty handlowej w rozumieniu przepisów KC.Cena nie zawiera opłat notarialnych oraz wynagrodzenia za obsługę.Zapraszam do kontaktu Tel. 787 919 107Oferta wysłana z programu dla biur nieruchomości ASARI CRM ()</t>
  </si>
  <si>
    <t>https://www.otodom.pl/pl/oferta/katowice-koszutka-dunikowskiego-3-pokoje-balkon-ID4olKL</t>
  </si>
  <si>
    <t>4olKL</t>
  </si>
  <si>
    <t>Mieszkanie w najlepszej lokalizacji Krynica Morska</t>
  </si>
  <si>
    <t>ul. Teleexpressu, Krynica Morska, nowodworski, pomorskie</t>
  </si>
  <si>
    <t>Ekskluzywne mieszkanie dwupoziomowe w Krynicy Morskiej - gotowe do zamieszkania!Zapraszam do zapoznania się z wyjątkową ofertą sprzedaży mieszkania, które znajduje się w jednej z najbardziej prestiżowych lokalizacji Krynicy Morskiej, przy ulicy Teleexpressu. To mieszkanie gotowe do natychmiastowego zamieszkania, które przeszło gruntowny remont w zeszłym roku, obejmujący nową łazienkę, odświeżone ściany oraz elegancką deskę podłogową. To idealne miejsce dla tych, którzy poszukują komfortu i luksusu nad Bałtykiem dla siebie lub pod inwestycję.Krynica Morska zlokalizowana jest na skąpym skrawku lądu - Mierzei Wiślanej, skąd w przeciągu godziny można dojechać do Elbląga lub Gdańska. To niewielkie miasteczko ma cztery przystanie morskie, własny port oraz kąpielisko, a piaszczysta plaża jest obszerna i bardzo czysta. Można tu odpoczywać w ciszy i spokoju bądź znaleźć szeroką ofertę rozrywkową. Odkąd w Krynicy odkryto bogate w jod źródła solankowe, powstało wiele ośrodków wczasowych, które przyciągały kuracjuszy z całego kraju, a współcześnie jest jeszcze bardziej popularna, zwłaszcza w okresie od czerwca do września.Prezentowane mieszkanie znajduje się w „Willi Hania”, w najlepszym miejscu Krynicy Morskiej, w bliskiej odległości od plaży i licznych atrakcji turystycznych. W okolicy znajdziesz sklepy, restauracje i wszystkie udogodnienia, które umilą życie nad morzem.Sam lokal o powierzchni 34,88 m² cechuje się wysoką jakością wykończenia oraz funkcjonalnym układem pomieszczeń. Na pierwszej kondygnacji znajduje się przestronny przedpokój, który idealnie nadaje się na powitanie gości i przechowywanie garderoby, nowoczesna łazienka oraz jasny pokój dzienny z aneksem kuchennym, stworzony do relaksu i spędzania czasu z rodziną i przyjaciółmi. Z pokoju dziennego można wyjść na balkon. Na drugim poziomie znajduje się przytulna sypialnia, zapewniająca spokojny sen.Zarządzanie budynkiem jest prowadzone przez profesjonalną wspólnotę mieszkaniową, dzięki czemu właściciel mieszkający na co dzień poza Krynicą Morską, nie musi się troszczyć o nieruchomość.Ciepła woda oraz ogrzewanie dostarczane są z efektywnej kotłowni olejowej, nadzorowanej przez zarządcę, co gwarantuje komfort cieplny przez cały rok.Stałe opłaty administracyjne wynoszą jedynie 1000 zł, co pozwala na kontrolowanie kosztów utrzymania nieruchomości.Jeśli poszukujesz gotowego mieszkania w prestiżowej lokalizacji z eleganckim wystrojem wnętrza, to ta oferta jest dla Ciebie. Dodatkowo, zakup nieruchomości w tak popularnym miejscu jak Krynica Morska zapewni świetną stopę zwrotu przy najmie krótkoterminowym. Skontaktuj się z nami, aby umówić się na osobistą prezentację i poznać wszystkie uroki tej nieruchomości.To wyjątkowa okazja, aby cieszyć się komfortem i stylem życia nad Morzem Bałtyckim. Nie przegap tej szansy!Zachęcam do kontaktu i umówienia się na prezentację nieruchomości.Przy zakupie należy uwzględnić koszty notarialne oraz wynagrodzenie biura nieruchomości w wysokości 2% brutto.Julian DzierżanowskiZapraszam również do odwiedzenia naszego biura w Elblągu, przy Alei Grunwaldzkiej 31.Rozważasz kredytowanie nieruchomości? Zespół ekspertów NOTUS Finanse S.A. współpracujący z Freedom Nieruchomości porówna i dobierze finansowanie najlepiej dopasowane do Twoich potrzeb."Właścicielem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</si>
  <si>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https://www.otodom.pl/pl/oferta/mieszkanie-w-najlepszej-lokalizacji-krynica-morska-ID4n5VT</t>
  </si>
  <si>
    <t>4n5VT</t>
  </si>
  <si>
    <t>Siekierki Wielkie , 100m2 ! ! !</t>
  </si>
  <si>
    <t xml:space="preserve">Serdecznie polecamy zakup nowoczesnej połówki "bliźniaka" budowanej  w Siekierkach Wielkich przy ul. Szafranowej o powierzchni 100m2 (segment)+ działka od 315m2.
Domy posiadają POMPE CIEPŁA z zasobnikiem wody.
Największym atutem lokalizacji jest położone w bezpośrednim sąsiedztwie domów jednorodzinnych, w zacisznej części Siekierek Wielkich, a jednocześnie w pobliżu głównej drogi oraz dobrze zorganizowanych terenów rekreacyjno-użytkowych (place zabaw, sklepiki osiedlowe, szkoła , przedszkole, żłobek, kościół, dworzec PKP).Działka jest ogrodzona oraz w pełni zagospodarowane z dwoma miejscami parkingowymi.
Lokalizacja inwestycji 12 km od Poznania oraz 5km do Swarzędza.
Układ pomieszczeńParter :Wiatrołap 4,03m2Klatka schodowa 4,6m2Łazienka 6,05m2Salon z kuchnia 40,59m2Piętro :Sypialnia 9,22m2Sypialnia 10,70m2Sypialnia 11,63m2Łazienka 5,76m2Garderoba 3,83m2Korytarz 3,71m2Brak 2% podatku PCC, bezpłatnie doradzamy w wyborze najkorzystniejszego kredytu hipotecznego!W sąsiedztwie nowa zabudowa jednorodzinna.Więcej szczegółów z dokładniejszym opisem inwestycji pod nr telefonu
tel.: 796866868
Treść niniejszego ogłoszenia nie stanowi „oferty” w rozumieniu Kodeksu Cywilnego.
</t>
  </si>
  <si>
    <t>https://www.otodom.pl/pl/oferta/siekierki-wielkie-100m2-ID4nnu7</t>
  </si>
  <si>
    <t>4nnu7</t>
  </si>
  <si>
    <t>Pierwsze piętro na Zabobrzu</t>
  </si>
  <si>
    <t>Zabobrze, Jelenia Góra, dolnośląskie</t>
  </si>
  <si>
    <t xml:space="preserve">Zabobrze III, własnościowe M-3 z 2009 roku.S U P E R    O F E R T A             Oferta dotyczy sprzedaży mieszkania, zlokalizowanego na pierwszym piętrze w poszukiwanej lokalizacji - Zabobrze, ul. Kiepury. Powierzchnia lokalu to 51,43, m/kw i składa się z:- pokoju połączonego z aneksem kuchennym- dwóch sypialni- łazienki razem z wc- przedpokojuDoskonała lokalizacja z dobrym dostępem do komunikacji miejskiej, sklepów itp.  Nieruchomość zarządzana jest przez wspólnotę mieszkaniową, nie posiada żadnych zadłużeń, lokal z KW. Mieszkanie nie wymaga remontu, ogrzewanie i ciepła woda z sieci. Niski czynsz miesięczny.!!!  Wszystkie szczegóły dostępne również telefonicznie, zapraszam do kontaktu i prezentacji z przyjemnością odpowiem na wszystkie Państwa pytania. ::DODATKOWE INFORMACJE Kategoria oferty: apartamenty, mieszkanie w budynku wielorodzinnym, mieszkania kwaterunkowe, mieszkania w kamienicy, mieszkania w nowych budynkach (plomby-kondominium), mieszkania - adaptacja strychów, mieszkania willowe, mieszkania w blokuRodzaj budynku: blokParking strzeżony (odległość w metrach) [m]: 500Dozór budynku: domofonGłośność: cicheWidok: na inne budynkiGaz: brakWoda: tak - miejskaDojazd: asfaltDojazd - opis: Publiczną drogą asfaltową.Otoczenie: osiedleOgrzewanie: COLinie telefoniczne: TAKInternet: TAKTelewizja kablowa: TAKKomunikacja publ.: autobus podmiejski, bus, autobus miejskiWinda: NIERozkład: rozkładoweUsytuowanie: środkoweOpłaty w czynszu: Opłata eksploatacyjna, Sprzątanie klatki, Wywóz nieczystości, Fundusz remontowy, COOpłaty wg liczników: Internet, Gaz, Prąd, WodaRodzaj mieszkania: jednopoziomoweGaraż: miejsce parkingoweStan lokalu: Do wprowadzeniaOkna: PCVInstalacje: nowePowierzchnia użytkowa [m2]: 51,4300Rok budowy: 2009Liczba pokoi: 3Wysokość pomieszczeń [m]: 2,4000Ilość sypialni: 2Podłogi pokoi: paneleŚciany pokoi: farba emulsyjna, tapety, gładzieTyp kuchni: aneks kuchenny - połączony z jadalniąRodzaj kuchni: z zabudową kuchennąPodłoga kuchni: panele, terakotaTyp łazienki: razem z wcLiczba łazienek: 1Glazura łazienki: nowego typuPodłoga łazienki: terakotaWyposażenie łazienki: natryskŚciany łazienki: glazura, gładzieGlazura WC: nowego typuPodłoga WC: terakotaŚciany WC: glazura, gładzieLiczba przedpokoi: 1Podłoga przedpokoi: terakotaŚciany przedpokoi: gładziePośrednik odpowiedzialny zawodowo za wykonanie umowy pośrednictwa: Michał Stępień (licencja nr: 12484) </t>
  </si>
  <si>
    <t>https://www.otodom.pl/pl/oferta/pierwsze-pietro-na-zabobrzu-ID4ofxC</t>
  </si>
  <si>
    <t>4ofxC</t>
  </si>
  <si>
    <t>Łagiewniki Residence dom nr 4A Arturówek</t>
  </si>
  <si>
    <t>ul. Łagiewnicka, Łagiewniki, Bałuty, Łódź, łódzkie</t>
  </si>
  <si>
    <t xml:space="preserve">Ogłoszenie dotyczy domu w zabudowie bliźniaczej w Inwestycji:
 Łagiewniki Residence etap 1 
obejmującego realizację 12 domów
* To prestiżowe, luksusowe, zamknięte osiedle domów jednorodzinnych.
* Na terenie Inwestycji oferujemy Państwu realizację domówwolnostojących a także domów w zabudowie bliźniaczej.
* Inwestycja powstaje w pięknej, topowej okolicy z bezpośrednim przejściem do Lasu Łagiewnickiego.
* Inwestycja realizowana będzie w kilku etapach;
* Etap 1 realizacja 6 budynków, 12 domów w zabudowie bliźniaczej termin zakończenia prac grudzień 2024 roku
* Etap 2 realizacja 6 rezydencji wolnostojących termin zakończenia prac grudzień 2024 roku
* Na terenie Inwestycji dla Państwa wygody zaprojektowaliśmy prywatny park i plac zabaw
* Jedyna taka inwestycja w Łodzi.
* Koncepcja osiedla eleganckich, i nowoczesnych rezydencji , idealnie skomunikowanych z infrastrukturą miasta
* harmonijny balans pomiędzy obcowaniem z przyrodą a dostępem do centrum miasta.
* Dbałość o szczegóły architektoniczne
* wysoki standard wykonania
* sąsiedztwo zieleni
* jedyny taki projekt na mapie Naszego miasta
Istnieje możliwość otrzymania dotacji do instalacji fotowoltaicznej i do montażu pompy ciepła gruntowej lub powietrznej zgodnie z programem rządowym MÓJ PRĄD
pozostawiamy Państwu link do strony rządowej i zapraszamy do zapoznania się z ofertą
mojprad.gov.pl
DOMY SPEŁNIAJĄ NORMY WYMAGANE PRZEZ PROGRAM RZĄDOWY "KREDYT 2%" !!!
Wszystkie domy na osiedlu są przystosowane do możliwości zainstalowania:- wentylacji mechanicznej (rekuperacji)
- pompy ciepła gruntowej z odwiertami
- pompy ciepła powietrznej
- instalacji fotowoltaicznej
dodatkowe opcje;
realizacja Wiaty 
udział w drodze 
realizacja tarasu 
W celu uzyskania szczegółowych informacji zapraszamy Państwa do kontaktu z Naszym biurem sprzedaży.
</t>
  </si>
  <si>
    <t>https://www.otodom.pl/pl/oferta/lagiewniki-residence-dom-nr-4a-arturowek-ID4mBWJ</t>
  </si>
  <si>
    <t>4mBWJ</t>
  </si>
  <si>
    <t>OKAZJA,2pok,Opcja 3 pok,CENTRUM,Miejskie Media,I p</t>
  </si>
  <si>
    <t>ul. Śliczna, Huby, Krzyki, Wrocław, dolnośląskie</t>
  </si>
  <si>
    <t>Na sprzedaż ROZKŁADOWE, DWUSTRONNE mieszkanie 2 pokojowe (opcja 3 pokoi) o pow. 38 m2, położone w dzielnicy Krzyki, CENTRUM, okolice ul. Ślicznej.
Usytuowane jest na piętrze 1/4p., bloku wybudowanego w latach '80.
Budynek po termoizolacji, klatka schodowa schludna i czysta.
Budynek zadbany, stale poprawiana jakość użytkowa ( ocieplenie, okna pcv ).
Mieszkanie sklada się z:
- salonu,
- sypialni,
- oddzielnej kuchni z oknem,
- łazienki z WC,
- przedpokoju,
Dodatkowo piwnica.
Parking przed blokiem, za szlabanem. 
W bloku wymienione piony wod-kan. Reszta do remontu, jak widać na zdjęciach. Dużī potencjał inwestycyjny - możliwość zrobienia dwóch sypialni i pokoju z aneksem. 
WSZYSTKIE MEDIA MIEJSKIE!
Czynsz: 450 zł
Internet - Światłowód.
PEŁNA WŁASNOŚĆ Z KSIĘGĄ WIECZYSTĄ!
Mieszkanie ustawne, funkcjonalne, słoneczne i bardzo ciepłe zimą
Super lokalizacja - ŚCISŁE CENTRUM WROCŁAWIA!
Bardzo dobrze skomunikowane. Tramwaje oraz autobusy w pobliżu.
Zaledwie 3 min. pieszo od przystanków tramwajowej komunikacji miejskiej i 5 min do Rynku.
=================
Kontakt: 500 600 159
Cena: 448 000 zł - do neg.!
=================</t>
  </si>
  <si>
    <t>https://www.otodom.pl/pl/oferta/okazja-2pok-opcja-3-pok-centrum-miejskie-media-i-p-ID4oBm8</t>
  </si>
  <si>
    <t>4oBm8</t>
  </si>
  <si>
    <t>Uniqlo Szklarska Poręba | mieszkanie A/0/6</t>
  </si>
  <si>
    <t>ul. Osiedle Grottgera, Szklarska Poręba, karkonoski, dolnośląskie</t>
  </si>
  <si>
    <t xml:space="preserve">
2-pokojowe mieszkanie numer A/0/6 położone na parterze w inwestycji Uniqlo Szklarska Poręba
funkcjonalny, ustawny, nowy lokal o powierzchni 30,08 m kw. 
inwestycja dla wymagających osób, które cenią nowoczesne rozwiązania
Poznaj inwestycję - Uniqlo Szklarska Poręba
Poszukujesz miejsca, gdzie inwestycja spotyka się z odpoczynkiem? Oto okazja, aby zainwestować, zarabiać i cieszyć się w Szklarskiej Porębie!
Ta inwestycja wyróżnia się nie tylko kameralną zabudową, ale także malowniczą działką oferującą przepiękny widok na otaczające góry. Każde mieszkanie jest wyposażone w obszerny balkon, jednak w ramach naszej oferty dostępne są także apartamenty z dwoma, trzema, a nawet czterema balkonami!
Jeśli poszukujesz przestronnego mieszkania do własnego użytku lub jako inwestycji z nieograniczonym prawem własności, ta propozycja spełni Twoje oczekiwania.
Nasz obiekt znajduje się w pomiędzy istniejącą już zabudową, koniec naszej inwestycji będzie zamykać prowadzone prace w najbliższej okolicy.
Lokalami - na życzenie naszych Klientów - będzie zarządzać Vacation Club - spółka z grupy Zdrojową Inwestycje.
Proponowane korzyści dla nabywców apartamentów z nawiązania współpracy:
100% bezobsługowość inwestycji
Podział przychodu w proporcjach 30% (VacationClub)/70% (Właściciel apartamentu)
Hotelowy Standard™– Goście w cenie pobytu otrzymują bezpłatny dostęp do usług w hotelach partnerskich: aquaparki, baseny, siłownie, Kids Club, opcje wyżywienia
Pobyty właścicielskie poza sezonem bez ograniczeń
Klub Hotelarza™ – 10 dni w roku Właściciel może korzystać bezpłatnie z innych apartamentów sieci VacationClub™ (Świnoujście, Międzyzdroje, Kołobrzeg, Dźwirzyno, Grzybowo, Ustronie Morskie &amp;amp; Sianożęty, Mielno, Gdynia &amp;amp; Sopot, Szklarska Poręba, Karpacz, Zakopane) jednocześnie korzystając z usług w 4 i 5-gwiazdkowych hotelach
Know-how hotelowe – kilkunastoletnie doświadczenie hotelowe grupy Zdrojowa
Nowoczesne rozwiązania technologiczne – Mobile Check-In (check-in&amp;amp; check-out bez konieczności przyjazdu do recepcji)
Kameralny obiekt położony 200 m od stacji kolejowej z 25 Apartamentami: 25 m² - 63 m²
Udogodnienia na terenie obiektu:
Balkony z Widokiem na Góry: Panorama Gór Izerskich i Karkonoszy! Wszystkie lokale posiadają balkony, oferując niezapomniane widoki na panoramę Gór Izerskich i pasma górskie Karkonoszy.
Strefa relaksu z sauną i jacuzzi dostępna dla mieszkańców.
Zewnętrzna sauna
Narciarnia z ogrzewanymi miejscami na buty
Miejsce na rowery oraz ładowarka baterii e-bike
Miejsca Postojowe i Stacja Ładowania dla Samochodów Elektrycznych! Do każdego lokalu przypisane są miejsca postojowe na zewnętrznym parkingu. Dla posiadaczy samochodów elektrycznych planowana jest stacja ładowania.
Dla Najmłodszych - Plac Zabaw na Terenie Obiektu! Zadbaliśmy o najmłodszych, tworząc przy obiekcie plac zabaw, zapewniający radość i bezpieczną zabawę.
Panele fotowoltaiczne na dachu
Nowoczesny coworking na parterze
Monitoring
Inwestycja z Perspektywą: Prognozowany Zysk z Wynajmu Około 8%!
Szklarska Poręba, zyskująca na popularności turystycznej, oferuje potencjał wzrostu wartości nieruchomości oraz zyski z wynajmu krótkoterminowego.
Termin Oddania: II Kwartale 2025 - Deweloperski Stan z Możliwością Wykończenia! Apartamenty zapewniają komfort mieszkania oraz możliwości inwestycyjne.
Przyciągające Atrakcje w Okolicy:
200 m od wyciągów narciarskich, wypożyczalni i szkółki narciarskiej.
190 m od Parku Ducha Gór - rekreacyjnego terenu zielonego.
Złoty Widok, Wodospad Szklarki, Szrenica, Śnieżne Kotły, Trollandia i więcej!
Polana Jakuszycka - centrum narciarstwa biegowego gdzie można uprawiać ten sport jeszcze w maju.
Karkonosze - jedne z największych gór w Polsce z dziesiątkami kilometrów malowniczych szlaków
Skywalk - niecodzienna atrakcja, wznosząca się ponad miastem Świeradów-Zdrój, zabierze Cię na wysokość 62 metrów, oferując imponujący widok na malowniczą przyrodę.
Możliwość odliczenia podatku 
o   Dokonując zakupu inwestycyjnego na firmę właściciel otrzymuję fakturę VAT 23%
Inwestuj w Szklarskiej Porębie - Zapraszamy do Kontaktu!
Zapraszamy do kontaktu i odkrycia wyjątkowego miejsca w sercu Karkonoszy!</t>
  </si>
  <si>
    <t>https://www.otodom.pl/pl/oferta/uniqlo-szklarska-poreba-mieszkanie-a-0-6-ID4otHg</t>
  </si>
  <si>
    <t>4otHg</t>
  </si>
  <si>
    <t>Apartament w prestiżowej inwestycji blisko morza</t>
  </si>
  <si>
    <t>ul. Bursztynowa, Jelitkowo, Gdańsk, pomorskie</t>
  </si>
  <si>
    <t>4 POKOJE | BOTANICA | NAJLEPSZY ADRES | BLISKO MORZA | LASAPARTAMENT W STANIE DEWELOPERSKIMLOKALIZACJA:Botanica Jelitkowo mieści się w samym sercu nadmorskiej dzielnicy, na granicy Gdańska i Sopotu. Malownicza okolica na styku dwóch miast sprzyja spacerom i odpoczynkowi. By znaleźć się na plaży wystarczy 5 minutowy spacer, a nadmorską promenadą można dojść do molo w Sopocie i w Gdańsku Brzeźnie.INFORMACJĘ O INWESTYCJI: Botanica Jelitkowo to kameralne osiedle komponujące się z willową zabudową nadmorskiej dzielnicy Gdańska. Łączy doskonałą lokalizację blisko natury: morza, plaży, licznych parków oraz zbiornika wodnego z bliskością miejskiej infrastruktury. Projekt architektoniczny został stworzony w oparciu o idee miasta ogrodu, ze starannie skomponowaną roślinnością harmonizującą z otoczeniem. Zabudowa osiedla ukształtowana jest w rytmie płynącej rzeki, zapewniając każdemu mieszkańcowi niepowtarzalny widok. Duże przeszklenia i powiększone okna wprowadzają do wnętrz promienie słońca i pozwalają na podziwianie krajobrazu.Wyjątkowy charakter inwestycji zapewnia przestrzeń wspólna, zaprojektowana z myślą o odpoczynku. Dla mieszkańców dostępne będą: zewnętrzna strefa relaksu, kort tenisowy, boisko wielofunkcyjne, liczne miejsca z oczkami wodnymi oraz różnorodną roślinnością, skomponowaną tak, aby stworzyć naturalną przestrzeń do odpoczynku.INFORMACJĘ O NIERUCHOMOŚCI:Przestronny 4- pokojowy apartament położony na 2 kondygnacji 2 piętrowego budynku. Z salonu widok na wodę.W cenie 2 miejsca postojowe (obok siebie) i duża komórka lokatorska. Powierzchnia całkowita 109,4 m2.Powierzchnia użytkowa pomieszczeń 105,5 m2.Zapraszam do prezentacji.——————————————KONTAKT:Małgorzata Drygiel: +4████████████1 (licencja zawodowa nr 26530)Pośrednik odpowiedzialny: Joanna Czapska (licencja zawodowa nr 4585)Przedstawiona wyżej oferta nie jest ofertą handlową w rozumieniu przepisów prawa, lecz ma charakter informacyjny. Partners International dokłada starań, aby treści przedstawione w naszych ofertach były aktualne i rzetelne. Dane dotyczące ofert uzyskano na podstawie oświadczeń Sprzedających.——————————————CONTACT:Małgorzata Drygiel: +4████████████1 (professional license No. 26530)Broker responsible: Joanna Czapska (professional license No. 4585)Outlined above proposal is not a commercial offer for the purposes of the law but is informative. All data relating to real estate was obtained on the basis statements of the Sellers.——————————————4 ROOMS | BOTANICA | BEST ADDRESS | CLOSE TO THE SEA | FORESTLOCATION:Botanica Jelitkowo is located in the heart of the seaside district, on the border of Gdańsk and Sopot. The picturesque neighborhood at the junction of two cities is perfect for walking and relaxing. A 5-minute walk is enough to be on the beach, and you can walk to the pier in Sopot and the pier in Gdańsk Brzeźno along the seaside promenade.INVESTMENT INFORMATION:Botanica Jelitkowo is an intimate estate that blends in with the residential buildings of the seaside district of Gdańsk. The estate combines an excellent location close to nature: the sea, the beach, numerous parks and a water reservoir with the proximity of urban infrastructure. The architectural design was created on the basis of the idea of a 'garden city', with carefully composed vegetation harmonizing with the surroundings. The buildings of this estate are shaped in the rhythm of the flowing river, providing each resident a unique view. Large windows bring the sun into the interior and allow you to admire the landscape. The unique character of the investment is ensured by the common space, designed with relaxation in mind. For residents, there will be: an outdoor relaxation zone, a tennis court, a multi-purpose sports field and numerous places with garden ponds and diverse vegetation.APARTMENT INFORMATION:A spacious apartment consisting of 4 rooms is located on 2 floors. From the living room there is a view of the water reservoir.Included in the price: 2 parking spaces (next to each other) and a large storage room.</t>
  </si>
  <si>
    <t>https://www.otodom.pl/pl/oferta/apartament-w-prestizowej-inwestycji-blisko-morza-ID4nS7v</t>
  </si>
  <si>
    <t>4nS7v</t>
  </si>
  <si>
    <t>2 pokoje z dużym balkonem Dla siebie Inwestycja</t>
  </si>
  <si>
    <t>ul. Długa, Szczepin, Stare Miasto, Wrocław, dolnośląskie</t>
  </si>
  <si>
    <t xml:space="preserve">2 pokoje / Garderoba / Duży balkon / Tramwaj / PKP / Centrum / Możliwe spotkanie na inwestycji!Posiadam w sprzedaży mieszkania na różnych piętrach oraz w różnym metrażu zarówno na tej inwestycji jak i w całym Wrocławiu.  Zadzwoń i umów się na spotkanie!Kupujący nie płaci prowizji oraz podatku PCC.Najważniejsze zalety osiedla:- zaledwie 3km od wrocławskiego rynku.- rozbudowana infrastruktura miejska, wszystko w zasięgu ręki - sklepy, restauracje, kawiarnie, uczelnie wyższe, szkoły, przedszkola.- świetna komunikacja miejska w każdą część miasta- dużo zieleni na osiedlu oraz w okolicy Lokal mieszkalny około 50m2 składa się z:- pokoju dziennego z aneksem kuchennym około 29,81m2- sypialni około 9,11m2- łazienki około 4,71m2- przedpokoju z miejscem na duże szafy około 6,18m2Dodatkowo:- balkon około 11,34m2Termin zakończenia budowy:Gotowe do odbioru!Mieszkanie jest oddawane w stanie deweloperskim, do własnej aranżacji. Zdjęcia przedstawione w ofercie są wizualizacjami. ✔︎ Zapewniam pomoc w uzyskaniu kredytu oraz wykończeniu mieszkania pod klucz.✔︎ Kupując z nami nieruchomość zyskujesz 10% rabatu na wykończenie lub remont mieszkania*✔︎ Możliwość bezpłatnej rezerwacji mieszkania.Zapraszam do kontaktu: Monika Krupa: tel. 881 474 139Numer licencji zawodowej: 24776@-mail: oto-n1216Oferta została przygotowana na podstawie informacji uzyskanych od dewelopera. Informacje te są przez nas weryfikowane i sprawdzane, mogą jednak ulegać aktualizacji, w związku z czym powyższa oferta nie stanowi oferty handlowej w rozumieniu Kodeksu Cywilnego, a dane w niej zawarte mają jedynie charakter informacyjny.Pośrednik odpowiedzialny zawodowo za wykonanie umowy pośrednictwa: Monika Krupa (licencja nr: 24776) </t>
  </si>
  <si>
    <t>https://www.otodom.pl/pl/oferta/2-pokoje-z-duzym-balkonem-dla-siebie-inwestycja-ID4oEm7</t>
  </si>
  <si>
    <t>4oEm7</t>
  </si>
  <si>
    <t>3,3 M wysokości | Funkcjonalna Kawalerka | Centrum</t>
  </si>
  <si>
    <t>ul. Władysława Andersa, Koszalin, zachodniopomorskie</t>
  </si>
  <si>
    <t>Kawalerka o wysokości ścian 3,3 metra! Funkcjonalny prostokątny rozkład ułatwia aranżację. Możliwość stworzenia dodatkowej przestrzeni użytkowej za pomocą antresoli.Inwestuj bez dodatkowych kosztów - oszczędzając 5 635 zł, dzięki braku prowizji.LokalizacjaZnajdujesz się w sercu miasta, gdzie prestiżowa kamienica Nowa Pocztowa stanowi epicentrum miejskiego życia. Zaledwie trzy minuty stąd oddziela Cię od rynku, a prestiżowa ulica Andersa znana jest z najwyższej klasy neogotyckiej architektury. Tuż obok, Park Książąt Pomorskich oferuje oazę spokoju, a różnorodne restauracje i lokalna infrastruktura umilają i ułatwiają codzienność.ApartamentKawalerka znajduje się na 2. piętrze kamienicy. Zapewnia przestronność i elastyczność w aranżacji, dzięki prostokątnemu układowi i wysokim sufitom, a potencjalna antresola to szansa na dodatkową powierzchnię zgodnie z potrzebami lokatorów. Okna wychodzące na dziedziniec zapewniają ciszę, będącą atutem dla tych, którzy cenią spokój.Lokal oddajemy Ci w stanie deweloperskim.BudynekTa kamienica to prawdziwa perła wśród miejskich nieruchomości. Rewitalizacja odsłoniła jej industrialne piękno i historyczny charakter, zachowując przy tym każdy element - od renesansowych wzorów po misterną sztukaterię. Mieszkańcy mają okazję cieszyć się połączeniem klasycznej estetyki z nowoczesnym komfortem.Dlaczego warto zainwestować w ten lokal?Nieruchomość w Nowa Pocztowa to przede wszystkim inteligentna inwestycja. Atrakcyjność lokalizacji gwarantuje popyt na najem krótko- i długoterminowy, a zabytkowy status nieruchomości daje pewność, że wartość nieruchomości nie spadnie z biegiem lat.Skontaktuj się z nami - nasi Opiekunowie Klienta czekają, aby omówić Twoją przyszłość inwestycyjną. Wyprzedź konkurencję, działaj szybko i zapewnij sobie lokal w Nowa Pocztowa, który przyniesie Ci zyski przez lata. Pomogliśmy już wielu inwestorom - teraz kolej na Ciebie.Grzegorz Kubiak - Opiekun KlientaKontakt: +4████████████0</t>
  </si>
  <si>
    <t>https://www.otodom.pl/pl/oferta/3-3-m-wysokosci-funkcjonalna-kawalerka-centrum-ID4oyKV</t>
  </si>
  <si>
    <t>4oyKV</t>
  </si>
  <si>
    <t>Luksusowy apartment, 2 pokoje, Młyn Maria</t>
  </si>
  <si>
    <t>ul. Staromłyńska, Stare Miasto, Stare Miasto, Wrocław, dolnośląskie</t>
  </si>
  <si>
    <t>LUKSUSOWY APARTAMENT NAD ODRĄ, 2POK. | MŁYN MARIAOpiekun oferty:Sylwia BednarskaTel: 602 101 602WYKOŃCZONE W WYSOKIM STANDARDZIE 2 POK. MIESZKANIE W CENTRUM MIASTA, BARDZO DOBRA LOKALIZACJAMieszkanie składa się z:1) przedpokoju 2,51 m22) salonu z aneksem kuchennym 22,83 m23) pokoju 11,64 m24) wnęki garderobianej 3,56 m25) łazienki 6,29 m2Komunikacja:Mieszkanie jest bardzo dobrze skomunikowane z resztą miasta. Do Rynku spacerem mamy 1km, 650m do Uniwersytetu Wrocławskiego. Tuż obok nieruchomości znajdują się liczne przystanki tramwajowe. Informacje podstawowe:Mieszkanie znajduje się na 5 piętrze w 5 piętrowym budynku. Sprzedawane razem z wyposażeniem. Zakładany czynsz wynosi ok. 700 zł/2os. Apartament zaprojektowany pod okiem architekta. Mieszkanie klimatyzowane. W budynku mieści się całodobowa ochrona. Budynek monitorowany.Rekomendacja eksperta SDP Nieruchomości: Tę nieruchomość polecam osobom, które cenią sobie szybki dostęp do infrastruktury handlowo-usługowej. To oferta to idealna inwestycja dla inwestora. Nieduża odległość do Rynku, bliskość do uczelni oraz biurowców Concordia Design, Google, Green Day.Zadzwoń i zapytaj o szczegóły.Opiekun oferty:Sylwia BednarskaTel: 602 101 602</t>
  </si>
  <si>
    <t>https://www.otodom.pl/pl/oferta/luksusowy-apartment-2-pokoje-mlyn-maria-ID4jcPV</t>
  </si>
  <si>
    <t>4jcPV</t>
  </si>
  <si>
    <t>Mieszkanie w nowym bloku, do wydania od zaraz</t>
  </si>
  <si>
    <t>Koszalin, zachodniopomorskie</t>
  </si>
  <si>
    <t>Jest to oferta bezpośrednio od właściciela.
Mieszkanie znajduje się na nowym osiedlu wybudowanym w 2023 r. Jest to nowoczesne i zaprojektowane z gustem Osiedle Patio Apartments, na którym jest dużo zieleni, jest ciche, oddalone od głównych i hałaśliwych ulic. W bloku jest winda. Klatki schodowe są przestronne. 
Mieszkanie jest w stanie deweloperskim. Metraż to 58,34 m2, na który składają się: 
- salon z aneksem kuchennym, z wyjściem na duży taras
- sypialnia z garderobą 
- sypialnia/gabinet z wyjściem na taras 
- łazienka 
- przestronny przedpokój 
Ogrzewanie i woda są z sieci miejskiej. Czynsz do zarządcy wynosi ok.450 zł. 
Jest możliwość kupna miejsca w garażu podziemnym z komórką lokatorską (40 tys.zł).
Osoba kupująca nie płaci podatku PCC 2%, czyli oszczędzasz ok.11 tys.zł. 
Mieszkanie jest do wydania od zaraz. Zapraszam na prezentację. </t>
  </si>
  <si>
    <t>https://www.otodom.pl/pl/oferta/mieszkanie-w-nowym-bloku-do-wydania-od-zaraz-ID4oyga</t>
  </si>
  <si>
    <t>4oyga</t>
  </si>
  <si>
    <t>Dom działka widokowa Zawoja Babia Góra</t>
  </si>
  <si>
    <t>NOWA INWESTYCJA ZAWOJA ( wiosna 2024) - przysiółek MĘTLE działka nr. 15404/4
UWAGA !
Kwota sprzedaży inwestycji jest ograniczona czasowo !
W 2024 ROKU BĘDZIE TYLKO DROŻEJ !
Dom wraz z działką kupują Państwo bezpośrednio od właściciela bez pośredników.
Sprzedaż inwestycji odbywa się w dwóch etapach.
1. Zakup działki przez inwestora wraz z notarialnym przeniesieniem własności.
2. Wybudowane domu na działce inwestora przez naszą firmę w określonym czasie (wiosna 2024) wraz z zakresem prac opisanym w aktcie notarialnym.
3. Formy płatności odbywają się w transzach , po zakończonych etapach budowy.
Jeżeli szukają Państwo wyjątkowego miejsca w Zawoi wysoko w górach w cichym , spokojnym miejscu z dala od zabudowań w otoczeniu działek bez możliwości zabudowy z widokiem na Babią Górę to nasza firma oferuje takie miejsce wraz z całorocznym domem z drewna z półbala wraz z miejscem postojowym.
Zapraszamy do oglądnięcia działki na żywo.
Nasza Firma ECO-CHATY zaprasza do współpracy i zakupu przepięknego domu całorocznego z bali w malowniczej miejscowości w województwie małopolskim Zawoja - przysiółek MĘTLE z widokiem na Babią Górę.
Projekt obejmuje jeden dom usytuowany na działce o powierzchni 774 m2.
Nazwa projektu „CHATA U MĘTLA"
"CHATA U MĘTLA„ to dom CAŁOROCZNY wraz z dużym tarasem oraz dwoma miejscami postojowymi z miejscem do zagospodarowania na saunę oraz balie kąpielową.
Dom o powierzchni około 129 m2 w czego skład wchodzi przestronny salon wraz z otwartym aneksem kuchennym o pow. 35,80 m2, duża łazienka o pow. 5,20m2 oraz otwarty przedpokój z wyjściem na poddasze o pow. 4,60 m2. Do parteru należy zaliczyć również duży 32,60 m2 taras wraz z grillem zewnętrznym od strony południowej z którego możemy podziwiać cudowny widok prosto na Babią Górę oraz pasmo gór. Poddasze domu to trzy duże sypialnie pow. 14,60 m2, 15,30 m2, 8,10 m2 wraz balkonami jeden o pow. 1,80 m2 od strony zachodniej a drugi 4,00 m2 od strony południowej które pozwolą nam budzić się w przepięknej scenerii otaczającej nas przyrody do poddasza przynależy również hol o pow. 4,70 m2 oraz toaleta o pow. 3,10 m2 która poprawi komfort naszego życia przy większej ilości domowników lub odwiedzających nas gości.
W domu został zaprojektowany kominek który zapewni nam w zimie ciepło domowego ogniska, jak również latem pozwoli nam na zewnątrz usiąść przy rodzinnym grillu i biesiadować do białego rana.
Całe otoczenie działki zostało starannie zaplanowane a wszystkie szczegóły dopracowane tak aby była ona jak najbardziej funkcjonalne i pokazywała to co jest w niej najpiękniejsze czyli widok Babiej Góry oraz pasmo gór.
Na działce uwzględniono postawienie malowniczej altany góralskiej oraz bali kąpielowej która to pozwoli się zrelaksować i dostarczy nam nie zapomnianych wrażeń po powrocie do normalnej rzeczywistości, no chyba że ktoś zechce zamieszkać na stałe.
Oferta sprzedaży dotyczy działki wraz z jednorodzinnym całorocznym domem w stanie surowym zamkniętym plus wraz z instalacjami.
Poniżej opis co Państwo kupują;
- Nowy dom jednorodzinny całoroczny (nie letniskowy) wybudowany 2024 roku (wiosna) na podstawie pozwolenia na budowę.
- Działka widokowa budowlana o powierzchni 774m2 ( 7,7 ara)
- Działka w całości ogrodzona (ogrodzenie regionalne)
- Miejsca postojowe utwardzone, teren wyrównany – parking na 2-3 samochody.
- Dom z drzewa świerkowego sezonowanego ( półbal ) o średnicy od 35 do 45 cm przekroju.
- Impregnacja całego domu ogniochronna – bezbarwna – naturalne drewno.
- Impregnacja przed grzybami, owadami.
- Stolarka okienna PCV: okna, drzwi balkonowe, drzwi tarasowe.
- Parapety wewnętrzne i zewnętrzne.
- Drzwi wejściowe: drewniane, regionalne z akcentem góralskim.
- Poszycie dachu - blachodachówka ocynkowana z posypką ceramiczną tłumiąca deszcz (50 lat gwarancji) imitująca gont. (kolor czarny)
- System rynnowy stalowy antykorozyjny. (kolor czarny)
- Instalacja odgromowa.
- Przyłącz prądu do budynku – skrzynka energetyczna.
- Siła w budynku – możliwość podpięcia sauny.
- Instalacja zewnętrzna oświetlenia budynku.
- Instalacja alarmowa.
- Instalacja monitoringu.
- Ściany fundamentowe betonowe, kominy oraz wejście do domu obłożone kamieniem naturalnym.
- Grill zewnętrzny - obłożony kamieniem naturalnym.
- Szambo betonowe 10 m3.
- Studnia głębinowa.
- Taras z deski modrzewiowej ryflowanej 33-35 m2 wraz z balustradą drewnianą (krzyże)
- Dwa balkony o łącznej powierzchni około 6 m2 z balustradą.
Krótko podsumowując dom z zewnątrz będzie całkowicie wykończony.
Ponadto wewnątrz domu w kwocie 769,000,00 zł wykonane będzie;
- Cała instalacja prądowa (kable ogniowe czerwone)- Cała instalacja wodna- Cała instalacja kanalizacja- Cała instalacja wewnętrzna; internetowa- Ściany działowe wewnątrz budynku – parter – wydzielona łazienka.- Ściany działowe – poddasze – konstrukcja szkieletowa drewniana.
W razie zainteresowania szczegółową ofertę wyślemy na e-mail.
Dom może zostać wykończony do stanu deweloperskiego lub pod klucz według własnej koncepcji lub naszej propozycji.
Zdjęcia w ogłoszeniu są podglądowe z poprzedniej naszej inwestycji w Zawoi.
Dom nie będzie niczym odbiegał z tego ze zdjęcia podglądowego.
Nasza firma udziela kupującemu gwarancji na wykonane prace na okres 36 miesięcy.
Zakup inwestycji odbywa się na podstawie aktu notarialnego wraz z fakturą .
Osoby zainteresowane zakupem zapraszamy do oglądnięcia inwestycji na żywo - zakończenie budowy w II kwartale (wiosna) 2024 w przypadku podpisania umowy jeszcze w tym roku.
Cena 769,000,00 zł stan surowy zamknięty (plus) z ogrodzoną działką wraz z instalacjami.
Szczegółową ofertę wysyłamy po oglądnięciu działki.
Więcej informacji telefoniczne.
Jesteśmy do Państwa dyspozycji pod telefonem 797×605×805.
Pozdrawiamy zespół ECO-CHATY.</t>
  </si>
  <si>
    <t>https://www.otodom.pl/pl/oferta/dom-dzialka-widokowa-zawoja-babia-gora-ID4o3lg</t>
  </si>
  <si>
    <t>4o3lg</t>
  </si>
  <si>
    <t>3 pokoje - SKM, KM, bezpośrednio, bez prowizji</t>
  </si>
  <si>
    <t>ul. Ludwika Waryńskiego, Pruszków, pruszkowski, mazowieckie</t>
  </si>
  <si>
    <t xml:space="preserve"> Z przyjemnością prezentuję Państwu 27 m2 kawalerkę z ogrodem i tarasem położoną na inwestycji "Stacja Centrum" przy samej stacji SKM / KM przy ul. Waryńskiego 5/7. 
               Oferta bezpośrednia od dewelopera - bez prowizji i ukrytych opłat!
Podziemne miejsca postojowe - w cenie 35.000 zł.
Komórki lokatorskie i boksy w garażu - dodatkowo płatne.   Zachęcam do bezpośredniego kontaktu !
   Z radością oprowadzę Państwa po tej wyjątkowej inwestycji !
Elżbieta Ziomek +4████████████0
</t>
  </si>
  <si>
    <t>https://www.otodom.pl/pl/oferta/3-pokoje-skm-km-bezposrednio-bez-prowizji-ID4ibfv</t>
  </si>
  <si>
    <t>4ibfv</t>
  </si>
  <si>
    <t>4 pokojowe, Wysoki standard, Pkp</t>
  </si>
  <si>
    <t>ul. gen. Bolesława Roi, Legionowo, legionowski, mazowieckie</t>
  </si>
  <si>
    <t>Prezentowane mieszkanie składa się z:- salonu,- kuchni,- 3 sypialni,- łazienki,- holu,- loggii.Mieszkanie wykończone z dbałością o każdy szczegół. Gotowe do wprowadzenia się.Ekspozycja okien to wschód-południe-zachód, co powoduje, że mieszkanie jest bardzo dobrze doświetlone.Duża loggia 9m² z widokiem na las.Osiedle zamknięte z monitoringiem.2x miejsca w garażu obligatoryjnie 55000 złDo mieszkania przynależy również komórka lokatorska dodatkowo płatna: 15000 złW pobliżu znajdziemy sklepy, przystanek autobusowy oraz stację pkp Legionowo.</t>
  </si>
  <si>
    <t>https://www.otodom.pl/pl/oferta/4-pokojowe-wysoki-standard-pkp-ID4nJap</t>
  </si>
  <si>
    <t>4nJap</t>
  </si>
  <si>
    <t>Nowe 4 pokoje KREDYT 2 % - cena do konca TYGODNIA</t>
  </si>
  <si>
    <t>Orunia Górna - Gdańsk Południe, Gdańsk, pomorskie</t>
  </si>
  <si>
    <t xml:space="preserve">GURDNIOWE OKAZJE NA ZAKUP MIESZKANIA – OSTATNIA SZANSA NA KREDYT 2 % - UMÓW WIZYTĘ i zobacz na ŻYWO 
UMOWA REZERWACYJNA → GWARANTOWANA NISKA CENA !!!
Bezpośrednia sprzedaż od dewelopera
BEZ PROWIZJI - BRAK PODATKU PCC – 0 zł – RYNEK PIERWOTNY
Wyjątkowe OKAZJE na miejsca postojowe
Oferta dla klientów BEZPIECZNY KREDYT 2 %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3 sypialni
łazienki
WC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</si>
  <si>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https://www.otodom.pl/pl/oferta/nowe-4-pokoje-kredyt-2-cena-do-konca-tygodnia-ID4ooHT</t>
  </si>
  <si>
    <t>4ooHT</t>
  </si>
  <si>
    <t>Tuż Przy Umk! Pierwsze piętro w bloku</t>
  </si>
  <si>
    <t>Bydgoskie Przedmieście, Toruń, kujawsko-pomorskie</t>
  </si>
  <si>
    <t>Szanowni Państwo, Serdecznie zapraszam do zapoznania się z ofertą sprzedaży mieszkania zlokalizowanego blisko uniwersytetu przy Ul. Reja. Mieszkanie dwustronne znajdujące ‌się‌ ‌na‌ ‌‌pierwszym piętrze niskiego bloku z cegły.Informacje podstawowe:* mieszkanie wyposażone, po częściowym remoncie* pewna oferta inwestycyjna - mieszkanie idealne na wynajem ! * oddzielne pokoje* tuż przy UMK!* jasne, funkcjonalne i przytulne pomieszczenia* dostępność: od stycznia '24* budynek zarządzany przez wspólnotę* pełna własność Na‌ ‌mieszkanie‌ ‌o‌ ‌powierzchni‌ ‌48m2‌ ‌składa‌ ‌się:‌ ‌* pokój dzienny* sypialnia* niezależna kuchnia* łazienka‌ (wanna)* przedpokój‌ ‌Informacje dodatkowe:Do mieszkania przynależy piwnica. Wokół wiele dostępnych miejsc parkingowych.LokalizacjaUl. Reja W‌ ‌pobliżu‌ ‌znajdują‌ ‌się‌ ‌wszystkie‌ ‌niezbędne‌ ‌punkty‌ ‌handlowo-‌ ‌usługowe. Nieruchomość‌ ‌jest‌ ‌świetnie‌ ‌skomunikowana‌ ‌z‌ ‌resztą‌ ‌miasta. ‌Zapraszam do‌ ‌kontaktu‌ ‌i‌ ‌prezentacji‌ ‌mieszkania.‌ ‌Ksenia Kozłowska NieruchomościUprzejmie‌ ‌informujemy,‌ ‌że‌ ‌usługa‌ ‌pośrednictwa‌ ‌jest‌ ‌usługą‌ ‌płatną‌ ‌w‌ ‌sytuacji‌ ‌zakupu‌/najmu ‌nieruchomości.‌ ‌Niniejszy‌ ‌opis‌ ‌ma‌ ‌charakter‌ ‌informacyjny‌ ‌i‌ ‌nie‌ ‌stanowi‌ ‌oferty‌ ‌w‌ ‌rozumieniu‌ ‌Kodeksu‌ ‌Cywilnego </t>
  </si>
  <si>
    <t>https://www.otodom.pl/pl/oferta/tuz-przy-umk-pierwsze-pietro-w-bloku-ID4op9e</t>
  </si>
  <si>
    <t>4op9e</t>
  </si>
  <si>
    <t>Nowe mieszkanie z tarasem | bez pcc i prowizji |</t>
  </si>
  <si>
    <t>Z przyjemnością przedstawiamy ofertę sprzedaży nowego mieszkania 3 pokojowego o powierzchni 68,66m2 z tarasem o pow. 23,80m2. Mieszkanie znajduje się w nowowybudowanym nowoczesnym budynku przy ul. Pawła z Krosna w Krakowie. Zlokalizowane jest na 1 piętrze budynku. Budynek wyposażony w domofony z kamerą, garaż na kondygnacji 0 (możliwość zakupu do 3 miejsc postojowych na mieszkanie!). Przy każdym miejscu doprowadzono peszle do instalacji ładowania samochodów elektrycznych. Budynek został zaprojektowany w nowoczesnym industrialnym stylu z antracytowo czarną kolorystyką elewacji. Sufity w wykonano z technologi betonu architektonicznego. Taras i salon znajdują się od strony zachodniej co gwarantuje nasłonecznienie do końca każdego dnia.Mieszkanie dwustronne z widokiem na zachód i wschód. Ogrzewanie gazowe - podłogowe w każdym pomieszczeniu. Światłowód orange Cena miejsca parkingowego: 55 000 złOferta bez prowizji i podatku PCC Zapraszam do obejrzenia! </t>
  </si>
  <si>
    <t>https://www.otodom.pl/pl/oferta/nowe-mieszkanie-z-tarasem-bez-pcc-i-prowizji-ID4nLd0</t>
  </si>
  <si>
    <t>4nLd0</t>
  </si>
  <si>
    <t>Przepiękny apartament w zabytkowej willi w Orłowie</t>
  </si>
  <si>
    <t>Orłowo, Gdynia, pomorskie</t>
  </si>
  <si>
    <t>Sprzedaż dyskretna. Po szczegóły zapraszamy do kontaktu z przedstawicielem biura.LOKALIZACJA:Orłowo - kameralna dzielnica Gdyni, położona w południowej części miasta - na granicy Gdyni i Sopotu. Doskonale skomunikowana z całym Trójmiastem. Spacerem można dojść na plażę, w okolicy dużo terenów zielonych i rekreacyjnych. W pobliżu pełna infrastruktura, centra handlowe, restauracje. Budynek położony zaledwie 300 m. od plaży i orłowskiego mola. Przy wejściu na plażę, ze skarpy rozciąga się widok na całą Zatokę Gdańską z pięknym orłowskim klifem. Najbliższe otoczenie to to wille i luksusowe apartamenty nadmorskie. INFORMACJE O NIERUCHOMOŚCI:Apartament znajduje się w kameralnej, odrestaurowanej willi. Posesja ogrodzona, monitorowana. Mieszkanie w wysokim standardzie. Gotowe do wprowadzenia. Nie wymaga żadnych nakładów. Dwa miejsca postojowe (naziemne w cenie, garaż płatny dodatkowo 50.000PLN).——————————————KONTAKT:Paweł Łączyński: +4████████████5 (licencja zawodowa nr 19860)Pośrednik odpowiedzialny: Joanna Czapska (licencja zawodowa nr 4585)Przedstawiona wyżej oferta nie jest ofertą handlową w rozumieniu przepisów prawa, lecz ma charakter informacyjny. Partners International dokłada starań, aby treści przedstawione w naszych ofertach były aktualne i rzetelne. Dane dotyczące ofert uzyskano na podstawie oświadczeń Sprzedających.——————————————CONTACT:Paweł Łączyński: +4████████████5 (professional license No. 19860)Broker responsible: Joanna Czapska (professional license No. 4585)Outlined above proposal is not a commercial offer for the purposes of the law but is informative. All data relating to real estate was obtained on the basis statements of the Sellers.——————————————LOCATION:Orłowo - a cozy district of Gdynia, located in the southern part of the city - on the border of Gdynia and Sopot. Perfectly connected with the entire Tri-City. You can walk to the beach, there are plenty of green and recreational areas in the vicinity. Full infrastructure, shopping centers, restaurants nearby. The building is located just 300 meters from the beach and the Orłowo pier. At the entrance to the beach, from the escarpment, there is a view of the entire Gdańsk Bay with the beautiful Orłowo cliff. The immediate surroundings are villas and luxurious seaside apartments.</t>
  </si>
  <si>
    <t>https://www.otodom.pl/pl/oferta/przepiekny-apartament-w-zabytkowej-willi-w-orlowie-ID4nRZG</t>
  </si>
  <si>
    <t>4nRZG</t>
  </si>
  <si>
    <t>Dwupoziomowe mieszkanie z wyjątkowym widokiem</t>
  </si>
  <si>
    <t xml:space="preserve">Z przyjemnością prezentujemy Państwu dwupoziomowe mieszkanie, położone na wzgórzu w Przegorzałach.✔ LOKALIZACJA:Nieruchomość znajduje się przy ul. Gajówka. W pobliżu również Księcia Józefa, Kozarówka, Zaskale.Za oknami roztacza się wspaniały widok, wokół cisza, mnóstwo zieleni, także Las Wolski.Piękne położenie na wzgórzu, w dzielnicy willowej Woli Justowskiej sprawia, że mieszkanie jest wyjątkowei spełni oczekiwania najbardziej wymagających klientów.Od Rynku Głównego dzieli nas zaledwie 8 km.✔ MIESZKANIE:Mieszkanie składa się z dwóch poziomów: +1 oraz -1 (przyziemie).W tym samym budynku znajduje się jeszcze tylko jedno mieszkanie na poziomach 0 i -1.Każde mieszkanie ma oddzielne wejście i klatkę schodową.Na wyższym poziomie ponad 128 m2 przestrzeni. Przyziemie idealne na biuro, gabinet lub osobne mieszkanie.Planowany odbiór końcem roku 2023.W skład mieszkania o powierzchni 200,98 m2 wchodzi:PRZYZIEMIE:• komunikacja 8,05 m2• pokój 51,70 m2• łazienka 4,35 m21 PIĘTRO:• klatka schodowa 8,71 m2• korytarz 28,07 m2• pokój dzienny 26,21 m2• pokój 14,67 m2• pokój 15,85 m2• pokój 16,02 m2• garderoba 3,18 m2• kuchnia 13,57 m2• łazienka 7,9 m2• toaleta 2,7 m2Zastosowano nowoczesne rozwiązania typu: pompa ciepła, fotowoltaika, ogrzewanie podłogowe, rekuperacja.✔ KOSZTY:Cena mieszkania: 3 000 000 PLN do negocjacjiBrak PCC✔ KONTAKTMaria PtaszkiewiczBIURO NIERUCHOMOŚCI LIVINDERtel.: 796 514 914
Więcej ofert na stronie Biura Nieruchomości LIVINDER
Pośrednik odpowiedzialny zawodowo za wykonanie umowy pośrednictwa - Nr Licencji 23466
Chcemy z pasją i oddaniem budować trwałe relacje, kierując się przede wszystkim troską o klientów, którzy nam zaufali.
Oferta wysłana z programu dla biur nieruchomości ASARI CRM ()
</t>
  </si>
  <si>
    <t>https://www.otodom.pl/pl/oferta/dwupoziomowe-mieszkanie-z-wyjatkowym-widokiem-ID4ofy7</t>
  </si>
  <si>
    <t>4ofy7</t>
  </si>
  <si>
    <t>Mielno apartament wykończony wyposażony</t>
  </si>
  <si>
    <t>Mielno, Mielno, koszaliński, zachodniopomorskie</t>
  </si>
  <si>
    <t>PROMOCJA
Ten apartament jest wykończony.
W cenie zawarte jest również wyposażenie apartamentu w szafy, meble kuchenne, sprzęt AGD, meble łazienkowe i klimatyzację.
Przygotowany do wynajmu zarobkowego lub zamieszkania.
Jedyne na wybrzeżu apartamenty z tarasem widokowym i basenem na dachu, w unikatowym położeniu pomiędzy morzem, a jeziorem, otoczone sosnowym lasem z mariną dostępną w najbliższej okolicy!
Jeżeli interesuje Cię lokal w prestiżowym apartamentowcu nad polskim morzem
- kup apartament w Sea &amp;amp; Lake.Zamieszkaj, zarabiaj na wynajmie lub połącz obie te funkcje.Wybór należy do Ciebie.
Rabat za polecenie!Przy zakupie apartamentu przez osobę z grona Twoich znajomych lub rodziny, cena zakupionego apartamentu dla obu nowych właścicieli zostanie obniżona aż o 2%!OfertaApartament numer 301 o powierzchni 31 m2 znajduje się na III piętrze.Wyjście z salonu na duży, 7-metrowy balkon.Oprócz tego 1000 m2 tarasu wypoczynkowego na dachu z basenem z przeciwprądami i z pięknym widokiem na siódme co do wielkości jezioro w Polsce i sosnowe lasy.Wykończenie zawarte w cenie apartamentu:- wideofon z podglądem na wejście frontowe i korytarze- inteligentna klamka z możliwością zdalnej kontroli generująca m.inn. kody wejściowe- drzwi zewnętrzne samoopadające White Gloss INTERDOOR- ściana frontowa - witryna suwana Aluprof HS- sufity z oświetleniem led- podłogi w apartamencie- ogrzewanie podłogowe firmy ROTH- włączniki i gniazdaŁazienka w standardzie Sea&amp;amp;Lake:- drzwi wewnętrzne White Gloss INTERDOOR- kafle na ścianach- brodzik Laufen (180x80)- kafle na podłodze pod kolor brodzika - gres rektyfikowany Antico Matt 60x120 cm- ogrzewanie podłogowe firmy ROTH- deszczownica i prysznic Grohe- toaleta Laufen z deską samoopadającą- grzejnik drabinkowy z grzałką i timerem Terma- oświetlenie górne- włączniki i gniazda- balkon - płyty tarasowe 60x60 gres Nicea ułożone na wspornikach odprowadzających wodęKażdy apartament ma własne liczniki na prąd, wodę i ogrzewanie.Zakup bez prowizji, bezpośrednio od dewelopera.
Wszystkie dostępne apartamenty są gotowe do odbioru.Bezpieczeństwo i komfort gwarantowane profesjonalnym zarządzaniem wynajmem całorocznym.Właściciel zakupionego u nas apartamentu nie ma obowiązku oddawania go w najem.ALESpecjalnie dla Państwa znaleźliśmy operatora, z którym właściciel może podpisać umowę, że korzysta ze swojego apartamentu przez nieokreśloną liczbę dni w ciągu roku, a podczas jego nieobecności apartament może zarabiać na wynajmie. Operator ten zajmie się wszystkimi aspektami - obsługą gości, rezerwacjami, wydawaniem i odbiorem kluczy, sprzątaniem, praniem oraz bieżącą opieką i drobnymi naprawami.Centralne położenie Mielna w pasie wybrzeża morskiego razem z realizowaną drogą ekspresową S6 zapewnia doskonały dojazd.W planach miejskich w przygotowaniu unikalna w skali Polski i Europy przeprawa żaglowa między jeziorem Jamno, a morzem BałtyckimJesteśmy dla Państwa dostępni przez 7 dni w tygodniu.Zadzwoń po więcej informacji i umów się na wizytę.Zapraszamy!Treści prezentowane na niniejszej stronie internetowej to informacje handlowe i nie stanowią oferty w rozumieniu Kodeksu Cywilnego.</t>
  </si>
  <si>
    <t>https://www.otodom.pl/pl/oferta/mielno-apartament-wykonczony-wyposazony-ID4omjv</t>
  </si>
  <si>
    <t>4omjv</t>
  </si>
  <si>
    <t>Jarocin Apartament 53 m2 z balkonem 10 m2 BAUKING</t>
  </si>
  <si>
    <t>Mieszkanie nr 7 na I piętrze o powierzchni 53,63 m2. 
Posiada balkon o powierzchni 10,27 m2.
W cenie mieszkania jedno przyporządkowane miejsce parkingowe. Na terenie obiektu plac zabaw oraz rowerownia z dwoma wieszakami na rowery dla każdego mieszkania
Mieszkanie mieści się w budynku wielorodzinnym B przy ul. Warcianej w Jarocinie, w budynku w sumie mieści się 18 mieszkań o powierzchni od 25-66 m2. 
Budynek mieści się w spokojnej okolicy TUŻ PRZY LESIE, w bliskiej odległości między innymi : market, kościół, szkoła, piekarnia, sklepy. 
Nasza firma współpracuje z doradcą kredytowym, który chętnie pomoże Państwu w uzyskaniu finansowania mieszkania z kredytu. Jeśli są Państwo zainteresowani, proszę o kontakt w celu uzyskania szczegółów. </t>
  </si>
  <si>
    <t>https://www.otodom.pl/pl/oferta/jarocin-apartament-53-m2-z-balkonem-10-m2-bauking-ID4mXvB</t>
  </si>
  <si>
    <t>4mXvB</t>
  </si>
  <si>
    <t>3 pokoje, balkon, piwnica, ul. Egejska</t>
  </si>
  <si>
    <t>Stegny, Mokotów, Warszawa, mazowieckie</t>
  </si>
  <si>
    <t>BEZ PROWIZJI od Kupujących.Warszawa, Mokotów, Stegny, ul. EgejskaGotowe do wprowadzenia, zadbane, 3-pokojowe, dwustronne mieszkanie o powierzchni 56,90 m2 z balkonem ok. 3 m2. Mieści się na 12 piętrze w 15-piętrowym, odnowionym budynku. Widny nowej generacji. Z każdego okna i balkonu roztacza się piękny widok z szeroką panoramą, mieszkanie góruje nad pozostałą zabudową.Układ pomieszczeń:- salon z aneksem kuchennym i wyjściem na balkon- pokój 1- pokój 2- łazienka razem z wc- przedpokój- do mieszkania przynależy piwnicaW okolicy znajduje się pełna infrastruktura handlowo usługowa, szkoła, przedszkole, liczne tereny zielone z placami zabaw i siłowniami plenerowymi.Komunikacja:- autobus 100 m- szybki tramwaj miejski (wkrótce oddanie do użytku) 100 mStan prawny:pełna własność z Księgą Wieczystą-Skontaktuj się z nami w celu zapoznania się ze szczegółami oferty. Jeżeli nie udało Ci się znaleźć oferty spełniającej Twoich oczekiwań, zapraszamy do kontaktu bezpośredniego. Nie wszystkie nasze oferty widoczne są w internecie.Informujemy, iż pomimo wszelkich starań, które poczyniliśmy, aby zaprezentować rzetelne informacje o nieruchomości, przedstawione informacje otrzymaliśmy od właściciela oraz innych osób współpracujących w procesie sprzedaży i mogą one wymagać weryfikacji. Przedstawione materiały wizualne mają charakter poglądowy i stanowią jedynie materiał pomocniczy. Niniejsze ogłoszenie nie stanowi oferty w rozumieniu kodeksu cywilnego i ma charakter informacyjny.Niniejsze ogłoszenie jest własnością Reals Nieruchomości Sp. z.o.o. lub podmiotów współpracujących.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Reals Nieruchomości Sp. z o.o. lub podmiotów współpracujących jest zabronione i może stanowić podstawę odpowiedzialności cywilnej oraz karnej. Przedstawione materiały stanowią tajemnicę przedsiębiorstwa Reals Nieruchomości Sp. z o.o. lub podmiotów współpracujących w rozumieniu ustawy z dnia 16 kwietnia 1993 r. o zwalczaniu nieuczciwej konkurencji (Dz. U. z 2003 r., Nr 153, poz. 1503 z późn. zm.). Oferta wysłana z programu dla biur nieruchomości ASARI CRM ()</t>
  </si>
  <si>
    <t>https://www.otodom.pl/pl/oferta/3-pokoje-balkon-piwnica-ul-egejska-ID4og4I</t>
  </si>
  <si>
    <t>4og4I</t>
  </si>
  <si>
    <t>2-pokojowe mieszkanie w Centrum | ul. Jurowiecka</t>
  </si>
  <si>
    <t>ul. Jurowiecka, Sienkiewicza, Białystok, podlaskie</t>
  </si>
  <si>
    <t>***ZAKUP BEZ PODATKU PCC***
Mieszkanie zlokalizowane jest w prestiżowej inwestycji w samym Centrum miasta.
Apartamenty Jagiellońskie - ul. Jurowiecka, Białystok
MIESZKANIE:
- powierzchnia: 38,87 m2
- salon z aneksem kuchennym, sypialnia, łazienka i korytarz
- balkon wykończony płytkami gresowymi
- szklana balustrada
- duże okna powiększające przestrzeń
BUDYNEK:
- nowy budynek o podwyższonym standardzie 
- na posadzkach w wejściach do budynku, na korytarzach, przy windach oraz wokół drzwi wejściowych do mieszkań znajduje się kamień naturalny
- w klatce znajdują się dwie ciche i szybkie windy
- na każdym piętrze posadzka na korytarzu wykonana jest z kamienia, przy windach znajdują się duże lustra oraz podwieszane sufity
Zadzwoń i poznaj szczegóły.
Wyjątkowe inwestycje w centrum Białegostoku
V i VI etap Apartamentów Jagiellońskich to inwestycje zaprojektowane z myślą o stworzeniu komfortowej przestrzeni życiowej w samym centrum miasta. Nasze budynki prezentują ciekawą i nowoczesną formę architektoniczną. Stawiamy na jakość wykończenia zarówno części zewnętrznej tj. elewacji, jak również części wspólnych czy samych mieszkań. Gustowne hole oraz klatki schodowe są prawdziwą wizytówką naszych budynków. Atutem wszystkich mieszkań są funkcjonalne układy, duże witryny okienne doświetlające pomieszczenia oraz obszerne balkony, tarasy oraz zielone ogródki. Południowo-zachodnią stronę budynku okalają zielone tereny przyległe do rzeki Białej, które stanowią część rekreacyjną naszego osiedla.</t>
  </si>
  <si>
    <t>https://www.otodom.pl/pl/oferta/2-pokojowe-mieszkanie-w-centrum-ul-jurowiecka-ID4nJM5</t>
  </si>
  <si>
    <t>4nJM5</t>
  </si>
  <si>
    <t>Eleganckie Mieszkanie z Balkonem w ZielonymZakątku</t>
  </si>
  <si>
    <t>ul. Jelenia, Popowice Północne, Fabryczna, Wrocław, dolnośląskie</t>
  </si>
  <si>
    <t xml:space="preserve">Eleganckie Mieszkanie z Balkonem w Zielonym Zakątku Wrocławia!Zapraszamy do zakupu wyjątkowego mieszkania o powierzchni 35m2, usytuowanego na 7. piętrze nowoczesnego budynku w jednej z najbardziej prestiżowych lokalizacji Wrocławia, przy ul. Jeleniej. To idealna propozycja dla tych, którzy cenią sobie komfort, estetykę i dostępność do licznych udogodnień.Cechy Nieruchomości:Ekspozycja Południowa: Całodzienny dostęp do naturalnego światła sprawia, że mieszkanie jest jasne i przytulne,Budynek po Termomodernizacji: Optymalna efektywność energetyczna i niskie koszty ogrzewania,Stylowe Panele na Podłodze: Dodają elegancji i są łatwe w utrzymaniu,Gładzie na Ścianach: Wnętrze prezentuje się nowocześnie i estetycznie,Nowoczesna Instalacja Elektryczna: Bezpieczne i zgodne z najnowszymi standardami,Nowe Ciągi Wodno-Kanalizacyjne: Komfort i pewność, że wszystko działa sprawnie,Piwnica o Powierzchni Ok. 3m: Dodatkowa przestrzeń do przechowywania,Balkon: Doskonałe miejsce na relaks po intensywnym dniu,Nowe Drzwi Antywłamaniowe: Zwiększające poziom bezpieczeństwa mieszkania,Okna Plastikowe: Dobra izolacja termiczna i akustyczna.Dodatkowe Informacje:Czynsz: 410 zł,Powierzchnia: 35m2,Piętro: 7/10,Cena: 510.000 zł,Okolice: ul. Jeleniej,Mieszkanie Sprzedawane z Wyposażeniem.Inwestycja Pod Wynajem:To doskonała okazja nie tylko do posiadania własnego lokum, ale również świetna lokata kapitału z myślą o wynajmie.Kontakt:Agent: Michał BebelTelefon: 732 89 09 09Email: Nie przegap wyjątkowej okazji! Skontaktuj się z nami już dziś, aby umówić się na obejrzenie nieruchomości i odkryć więcej o jej potencjale.
Oferta wysłana z programu dla biur nieruchomości ASARI CRM ()
</t>
  </si>
  <si>
    <t>https://www.otodom.pl/pl/oferta/eleganckie-mieszkanie-z-balkonem-w-zielonymzakatku-ID4osWR</t>
  </si>
  <si>
    <t>4osWR</t>
  </si>
  <si>
    <t>Ciepłe, dobra lokalizacja. Tylko u nas!</t>
  </si>
  <si>
    <t>Tuchola, Tuchola, tucholski, kujawsko-pomorskie</t>
  </si>
  <si>
    <t>Kontakt:Alicja Skoniecznatek. 662-036-327Mieszkanie w Tucholi, dobrze zlokalizowane, o powierzchni 48,2 m2. Ciepłe oraz słoneczne. Dostępne od zaraz!Składa się z:- 3 pokoi ( w tym jeden z balkonem),- kuchni,- przedpokoju oraz- łazienki z wanną. Do mieszkania przynależy piwnica. Parking  ogólnodostępny pod blokiem.Sprzęt oraz meble widoczne na zdjęciu- częściowo mogą pozostać.Lokalizacja:przedszkole ( 500 m ), szkoła podstawowa ( 300 m ), sklep Społem ( 350 m ), Jezioro Głęboczek ( około 1 km ).Czynsz wynosi około 600 zł/ msc.Kontakt:Nieruchomości Apartament Oddział ChojniceKontaktując się z agentem odpowiedzialnym za ofertę, koniecznie zapytaj jakie są warunki współpracy z naszym biurem oraz co w związku ze współpracą zapewniamy.Dbając o bezpieczeństwo klientów sprzedających, a często także na ich wyraźne życzenie, nie podajemy adresów nieruchomości bez podpisania uprzednio umowy o pośrednictwo w kupnie lub najmie.Wszelkie podane przez Biuro informacje nie są ofertą w rozumieniu Kodeksu Cywilnego.Zgodnie z Ustawą o Prawie Autorskim i Prawach Pokrewnych z dnia 4 lutego 1994 roku (Dz.U.94 Nr 24 poz. 83, sprost.: Dz.U.94 Nr 43 poz.170) wykorzystywanie autorskich pomysłów, rozwiązań, kopiowanie, rozpowszechnianie zdjęć, fragmentów grafiki, tekstów opisów w celach zarobkowych, bez zezwolenia autora jest zabronione i stanowi naruszenie praw autorskich oraz podlega karze. Znaki towarowe i graficzne są własnością firmy Nieruchomości Apartament.</t>
  </si>
  <si>
    <t>https://www.otodom.pl/pl/oferta/cieple-dobra-lokalizacja-tylko-u-nas-ID4oc4w</t>
  </si>
  <si>
    <t>4oc4w</t>
  </si>
  <si>
    <t>—3 pokoje—z ogrodem i piwnicą 40m2—parter—</t>
  </si>
  <si>
    <t>Siemyśl, Siemyśl, kołobrzeski, zachodniopomorskie</t>
  </si>
  <si>
    <t xml:space="preserve">M  I  E  S  Z  K  A  N  I  E
Zapraszamy do zapoznania się z ofertą sprzedaży, jasnego, 3-pokojowego mieszkania usytuowanego na parterze domu wolnostojącego.
Mieszkanie znajduje się w Siemyślu przy ul. Kołobrzeskiej.
Do mieszkania przynależy miejsce parkingowe, ganek (14m2) oraz piwnca (40m2).L O K A L I Z A C J A
- ul. Kołobrzeska,
- przystanek w odległości około 100m, do Kołobrzegu 15km,
- market dino: 500m,
- apteka: 400m,
- szkoła podstawowa: 60m,
- kościół: 160m,
- przychodnia lekarska: 350m,
P O W I E R Z C H N I Amieszkanie – 67,5 m2
ganek – 14 m2
piwnica – 40 m2
U K Ł A D
- pokój dzienny
- kuchnia
- sypialnia I
- łazienka
- korytarz
- sypialnia II
A T U T Y
- bliska odległość od Kołobrzegu (15km),
- spokojna miejscowość z dostępnością wszystkich miejskich udogodnień,
- duża piwnica,
- osobne wejście,
- sąsiedztwo terenów zielonych, 
- niskie miesięczne opłaty,
O P Ł A T Y- wg zużycia, osobne liczniki,
- ogrzewanie centralne na paliwa stałe - piec w piwnicy;
S T A N   P R A W N Y
- odrębna księga wieczysta lokalu oraz udział w gruncie,
- w budynku są wyodrębnione 3 lokale,
- księga bez obciążeń;
—SERDECZNIE ZAPRASZAMY NA PREZENTACJĘ—
—Gwarantujemy pełne bezpieczeństwo transakcji—
—Zapewniamy kompleksową obsługę kredytową—
Współpracujemy z:
-Kancelarią Adwokacką,-Kancelariami notarialnymi, które dla naszych Klientów udzielają zniżek,
-Doświadczonym biurem doradztwa kredytowego,
-Geodetami,
-Rzeczoznawcami,
—Heller Nieruchomości—tu, gdzie liczy się jakość—
</t>
  </si>
  <si>
    <t>https://www.otodom.pl/pl/oferta/3-pokojez-ogrodem-i-piwnica-40m2parter-ID4nGRu</t>
  </si>
  <si>
    <t>4nGRu</t>
  </si>
  <si>
    <t>Deptak Bogusława X nr 9/8</t>
  </si>
  <si>
    <t>ul. Księcia Bogusława X 8/9, Centrum, Śródmieście, Szczecin, zachodniopomorskie</t>
  </si>
  <si>
    <t>Mieszkanie zarabia teraz 3500 zł miesięcznie. Możliwe przekazanie dalej interesu, lub do zamieszkania do zaraz. 
Ciepła woda i ogrzewanie miejskie.
Opłaty za wodę śmieci ogrzewanie i fundusz remontowy 378 zł
Klatka schodowa w bardzo dobrym stanie .
1. Duzy pokój z aneksem kuchennym
2. Pokój przejściowy 
3. Łazienka
W dziale IV Hipoteka , która zostanie spłacona, jeżeli będzie już kupiec. Do spłaty zostało ok 65000 zł. Jeżeli klient gotówkowy to nie trzeba spłacać kredytu do razu. Możliwość sprzedaży z kredytem na poprzedniego właściciela. 
Możliwa zamiana na inne, większe, w centrum do remontu. Przy odpowiednim zadatku mogę poczekać dłużej na umowę końcową. 
 Nie podpisuje żadnych umów z pośrednikami, Chyba że mają kupca i ja nie płace prowizji. Proszę mi niczego nie proponować. To nic nie da. </t>
  </si>
  <si>
    <t>https://www.otodom.pl/pl/oferta/deptak-boguslawa-x-nr-9-8-ID4mXpr</t>
  </si>
  <si>
    <t>4mXpr</t>
  </si>
  <si>
    <t>Nowy Apartament 70m Nad Zalewem - Polna Droga</t>
  </si>
  <si>
    <t>ul. Polna Droga, Świdnica, świdnicki, dolnośląskie</t>
  </si>
  <si>
    <t>Sprzedam świeżo wyremontowany - jeszcze niezamieszkały - przestronny apartament o powierzchni 70m2 zlokalizowany w prestiżowej lokalizacji, na nowo powstającym osiedlu przy ul. Polna Droga w Świdnicy.Nieruchomość składa się z salonu z aneksem kuchennym z wyjściem na balkon, dwóch sypialni, łazienki oraz przedpokoju.Remont wykonany z dbałością o każdy szczegół, z najwyższej jakości materiałów, zrealizowany wg indywidualnego projektu. Kuchnia wyposażona w wysokiej jakości sprzęt (w zabudowie lodówka, dwupoziomowy piekarnik, mikrofalówka oraz zmywarka firmy SAMSUNG, winiarka z dwoma poziomami chłodzenia, płyta grzewcza z wbudowanym okapem firmy BORA (model PURSU), armatura firmy Grohe - w kolorze szczotkowanego złota.Wyspa kuchenna obudowana kamieniem NEOLITH.W łazience podwójna, kamienna umywalka wykonana na indywidualne zamówienie, armatura firmy Grohe w kolorze szczotkowanego złota.W cenie dwa prywatne miejsca postojowe zewnętrzne oraz dwa prywatne miejsca w garażu podziemnym plus komórka lokatorska.Sprzedaż z powodów osobistych.</t>
  </si>
  <si>
    <t>https://www.otodom.pl/pl/oferta/nowy-apartament-70m-nad-zalewem-polna-droga-ID4o9qw</t>
  </si>
  <si>
    <t>4o9qw</t>
  </si>
  <si>
    <t>Piętro Domu - M. Konopnickiej - Goleniów</t>
  </si>
  <si>
    <t>ul. Marii Konopnickiej, Goleniów, Goleniów, goleniowski, zachodniopomorskie</t>
  </si>
  <si>
    <t xml:space="preserve">  --- 530 855 007 ------ REZERWACJA ----Dopytaj o dostępność zbliżonejoferty mieszkania bezczynszowego.Na sprzedaż mieszkanie 81 m2Goleniów - ul. Marii Konopnickiej	nieruchomość jest usytuowana na I PIĘTRZE w domu dwurodzinnym,	mieszkanie BEZCZYNSZOWE,	powierzchnia nieruchomości wynosi 81 m2W skład mieszkania wchodzą:	3 duże pokoje,	przedpokój,	widna kuchnia,	łazienka.Do nieruchomości przynależy:	ogród,	3 komórki,	garaż,	własne poddasze.Atuty:	okna plastikowe,	budynek ocieplony,	potencjał -  WŁASNY STRYCH - możliwość wykorzystania	przestrzeni na powiększenie mieszkania.Mieszkanie dla rodziny?Własna działalność?Pod inwestycję?--- 530 855 007 --- Możliwość finansowania kredytem hipotecznym,zadatek (bezzwrotna wpłata kwoty, którą ustalimy)bezpieczna możliwość podpisania prawnejumowy notarialnej, dzięki czemu zabezpieczamytransakcje Sprzedającego i Kupującego.Nie jesteś pewny, jaki wybrać rodzaj kredytu,czy opcja  2 % to idealne rozwiązanie?Wspomnij o tym w rozmowie, współpracujemyz Profesjonalnym Ekspertem Finansowym,dzięki czemu wybierzesz odpowiednią opcję finansowania Twojej przyszłej nieruchomości.Preferowany kontakt telefoniczny, wybierająckontakt e-mailowy proszę koniecznie wpisaćw formularzu swój nr telefonu do kontaktu.   -- TEL -- 530 855 007 -- TEL --"Opis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</si>
  <si>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https://www.otodom.pl/pl/oferta/pietro-domu-m-konopnickiej-goleniow-ID4mwGn</t>
  </si>
  <si>
    <t>4mwGn</t>
  </si>
  <si>
    <t>Nowe 2023 | Garaż | Balkon | Metro Chrzanów</t>
  </si>
  <si>
    <t>ul. Szeligowska, Chrzanów, Bemowo, Warszawa, mazowieckie</t>
  </si>
  <si>
    <t>Mam przyjemność zaprezentować Państwu ciche, trzypokojowe mieszkanie o powierzchni 52,49 m2 z dużym balkonem o zachodniej ekspozycji. Lokal z miejscem w garażu podziemnym i komórką lokatorską, znajduje się w budynku tuż przy wejściu do stacji Metra Chrzanów (odległość 60 m).W ofercie mamy dostępne również 3 inne mieszkania w tym samym budynku:- 3 pokojowe na I piętrze o powierzchni 67,58 m2- 3 pokojowe na II piętrze o powierzchni 67,64 m2- 3 pokojowe na IV piętrze o powierzchni 68,20 m2Tel: 571-266-345✅ LOKALIZACJABemowo, ul. Szeligowska - nowoczesne osiedle z pełną potrzebną do życia infrastrukturą wraz z dogodną komunikacją (przy budynku wejście do Metra Chrzanów, tuż obok wjazd na trasę S8).✅ MIESZKANIERozkładowe 3 pokoje:- salon z aneksem kuchennym 19,95 m2- sypialnia 11,39 m2- sypialnia 11,20 m2- łazienka 4,28 m2- przedpokój 5,67 m2- balkon 9,43 m2Mieszkanie w stanie deweloperskim - możliwość aranżacji i dopasowania w stu procentach do własnych potrzeb. Południowa ekspozycja lokalu gwarantująca bardzo dużo światła dziennego oraz ciszę i prywatność.✅ BUDYNEKLokal mieści się na drugim piętrze w sześciopiętrowym budynku z windą oraz parkingiem podziemnym. Zamknięte, strzeżone osiedle z 2023 roku - budynki są od siebie oddalone co sprawia poczucie większej prywatności, sąsiedzi nie zaglądają w okna.✅ POWIERZCHNIA DODATKOWA- Miejsce parkingowe w garażu podziemnym (dodatkowo płatne)- Komórka lokatorska. (dodatkowo płatna)✅ OKOLICAŚwietnie skomunikowane miejsce - tuż przy samym wejściu (60 m) do budowanej stacji Metra Chrzanów, niedaleko duża pęta tramwajowa i autobusowa Os. Górczewska. Bardzo blisko wjazd na trasę S8 (obwodnicę Warszawy) pozwalający na szybki dojazd samochodem do innych dzielnic.W zasięgu krótkiego spaceru, idealny na chwilę odpoczynku - Park Górczewska z amfiteatrem oraz tężnią solankową.W najbliższej okolicy kilka sklepów spożywczych, kawiarnie, piekarnia, sporo restauracji, kompleks handlowy City Park, Kaufland, Rossmann, dwie stacje benzynowe, dwie szkoły podstawowe, żłobki i przedszkola. Blisko również do galerii handlowej na ul. Górczewskiej oraz do Wola Park.✅ STAN PRAWNYPełna własność, założona Księga Wieczysta. Klucze już odebrane.Cena do negocjacji.Zapraszam na prezentację!Tel: 571-266-345Jestem do Państwa dyspozycji 7 dni w tygodniu od 8:00 do 22:00Michał Zdunek - wyłączny opiekun ofertyEkspert ds. NieruchomościUnited Capital &amp;amp; Real EstateJeżeli zakup mieszkania wiąże się ze sprzedażą innej nieruchomości, zapraszam do kontaktu. Z chęcią pomogę Ci w tym procesie!</t>
  </si>
  <si>
    <t>https://www.otodom.pl/pl/oferta/nowe-2023-garaz-balkon-metro-chrzanow-ID4oEaB</t>
  </si>
  <si>
    <t>4oEaB</t>
  </si>
  <si>
    <t>nowe M3 w Kredycie 2% | Wzór na Twoje nowe M.</t>
  </si>
  <si>
    <t>ul. Promienna, Żory, śląskie</t>
  </si>
  <si>
    <t>Poznaj pełną ofertę mieszkań i apartamentów dostępnych na inwestycji Vi² Blockhaus. na www.vi2.com.pl. 
Trzypokojowy apartament oznaczony symbolem A.46, zlokalizowany na nowo-budowanej inwestycji deweloperskiej pt. Vi² by Blockhaus. o powierzchni 52,96 m2.
Najważniejsze zalety apartamentu - Wyposażony w nowoczesne rozwiązania dla komfortu oraz ekologii, wraz z szeregiem udogodnień budynkowych, z których wszystkie poznasz odwiedzając www.vi2.com.pl
Najważniejsze zalety apartamentowca - monitorowane, zamknięte osiedle mieszkaniowe wyposażone w szereg udogodnień, takich jak wideodomofon, stacja serwisowa dla rowerów, wewnętrzne oraz zewnętrzne miejsca postojowe i wiele więcej. 
Zarezerwuj wybrany lokal i zyskaj pewność oraz gwarancję ceny.
Zachęcamy do zapoznania się z pełną listą standardu lokali jak i udogodnień budynkowych, a także z całą gamą mieszkań dostępnych w ofercie, pod adresem: www.vi2.com.pl
Zapraszamy do kontaktu, chętnie odpowiemy na Twoje pytania!
Better space for your life.We are Blockhaus.</t>
  </si>
  <si>
    <t>https://www.otodom.pl/pl/oferta/nowe-m3-w-kredycie-2-wzor-na-twoje-nowe-m-ID4nwrT</t>
  </si>
  <si>
    <t>4nwrT</t>
  </si>
  <si>
    <t>Idealne mieszkanie na start</t>
  </si>
  <si>
    <t>Siechnice, Siechnice, wrocławski, dolnośląskie</t>
  </si>
  <si>
    <t>Dzień dobryPolecam na sprzedaż komfortowe mieszkanie 2 pokojowe w Siechnicach.Zalety lokalizacji:- szybki dojazd do Wschodniej Obwodnicy Wrocławia- 12 km do wrocławskiego rynku- sprawne połączenie z Wrocławiem komunikacją miejską, liczne autobusy podmiejskie oraz PKS. Z dworca PKP Siechnice, na Dworzec Główny we Wrocławiu jedziemy 11min- trzy szkoły podstawowe- przedszkola i żłobki- bogata infrastruktura sportowa - stadion lekkoatletyczny, boiska piłkarskie, boiska tenisowe i do koszykówki- kąpielisko „Błękitna Laguna”- pełna infrastruktura usługowa: Lidl, Biedronka, Dino, salony kosmetyczne, piekarnie, restauracje itd.- idealne miejsce dla ludzi lubiących spędzać czas na łonie natury - ścieżki rowerowe, piesze, biegowe, obszary Natura 2000Mieszkanie zlokalizowane na parterze, o powierzchni 44 mkw składa się z:Salon z aneksem kuchennym - 20,7mkwSypialnia - 11,2mkwŁazienka - 5,4mkwkomunikacja - 6,7mkwDo mieszkania przynależą dwa ogródki oraz zewnętrzne miejsce postojowe.Istnieje możliwość dokupienia komórki lokatorskiej.Inwestycja będzie oddana w III kwartale 2024 r.Więcej szczegółów na spotkaniu.Numer lokalu: M4Zapraszam na prezentację.Paweł Jonko660 688 185Zainteresowany? Zadzwoń teraz i umów się na spotkanie online</t>
  </si>
  <si>
    <t>https://www.otodom.pl/pl/oferta/idealne-mieszkanie-na-start-ID4nI43</t>
  </si>
  <si>
    <t>4nI43</t>
  </si>
  <si>
    <t>Apartament inwestycyjny przy Czantorii | Ustroń</t>
  </si>
  <si>
    <t>Ustroń, cieszyński, śląskie</t>
  </si>
  <si>
    <t xml:space="preserve">Mam przyjemność zaprezentować Państwu, doskonały apartament inwestycyjny w prestiżowej inwestycji w Ustroniu, zlokalizowanej przy Czantorii  Wielkiej. LOKALIZACJA: Inwestycja zlokalizowana jest w Beskidzie Śląskim w miejscowości Ustroń Polana przy drodze krajowej Katowice – Wisła w bezpośrednim sąsiedztwie wyciągu krzesełkowego na Wielką Czantorię oraz pięknych oświetlonych i sztucznie naśnieżonych tras zjazdowych. Do największych atrakcji Ustronia zalicza się Ośrodek Narciarski w Ustroniu, Czantoria Wielka z kolejką krzesełkową, Przełęcz Karkoszczonka, Leśny Park Niespodzianek, Górski Park Równica – Extreme Park z torem saneczkowym o długości 600 m, Schronisko na Równicy oraz wiele innych pobliskich atrakcji zlokalizowanych w Wiśle.INWESTYCJA:CZANTORIA RESORT to prestiżowy i bardzo luksusowy apartamentowiec położony w Ustroniu Polanie zaraz obok popularnych tras zjazdowych, w którym poczujesz się wyjątkowo i połączysz wypoczynek w strefie basenowej z relaksem w pięknym otoczeniu górskim. Strefa basenowa naszego apartamentowca to podgrzewany basen oraz strefa jacuzzi na dachu. Inwestycja CZANTORIA RESORT składa się 33 apartamentów oraz 55 wykończonych pod klucz pokoi hotelowych.Piękna i prestiżowa architektura kompleksu, urokliwa regionalna karczma serwująca przepyszne potrawy regionalne oraz bardzo bliska okolica nowoczesnego ośrodka narciarskiego CZANTORIA USTROŃ sprawi, że będziesz się czuł jak w najlepszych kurortach na świecie. Zastosowany po raz pierwszy w Polsce bardzo nowoczesny i wydajny system ogrzewania skandynawskiej firmy Energy Machines, oparty o innowacyjny na skalę światową system geotermalny pomp ciepła, w połączeniu z panelami fotowoltaicznymi, który pozwoli na ograniczenie kosztów eksploatacyjnych do minimum, sprawiając jednocześnie, że apartamentowiec będzie w praktyce neutralny klimatycznie.APARTAMENT:Apartament 4.15 o powierzchni 44,84 znajduje się na 3 piętrze i składa się z:- Salonu o powierzchni 31,64 m2- Sypialni o powierzchni 9,00 m2- Łazienki o powierzchni 4,20 m2- Balkonu o powierzchni 10,09 m2W ofercie posiadamy również inne apartamenty i pokoje hotelowe w tej inwestycji.DODATKOWE INFORMACJE:- Kup apartament i zarabiaj w bezobsługowej inwestycji, - Wyjątkowa lokalizacja zaraz przy stoku narciarskim Czantoria,- Bardzo duża liczba turystów zapewni regularne i wysokie dochody z działalności hotelarskiej kompleksu, - Doskonała inwestycja - System CONDO (sprzedaż Apartamentów i Pokoi Hotelowych oraz zarządzanie nimi),- Możliwość zakupu luksusowych apartamentów w stanie deweloperskim lub „pod klucz” z pełnym prawem własności i własną księgą wieczystą,- Wszystkie oferowane lokale są klimatyzowane,- Nowoczesny system ogrzewania oparty o geotermalne pompy ciepła zapewni niskie koszty miesięczne utrzymania,- Ośrodek narciarski posiada dwie główne trasy zjazdowe o łącznej długości blisko 4500 metrów oraz trasy pośrednie o długości 500 metrów, - Strefa basenowa wraz z basenem (wymiary 8m x 4m) i jacuzzi na dachu obiektu,- Siłownia, strefa saun oraz pomieszczenia do przechowywania sprzętu narciarskiego, - Termin oddania: 2025 r. CENA: 829 540,00 PLN/netto + VATCENA MIEJSCA POSTOJOWEGO: 50 000,00 PLN/netto + VAT- 30 %  wpłaty przy Notarialnej Umowie Przedwstępnej,- 20 %  wpłaty przy drugiej kondygnacji,- 20 %  wpłaty przy budynku w stanie surowym,- 20 %  wpłaty przy budynku wykończonym,- 10 %  wpłaty przy Akcie Notarialnym końcowym,KONTAKT:Aleksander LiberkaZainteresowany? Skontaktuj się z nami pod numerem +4████████████6 lub napisz nam e-mail poprzez formularz kontaktowy dostępny w ogłoszeniu. -Czy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najmem.Zainteresowany? Zapytaj opiekuna oferty o szczegóły. </t>
  </si>
  <si>
    <t>https://www.otodom.pl/pl/oferta/apartament-inwestycyjny-przy-czantorii-ustron-ID4nkzv</t>
  </si>
  <si>
    <t>4nkzv</t>
  </si>
  <si>
    <t>2 pok. na os. Słoneczne Tarasy 36,68 m + 3,85</t>
  </si>
  <si>
    <t>ul. Jana Sobieskiego 16, Jakubskie Przedmieście, Toruń, kujawsko-pomorskie</t>
  </si>
  <si>
    <t xml:space="preserve">Sprzedam zadbane 2 pokojowe mieszkanie na osiedlu Słoneczne Tarasy 36,68 m2 plus 3,85m komórka lokatorka na parterze budynku koło windy.
Mieszkanie bardzo ustawne i pojemne. W przedpokoju znajduje się duża 3 drzwiowa szafa typu komandor, w sypialni również stoi duża pełnowymiarowa 3 drzwiowa szafa. Do mieszkania przynależy duża komórka lokatorska, w której zmieszczą się 2 rowery, walizki, opony itd. 
Mieszkanie bardzo przestronne i ustawne co widać na zdjęciach. 
Mieszkanie słoneczne - 3 piętro. Blok z windą. Ciche - okna od dziedzińca. Duży balkon!
Budownictwo z grudnia 2007r. Osiedle grodzone. Wjazd ze szlabanem na pilota co gwarantuje dostępność bezpłatnych miejsc parkingowych dla mieszkańców. 
Doskonała lokalizacja. 10 minut pieszo do centrum.
Polecam!
</t>
  </si>
  <si>
    <t>https://www.otodom.pl/pl/oferta/2-pok-na-os-sloneczne-tarasy-36-68-m-3-85-ID4nD97</t>
  </si>
  <si>
    <t>4nD97</t>
  </si>
  <si>
    <t>Mieszkanie 46,7m2</t>
  </si>
  <si>
    <t>Do sprzedania mieszkanie 2-pokojowe na 4-tym piętrze z piwnicą. </t>
  </si>
  <si>
    <t>https://www.otodom.pl/pl/oferta/mieszkanie-46-7m2-ID4nnEP</t>
  </si>
  <si>
    <t>4nnEP</t>
  </si>
  <si>
    <t>3 pok. Małe Błonia, winda, 2020 r!</t>
  </si>
  <si>
    <t>ul. Małe Błonia, Warszewo, Północ, Szczecin, zachodniopomorskie</t>
  </si>
  <si>
    <t>Na sprzedaż 3 pokojowe, II poziomowe mieszkanie o powierzchni użytkowej 61,31 m2 (pow. całkowita ponad 72 m2) na Warszewie.Mieszkanie zlokalizowane na III piętrze w budynku z 2020 roku.Możliwość dokupienia miejsca postojowego za cenę 20.000 zł, zlokalizowanego pod budynkiem.I poziom o pow. około 34 m2:* Salon z aneksem kuchennym (17,12 m2) oraz wyjściem na balkon (5,10 m2);* Pokój (8,33 m2);* Łazienka z wanną (4,40 m2);* Przedpokój (3,86 m2)II poziom około 27,60 m2:* Antresola podzielona na dwa pomieszczenia - sypialnia z zabudowaną szafą oraz salon.Mieszkanie wykończone z dobrej jakości materiałów.Mieszkanie bardzo klimatyczne. Z balkonu widok na tereny zielone.Szybki dojazd do Centrum Szczecina. Dużo miejsc postojowych.Niskie koszty utrzymania. Czynsz 370 zł (Ogrzewanie oraz ciepła woda z SEC).Zapraszam na prezentację. *KUPUJEMY MIESZKANIA Z OBCIĄŻENIAMI I DŁUGAMI ZA GOTÓWKĘ* ZADZWOŃ 91 8171717Nasi Eksperci bezpłatnie pomagają w uzyskaniu kredytu. Powyższe ogłoszenie ma wyłącznie charakter informacyjny. Nie stanowi ono oferty w myśl art. 66 i n. ustawy z dnia 23.04.1964r. Kodeks cywilny (Dz.U. 1964r. Nr 16, poz. 93, ze zm.).Oferta wysłana z programu dla biur nieruchomości ASARI CRM ()</t>
  </si>
  <si>
    <t>https://www.otodom.pl/pl/oferta/3-pok-male-blonia-winda-2020-r-ID4oH41</t>
  </si>
  <si>
    <t>4oH41</t>
  </si>
  <si>
    <t>Kawalerka ul. Szeroka o pow. 35,34 m2,</t>
  </si>
  <si>
    <t>Tomaszów Mazowiecki, tomaszowski, łódzkie</t>
  </si>
  <si>
    <t xml:space="preserve">ATUTY LOKALIZACJI MIESZKANIA:Szkoła Podstawowa nr 10BasenOśrodek Kultury TkaczPrzedszkolaSupermarketySklep budowlanyParking strzeżonyStacja PaliwCentrum Skarpa (bary, sklepy, fryzjer, cukiernia)RyneczekPrzystanek MZK Prezentujemy Państwu kawalerkę o pow. 35,34 m2 usytuowaną na III piętrze w III piętrowym bloku z cegły na ul. Szerokiej, na osiedlu zamkniętym.Mieszkanie składa się z:salonu o pow. 20,50 m2kuchni o pow. 8,10 m2łazienki z WC o pow. 3,94 m2p.pokoju o pow. 2,80 m2balkonu o pow. 4,05 m2 W mieszkaniu wszystkie okna PCV z roletami materiałowymi typu plisa. W całym mieszkaniu gładzie, pomalowane. Na podłodze położone panele oraz płytki. Salon wyposażony w szafy, wypoczynek, stół z krzesłami, szafkę RTV oraz stolik. W kuchni zabudowa kuchenna, wyposażona w lodówko-zamrażalkę, kuchnię gazową, piekarnik oraz zlew z baterią kuchenną. Łazienka wyłożona terakotą i glazurą, wyposażona w wannę, WC, szafkę z umywalką, pralkę oraz armaturę łazienkową. W p.pokoju panele ozdobne na ścianie oraz wieszak na wierzchnią odzież i stojak na obuwie.W CENIE MIESZKANIA POZOSTAJE W:SALONIE: szafy, wypoczynek, pufa, stół, szafka RTV, stolik kawowy, oświetlenie, karnisz, ramki na zdjęcia,KUCHNI: zabudowa meblowa, lodówka, kuchnia gazowa z piekarnikiem, zlew z baterią kuchenną, stolik z hokerami, oświetlenie,ŁAZIENCE: pralka, szafka z umywalką, wanna, armatura łazienkowa, oświetlenie,P.POKOJU: wieszak na ubrania i stojak na buty, oświetlenie. Do mieszkania przynależy komórka lokatorska o pow. 2,58 m2 oraz balkon o pow. 4,05 m2.Administratorem bloku jest Wspólnota MG Property. Czynsz administracyjny wynosi 440 zł na 1 os. i obejmuje między innymi zryczałtowaną opłatę za wodę, ogrzewanie, fundusz remontowy oraz śmieci. Dodatkowo z licznika płatny prąd i gaz. Blok znajduje się w bardzo dobrym miejscu lokalizacyjnym. Blok ocieplony z ładną elewacją. Klatka schodowa czysta, wyposażona w domofon. Dostępność miejsc parkingowych przed blokiem. Teren bloku ogrodzony z bramą wjazdową na pilota oraz furtką wejściową wyposażona w domofon.Mieszkanie z dużymi oknami, zadbane i słoneczne, usytuowane od strony południowo-zachodniej. Mieszkanie gotowe do zamieszkania lub pod inwestycję. Obecnie mieszkanie jest wynajmowane i można je zakupić wraz z rzetelnym Najemcą. W przypadku zakupu mieszkania dla własnych celów mieszkaniowych, Najemca opuści mieszkanie.Nie czekaj i już dziś zadzwoń aby umówić się na prezentację tel. 788-559-888.UWAGA!KUPUJĄCY NIE PONOSZĄ OBSŁUGI NASZEGO BIURAPOMAGAMY W UZYSKANIU KREDYTU NA ZAKUP NIERUCHOMOŚCIOFERTA DOSTĘPNA TYLKO W NASZYM BIURZE STREFA NIERUCHOMOŚCI - TWOJĄ STREFA KOMFORTU I BEZPIECZEŃSTWA!ZAPRASZAMY!Pośrednik odpowiedzialny zawodowo za wykonanie umowy pośrednictwa: Ewa Głowaczewska (licencja nr: 23105) </t>
  </si>
  <si>
    <t>https://www.otodom.pl/pl/oferta/kawalerka-ul-szeroka-o-pow-35-34-m2-ID4olt3</t>
  </si>
  <si>
    <t>4olt3</t>
  </si>
  <si>
    <t>Nowoczesne Apartamenty / Bliska Węgierska</t>
  </si>
  <si>
    <t xml:space="preserve">Przedstawiamy Państwu nowoczesne  apartamenty w stanie deweloperskim  na sprzedaż. Znajdujące się na prywatnym osiedlu przy ul. Węgierskiej w Nowym Sączu.,,Bliska Węgierska'' to kameralna inwestycja składająca się z trzech budynków mieszkalnych na prywatnym osiedlu.Apartament to idealne rozwiązanie dla osób szukających swojego nowego domu.Nieruchomość położona jest w cichej oraz spokojnej okolicy, bliskiej centrum Nowego Sącza.Idealne dla par, singli oraz rodzin z dziećmi.Świetny teren pod inwestycję w najem długoterminowy.Dostępne apartamenty w budynku nr.5 Apartament  I 590 000 zł bruttopowierzchnia całkowita - 92,81m2 rozkład pomieszczeń: wiatrołap, garderoba, salon z aneksem kuchennym, łazienka, komunikacja, sypialnia, pokój dzienny, klatka schodowa, sypialnia, łazienka ogród- 45m2 układ : parter + 1/2 piętra.miejsce postojowe (w cenie apartamentu)Apartament  II - 600 000 zł powierzchnia całkowita - 94,04 m2rozkład pomieszczeń: wiatrołap, salon z aneksem kuchennym, wc, klatka schodowa, sypialnia, pokój dzienny, pokój dzienny, łazienka, komunikacja, garderoba, ogród - 35 m2układ: 1/2 pietra + poddaszemiejsce postojowe (w cenie apartamentu) Budynki wykonane zostały na podstawie technologii tradycyjnej murowanej w nowoczesnym oraz praktycznym stylu.Ściany nośne gr.24cm wykonane z bloczków betonowo komórkowych Termobet , ścianki działowe gr 10cm.Dach dwuspadowy o nachyleniu 40stopni, kryty blachą płaską w kolorze Ral 7024.Budynki zostały ocieplone ( Styropian EPS 70- 038 gr 15-20cm) ) oraz wykończona tynkiem w kolorze jasnym.Parking wybrukowany z miejscami postojowymi dla mieszkańców. Obiekty otaczają prywatne zielone ogródki (ok. 45m2 dla każdego apartamentu) które są ogrodzone. Fundamenty wykonane z bloczków betonowych posadowione na ławach żelbetonowych zbrojonych. Ściany fundamentowe zakończone wieńcem żelbetonowym oraz zaizolowane przeciwwodnie oraz przeciwwilgociowo.Stropy budynków wykonane zostały z żelbetonu o gr 18cm.Ściany działowe zostały wykonane z pustaka gazobetonowego o gr 10cm.Kominy częściowo obmurowane pustakiem gazobetonowym o gr 6 cm. wylewki cementowo maszynowe zbrojone o gr 5-7 cm. Z warstwą  izolacyjną wykonaną ze styropianu EPS 100 o grubości:Parter- 15 cm Piętro/poddasze -  2 cm Styropian EPS 100+ 3 cm styropian akustyczny.Schody zewnętrzne :Do mieszkań na pierwszym piętrze prowadzą schody wykonane z żelbetonu , wykończone  jako żywy beton z dodatkiem drewna.Apartamenty posiadają balkony wykonane metodą podłogi pływającej  wraz z balustradami stalowymi  oraz  bezbarwnymi bezpiecznymi szybami.Nieruchomość posiada nowe okna PCV (kolor Vinchester z zewnątrz ,białe od środka. Trójszybowe, szklone szkłem bezbarwnym. Producent DOMEL, system profili okiennych VEKA. Metalowe drzwi zewnętrzne firmy Martom G00 z aluminiową ościeżnicą.Instalacje-wodna ( z sieci wodociągowej)-kanalizacja sanitarna( kierowana do istniejącej sieci kanalizacyjnej)-elektryczna(podłączenie do miejskiej sieci elektroenergetycznej) -centralne ogrzewanie ( z dwufunkcyjnego kotła gazowego, ogrzewanie podłogowe w całym lokalu)-gazowa( sieć gazowa)Preferowany cel wykorzystania: mieszkalny/ inwestycyjny/ usługowy.Usługi znajdujące się w pobliżu: centrum handlowe, usługi, ścieżki rowerowe, sklepy wielobranżowe, park, szkoła, przedszkoleZapraszamy do kontaktu oraz prezentacji apartamentów.Tel. +4████████4 842KLIMCZAK NIERUCHOMOŚCIBiuro sprzedaży: ul. Marii Konopnickiej 3/10 Nowy Sączemail: </t>
  </si>
  <si>
    <t>https://www.otodom.pl/pl/oferta/nowoczesne-apartamenty-bliska-wegierska-ID4ogEz</t>
  </si>
  <si>
    <t>4ogEz</t>
  </si>
  <si>
    <t>Mieszkanie w nowym bloku przy ul. Długiej</t>
  </si>
  <si>
    <t>ul. Długa, Łapy, Łapy, białostocki, podlaskie</t>
  </si>
  <si>
    <t xml:space="preserve">Dzień dobry,
Na sprzedaż nasze mieszkanie. Jesteśmy pierwszymi właścicielami.
Powierzchnia to 47,6 mkw. 2 niezależne pokoje, oddzielna kuchnia, korytarz oraz łazienka.
Mieszkanie czyste, pachnące, zadbane. Nie wymaga większych nakładów finansowych. W cenie zostają zabudowa stała w kuchni, zabudowa w łazience. Pozostałe meble do uzgodnienia. Mieszkanie z balkonem przez całą długość salonu oraz kuchni.
Blok spokojny, NIE Z WIELKIEJ PŁYTY. 
Przedszkole, przychodnia obok bloku . Do centrum piechotą 7 minut. 
Zapraszam do kontaktu.
</t>
  </si>
  <si>
    <t>https://www.otodom.pl/pl/oferta/mieszkanie-w-nowym-bloku-przy-ul-dlugiej-ID4oCVA</t>
  </si>
  <si>
    <t>4oCVA</t>
  </si>
  <si>
    <t>Nowe mieszkanie na 1 piętrze 28m2 - Katedralna 10</t>
  </si>
  <si>
    <t>Wolin, Wolin, kamieński, zachodniopomorskie</t>
  </si>
  <si>
    <t xml:space="preserve">Prezentowane mieszkanie znajduje się w nowo wybudowanej kamienicy przy ulicy Katedralnej 10 w centrum miasta Wolin, nieopodal rzeki Dziwna.   Mieszkanie nr 2 usytuowane jest na I piętrze a jego wielkość to 27,81 m². Na mieszkanie składa się:  ·       pokój dzienny z aneksem kuchennym o powierzchni 22,05 m²,   ·       łazienka o powierzchni 3,50 m²,  ·       przedpokój o powierzchni 2,26 m².   Powierzchnia mieszkania oraz jego układ bardzo dobrze ze sobą współgrają. Duże okna zapewniają naturalne oświetlenie przez cały dzień.   O inwestycji:  Inwestycja Katedralna 10 to 4 kondygnacyjny budynek z usługami parterze. W inwestycji znajduje się 5 mieszkań o metrażach od 27,81 m² do 48,00 m² położonych od strony wschodniej i zachodniej. Inwestycja znajduje się w kwartale zabudowy ulic: Katedralna, Mostowa, Światowida i Rynek. W pobliżu inwestycji znajduje się zielony skwer oraz nabrzeże rzeki Dziwna.   Lokalizacja inwestycji:  Inwestycja położona jest w centrum miasta Wolin.  Tuż przy Katedralnej 10 znajdują się liczne sklepy i restauracje. W bliskim sąsiedztwie zlokalizowany jest Urząd Gminy Miasta Wolin. Od nabrzeża rzeki Dziwna dzieli ją zaledwie 2 minuty spacerem pieszo.  Standard wykończenia:  Mieszkania sprzedawane są w standardzie deweloperskim.   Ściany i sufity są otynkowane, na podłodze wykonana jest wylewka, wyprowadzone są instalacje elektryczne oraz sanitarne.   Informacje o zakupie:  Podana w ogłoszeniu cena jest ceną brutto (zawierającą 8% VAT).  Zakup mieszkania rozpoczyna się od podpisania umowy rezerwacyjnej oraz wpłaty opłaty rezerwacyjnej. Kolejnym krokiem jest podpisanie umowy deweloperskiej u notariusza, gdzie m.in. ustalone zostają terminy wpłaty transz.   Odbiór techniczny mieszkań ma nastąpić do 28.02.2024 r., po uzyskaniu pozwolenia na użytkowanie.  Do 31.03.2024 r. nastąpi ustanowienie odrębnej własności lokali oraz przeniesienie własności na Nabywców.      Jeśli potrzebujesz kredytu na zakup mieszkania, odezwij się do nas, a nasz Ekspert Finansowy pomoże wybrać dla Ciebie najlepszą ofertę.     Nasza firma od ponad dekady doradza jak planować inwestycję oraz pomaga w efektywnej sprzedaży. Zajmujemy się sprzedażą, jak i wszystkimi procedurami formalno-prawnymi związanymi z kupnem/sprzedażą nieruchomości, gwarantując obu stronom bezpieczeństwo transakcji.     Jesteśmy do Twojej dyspozycji od poniedziałku do piątku w godzinach 8:00 – 16:00.  W godzinach popołudniowych i weekendy – po wcześniejszym umówieniu.﻿     Masz pytania? Skontaktuj się z nami.
Oferta wysłana z programu dla biur nieruchomości ASARI CRM ()
</t>
  </si>
  <si>
    <t>https://www.otodom.pl/pl/oferta/nowe-mieszkanie-na-1-pietrze-28m2-katedralna-10-ID4no4i</t>
  </si>
  <si>
    <t>4no4i</t>
  </si>
  <si>
    <t>Mieszkanie M3 Centrum Rybnika *** REZERWACJA ***</t>
  </si>
  <si>
    <t>Maroko-Nowiny, Rybnik, śląskie</t>
  </si>
  <si>
    <t>Jasne, ustawne M3 w centrum Rybnika przy ul. Marokanów w niskim trzypiętrowym bloku bezpośrednio od właściciela. Mieszkanie zlokalizowane na pierwszym piętrze budynku z bardzo dobrym układem funkcjonalnym. Do mieszkania przynależy duża piwnica (5,6 m2). Blok ocieplony, świeżo wyremontowane klatki schodowe, wymienione piony WOD-KAN. Przed budynkiem parking.  </t>
  </si>
  <si>
    <t>https://www.otodom.pl/pl/oferta/mieszkanie-m3-centrum-rybnika-rezerwacja-ID4oDLK</t>
  </si>
  <si>
    <t>4oDLK</t>
  </si>
  <si>
    <t>2 pokoje Sławin Oddane Do Użytku</t>
  </si>
  <si>
    <t>Sławin, Lublin, lubelskie</t>
  </si>
  <si>
    <t>Mieszkanie 2 pokojowe położone jest na parterze  dzielnicy Sławin w Lublinie.Na powierzchnię użytkową 45,68 m2 składa się z:- Salonu + aneks kuchenny- Pokój- Przedpokój- Łazienka i WC  Do nieruchomości przynależy:- Balkon 14 m2Dodatkowe informacje:- Zakończenie prac budowlanych grudzień 2023r / styczeń 2024r- Miejsce postojowe w garażu (35 000 zł) lub miejsce postojowe w garażu na platformie (25 000 zł)- Komórka lokatorska (4 tyś za m2)- Ogrzewanie nowoczesny piec dwufunkcyjny Główne zalety mieszkania:- Ciche spokojne osiedle - Tereny zieleni - Indywidualne piece grzewcze - Blisko centrum Cena do negocjacjiWięcej informacji udzielę telefonicznieZapraszam na prezentację :)  ::oferta eksportowana z programu mediaRent::</t>
  </si>
  <si>
    <t>https://www.otodom.pl/pl/oferta/2-pokoje-slawin-oddane-do-uzytku-ID4o9Uu</t>
  </si>
  <si>
    <t>4o9Uu</t>
  </si>
  <si>
    <t>Mieszkanie z ogródkiem + 2 m-ca postojowe</t>
  </si>
  <si>
    <t>Na sprzedaż 3-poziomowe apartamenty w budynku szeregowym dostępne w różnych powierzchniach: od 101 m2 do 110 m2 - każdy z ogródkiem.
Zapraszam do obejrzenia FILMU pokazującego wnętrze domu.
Uwaga:
Aplikacja Mobilna Otodom nie daje możliwości zobaczenia filmu, dlatego film należy oglądać na komputerze na stronie portalu lub na wersji mobilnej strony.
Ceny od 480 tys. do 499 tys. zł.
Kupujący nie płaci podatku PCC (2%) oraz prowizji biura nieruchomości.
  Lokalizacja - Krzyszkowo gmina Rokietnica.
Информация для Украинцев смотрите внизу текста объявления. Cena 480 tys. zł dotyczy lokalu środkowego B3 znajdującego się w budynku B. Budynki A i B są już gotowe ( po odbiorze przez Nadzór Budowlany). Całość stanowią 2 budynki składające się z dwóch bliźniaków 2-lokalowych, połączonych ze sobą. W jednym budynku znajdują się 4 lokale: dwa skrajne i dwa środkowe. Łącznie dostępnych jest 8 lokali z ogródkami.  Oba budynki znajdują się na zamkniętym osiedlu. Brama wjazdowa otwierana na pilota, a furtka domofonem. Do każdego lokalu przynależą dwa miejsca parkingowe.  Droga wewnętrzna - dojazdowa wykonana z kostki brukowej, co gwarantuje dojazd do domu czystym samochodem ;-)  BUDYNEK A
Lokal A1 ok. 113 m2 / pow.użytk. ok. 88 m2 / działka 275 m2 - SPRZEDANELokal A2 ok. 110 m2 / pow.użytk. ok. 85 m2 /działka 151 m2  - REZERWACJALokal A3 ok. 110 m2 / pow.użytk. ok. 85 m2 /działka 151 m2 cena: 499 000 zł - WOLNYLokal A4 ok. 113 m2 / pow.użytk. ok. 88 m2 /działka 211 m2 - REZERWACJA
BUDYNEK B
Lokal B1 ok. 104 m2 / pow.użytk. ok. 81 m2 /działka 288 m2 - SPRZEDANELokal B2 ok. 101 m2 / pow.użytk. ok. 79 m2 /działka 167 m2 - REZERWACJA Lokal B3 ok. 101 m2 / pow.użytk. ok. 79 m2 /działka 172 m2 cena: 480 000 zł - WOLNELokal B4 ok. 104 m2 / pow.użytk. ok. 81 m2 /działka 900 m2 cena: 650 000 zł - duża działka - wolne
 Lokal B4 jest dostępny z wyjątkowo dużym ogrodem, bo aż 900 m2.
Jest to jedyny taki z dużym ogrodem - bo aż 900 m2. Na ogrodzie są liczne drzewa owocowe. Dodatkowo tak duży ogród umożliwia dowolne zagospodarowanie, np. duża wiata grillowa, domek ogrodowy na rowery i narzędzia, garaż w lekkiej konstrukcji na 2 samochody itp., miejsce na ognisko, piaskownica, trampolina itp.
W galerii umieszczony jest plan z zaznaczonym lokalem B4 oraz przynależnym do niego ogrodem 4B o wielkości ok. 155 m2. Do tego narożnego lokalu przynależy również dodatkowy ogród/sad wraz z którym to łączna powierzchnia ogrodu wynosi aż ok. 900 m2.
 OPIS POMIESZCZEŃ W LOKALU ŚRODKOWYM:PARTER:- salon z aneksem kuchennym- komunikacja- WC- pom. gospod. / kotłowniaPIĘTRO- komunikacja- pokój nr. 1 - z zestawem nowoczesnych okien kolankowych Velux- pokój nr. 2 - z zestawem nowoczesnych okien kolankowych Velux- łazienkaPODDASZE:- komunikacja- pokój nr. 3 (jasny - doświetlany przez 4 okna dachowe Velux) Szczegółowe zestawienia metraży pomieszczeń, dla poszczególnych apartamentów, znajdują się w galerii.  W bliskiej odległości nieruchomości znajdują się: - przedszkola, nowoczesna szkoła podstawowa, zespół szkół średnich - rozbudowana infrastruktura handlowo-usługowa: Żabka, Chata Polska, Biedronka, Lidl, Rossman, Pepco, banki, apteki, kawiarnie, restauracje, kwiaciarnie - boisko sportowe, kościół, place zabaw dla dzieci - nowy budynek ośrodka kultury z obszerną biblioteką - nowoczesna hala sportowa z siłownią oraz zapleczem handlowo-usługowym - niedaleko Jezioro Pamiątkowskie (ok. 3 km) oraz piękne tereny do jazdy na rowerze lub turystyki pieszej  W galerii załączono zdjęcia z Rokietnicy, J.Pamiątkowskiego oraz okolic.  Doskonała komunikacja: tylko 5 minut jazdy do stacji PKP - w roku 2022 oddano do użytku nowoczesny dworzec kolejowy z dużym parkingiem w ramach projektu Poznańskiej Kolei Metropolitalnej. Podróż pociągiem do Poznania trwa ok. 15 min. Podróż samochodem drogą S11 trwa ok. 25 min.  Rokietnica to piękna, zielona gmina, która oferuje swoim mieszkańcom zarówno wszystkie niezbędne nowoczesne udogodnienia i potrzebną infrastrukturę, jak i przyrodę, która jest na wyciągnięcie ręki. Jako wieloletni mieszkaniec Rokietnicy chętnie opowiem Państwu podczas spotkania o wielu zaletach tej lokalizacji oraz innych aspektach życia codziennego w naszej gminie.
Если у вас есть вопросы об этой квартире или о недвижимости в целом, позвоните и давайте поговорим.
Мы можем разговаривать на русском языке.  Transakcja pod nadzorem licencjonowanego pośrednika (lic.nr 23549).
Zapraszam na prezentację nieruchomości.
Piotr Kowal Agent Nieruchomości
TEL 696-013-400
Powyższe ogłoszenie ma charakter informacyjny i nie stanowi oferty handlowej w rozumieniu art. 66 Kodeksu Cywilnego. Opis sporządzony jest na podstawie informacji uzyskanych od właściciela i może ulegać modyfikacji.
 Jeśli chcesz sprzedać swoją nieruchomość - zadzwoń i umów się na bezpłatną konsultację.
Pomogę zweryfikować i ewentualnie uregulować stan prawny i pozyskać wszelkie dokumenty potrzebne do sprzedaży.
Przedstawię najkorzystniejsze rozwiązanie również w przypadku transakcji wiązanej tj. sprzedaży Twojej obecnej nieruchomości i zakupie nowej.
Jeżeli planujesz zakup nowej nieruchomości z częściowym finansowaniem kredytem to też sobie z tym poradzimy.
- Oferuję bezpłatną pomoc w uzyskaniu kredytu hipotecznego
- Zniżki w kancelarii notarialnej
OPIS TECHNOLOGII i STANDARDU WYKONANIA ORAZ ZAKRES ROBÓT Krzyszkowo lokale z ogródkiem, metraże 101 m2 - 110 m2  •Ściany fundamentowe z bloczków M6, ocieplone Hydropianem o gr. 12 cm z dodatkową izolacją przeciwwilgociową, papą podkładową oraz folią kubełkową •Ściany zewnętrzne i wewnętrzne z pustaków ceramicznych Porotherm DRYFIX •Strop kanałowy, miejscami żelbetowy, strop poddasza w konstrukcji lekkiej drewnianej (drewno konstrukcyjne suszone, OSB 22mm) •Przewody wentylacji grawitacyjnej, spalinowe w technologii tradycyjnej w szachtach instalacyjnych  •Pokrycie dachu panele z blachy stalowej powlekanej na ruszcie drewnianym mocowanym do konstrukcji więźby dachowej, membrana i izolacja przeciwwilgociowa systemowa dobrana do zastosowanego pokrycia •Ocieplenie dachu: piana natryskiwana gr. 25 cm, ocieplenie stropu poddasza izolacja nadmuchiwana 25 cm •Schody wewnętrzne żelbetowe •Elewacja budynku: tynk silikonowy barwiony w masie, izolacja termiczna ze styropianu grubości 20 cm, panele z blachy stalowej montowanej na ruszcie drewnianym, izolacja termiczna z paneli z wełny mineralnej gr 18 cm •Posadzki betonowe (jastrych) o gr. śr. 5 cm •Ocieplenie posadzki na gruncie styropian posadzkowy gr. 20 cm, posadzka na piętrze styropian posadzkowy gr. 5 cm •Parapety zewnętrzne z blachy powlekanej •Ogrzewanie: kocioł gazowy Brotje PWHS 24kW z zasobnikiem 120L •Obwód cyrkulacji dla ciepłej wody •Parter i górna łazienka - ogrzewanie podłogowe, a piętro i poddasze grzejniki płytowe białe •W łazienkach podejścia do grzejników drabinkowych (bez grzejników) •Okna PCV 3 szybowe w standardzie VEKA/KNO PLUS Knipping w kolorze, drzwi balkonowe odsuwane •Rolety zewnętrzne sterowane elektrycznie, w kolorze stolarki •Okna dachowe Velux oraz w sypianiach zestaw okien kolankowych Velux •Drzwi wejściowe KMT Plus, z zadaszeniem i panelem bocznym w konstrukcji stalowej ażurowej  •Mechaniczne tynki wewnętrzne cementowo–wapienne, przygotowane do szpachlowania •Instalacje sanitarne: rozprowadzona instalacja kanalizacyjna, wodna, gazowa, C.O., zamontowane grzejniki ścienne płytowe białe, piec kondensacyjny – instalacja uruchomiona   •Instalacje elektryczne: rozdzielnia główna, rozprowadzone zasilanie gniazd 230V bez tzw. osprzętu, rozprowadzona instalacja antenowa w 4 pokojach, rozprowadzona instalacja oświetlenia wewnętrznego i zewnętrznego, rozprowadzona instalacja domofonowa •Instalacja internetowa - na każdym piętrze punkt dostępowy •Powierzchne utwardzone (podjazd oraz dojście do budynków) z kostki brukowej w kolorze szarym •Taras zewnętrzny od strony ogrodu – opcjonalnie podlega dodatkowej wycenie •Ogrodzenie frontowe z bramą dwuskrzydłową i furtką, wewnętrzne między lokalami – panelowe, furtka obsługiwana zdalnie z lokalu, brama sterowana elektrycznie, w standardzie pilot do bramy •Teren wokół budynku przygotowany pod założenie zieleni •Miejsce gromadzenia odpadów w standardzie (wydzielona przestrzeń wspólna).
 </t>
  </si>
  <si>
    <t>https://www.otodom.pl/pl/oferta/mieszkanie-z-ogrodkiem-2-m-ca-postojowe-ID4jyTy</t>
  </si>
  <si>
    <t>4jyTy</t>
  </si>
  <si>
    <t>2 pokoje w centrum Tarnowa</t>
  </si>
  <si>
    <t>NA SPRZEDAŻ
2 POKOJE, UL. NARUTOWICZA W TARNOWIE, BEZPOŚREDNIO OD WŁAŚCICIELA
Ustawne mieszkanie w doskonałej lokalizacji. Metraż 41,5 m2, położone na 1 piętrze w 4 piętrowym bloku. Bardzo dobrze skomunikowane: w pobliżu szkoła, przystanki autobusowe, dworzec PKP i PKS. Mieszkanie składa się z salonu z balkonem, sypialni, jasnej kuchni z oknem, łazienki z WC oraz przedpokoju. Do mieszkania przynależy piwnica.
Mieszkanie jest do remontu, znajdujące się w nim meble można wykorzystać.
Cena 249 000 zł do negocjacji…</t>
  </si>
  <si>
    <t>https://www.otodom.pl/pl/oferta/2-pokoje-w-centrum-tarnowa-ID4oaxO</t>
  </si>
  <si>
    <t>4oaxO</t>
  </si>
  <si>
    <t>Atrakcyjne 3 pokojowe os Słoneczne</t>
  </si>
  <si>
    <t>Więcej informacji BEATA 502 615 732 lub biuro: 509 096 049 w godz. od 9.00 do 17.00 lub e-mail:  Wszystkie oferty na stronie: ;P O L E C A M Y!!! TA OFERTA TYLKO U NAS.Do sprzedaży przestronne mieszkanie położone na 3 piętrze w 4 piętrowym bloku z cegły na os Słonecznym.Mieszkanie składa się z 3 pokoi ,jasnej kuchni połączonej z pokojem, łazienki oraz przedpokoju o łącznej powierzchni 60,40 m2. Wysokość pomieszczeń 2,78 m. Mieszkanie posiada loggię oraz piwnicę.Mieszkanie przeszło gruntowny remont w 2016 roku. Na podłogach piękne parkiety, w łazience i kuchni terakota.Mieszkanie do zamieszkania bez żadnych nakładów finansowych.Ogrzewanie z sieci miejskiej, woda podgrzewana piecem gazowym. Czynsz 680 zł.Doskonała lokalizacja, pełna infrastruktura, nieopodal przystanki komunikacji miejskiej, liczne sklepy oraz punkty usługowe. Blok położony w otoczeniu zieleni, przed blokiem przestronny parking dla mieszkańców.Blisko Plac Centralny, Aleja Róż, Zalew Nowohucki, Łąki Nowohuckie.Treść niniejszego ogłoszenia nie stanowi oferty handlowej w rozumieniu Kodeksu Cywilnego.</t>
  </si>
  <si>
    <t>https://www.otodom.pl/pl/oferta/atrakcyjne-3-pokojowe-os-sloneczne-ID4lg1j</t>
  </si>
  <si>
    <t>4lg1j</t>
  </si>
  <si>
    <t>Nowe mieszkanie ok.70 m2 Różany Potok</t>
  </si>
  <si>
    <t xml:space="preserve">Nowe apartamenty od sprawdzonego dewelopera na Osiedlu Różany Potok. 50 lokali. Metraże od 41 m2 -126 m2. Oddanie pod koniec 2024 roku. W trakcie budowy. Bez prowizji biura i podatku PCC. Polecamy ustawne mieszkania, w metrażach od 41 - 126 m2, z balkonami lub tarasem i ogródkiem.  Oferta dla singla, pary bądź rodziny w nowo budowanej inwestycji niedaleko Kampusu Morsko na Osiedlu Różany Potok.Ceny zależą od piętra i wynoszą od 11.500 PLN/m2 do 12.000 m2.Jeżeli potrzebują Państwo większy lub mniejszy apartament to mamy różne metraże i układy do wyboru. Zapraszamy na spotkanie, a wszystko zaprezentujemy. Co ważne Kupujący nie płaci prowizji do biura nieruchomości oraz podatku PCC.Zajmiemy się wszystkimi formalnościami.  Ta wyjątkowa inwestycja powstaje w otulinie Lasu Umultowskiego, Rezerwatu przyrody Żurawiniec i Stawów Moraskich i planowana jest do oddania pod koniec  drugiej połowy 2024 roku.W bliskiej okolicy znajduje się kampus Uniwersytetu im. Adama Mickiewicza w związku z czym pobliskie osiedla zamieszkałe są przez pracowników uniwersyteckich oraz studentów.Większą część osiedla stanowi zabudowa szeregowa, co w połączeniu z otaczającą zielenią daje temu miejscu unikatowy charakter.W najbliższym otoczeniu znajdziemy niezbędne do życia sklepy, gabinety lekarskie, aptekę czy żłobki, przedszkole, szkołę i restauracje.W pobliżu zlokalizowane są ścieżki rowerowe, lasy i szlaki piesze. Dodatkowo można skorzystać z pływalni ,kortów, sali sportowej czy stadionu.Osiedle jest dobrze skomunikowane z Centrum Poznania.  Dedykowany autobus łączy osiedle z dworcem PST, zaś dla zmotoryzowanych, dojazd w różne części miasta zapewniają 3 duże arterie: ul. Umultowska, ul. Mieszka I i Al. Praw Kobiet (Nowa Naramowicka).Ta wyjątkowa inwestycja obejmuje  4 kondygnacyjny budynek składający się z 50 starannie zaprojektowanych mieszkań od 1 do 5 pokojowych, w metrażach od 26m2 do 106m2.Budowa objęta jest Nową Ustawą Deweloperską i Deweloperskim Funduszem Gwarancyjnym, co zapewnia ochronę i bezpieczeństwo kupującego..Deweloper zadbał o każdy szczegół, aby zapewnić przyszłym Mieszkańcom komfort i wyjątkową przestrzeń do życia.Każde z mieszkań zostało wyjątkowo przemyślane, żeby nie marnować miejsca na zbędne korytarze.  Wysokie okna, duży salon i doświetlone mieszkania będą cieszyć okiem nowych właścicieli.Prywatne ogródki w mieszkaniach na parterach to idealne rozwiązanie dla osób ceniących sobie swobodne spędzanie czasu na świeżym powietrzu.W każdym mieszkaniu zaprojektowano instalację do podłączenia klimatyzacji, a ogrzewanie będzie z sieci miejskiej.Z myślą o osobach zmotoryzowanych, w trosce o ich wygodę, w garażu podziemnym zapewniono miejsca postojowe do wszystkich mieszkań oraz wspólne pomieszczenie na rowery.Deweloper  przewidział dodatkowo płatne  25 komórki lokatorskie w cenie ok. 12.000 PLN oraz miejsca w garażu podziemnym w cenie od 39.000 - 59.000 PLN.Komunikację w budynku, już z poziomu -1, ułatwią nowoczesne, cichobieżne windy.O wysoki poziom poczucia prywatności i bezpieczeństwa zadbaliśmy zapewniając w każdym mieszkaniu instalację do montażu rolet okiennych.Dodatkowy spokój Mieszkańców zapewnią takie rozwiązania jak ogrodzenie osiedla oraz monitoring.Ogłoszenie ma charakter informacyjny i nie stanowi oferty. Zapraszam do kontaktu.Joanna BerkaLIcencja pośrednika nieruchomości nr 23054.Mówię po niemiecku.Tel. 691018265
Numer oferty w biurze nieruchomości: 9894/4158/OMS------ ZADZWOŃ JUŻ DZIŚ I UMÓW SIĘ NA BEZPŁATNĄ PREZENTACJĘ ------ ------ ZAPYTAJ NAS O NAJLEPSZE ROZWIĄZANIE KREDYTOWE------ ------ KUPUJ BEZPIECZNIE Z EXPRESS HOUSE ------ 
Oferta wysłana z programu dla biur nieruchomości ASARI CRM ()
</t>
  </si>
  <si>
    <t>https://www.otodom.pl/pl/oferta/nowe-mieszkanie-ok-70-m2-rozany-potok-ID4miS1</t>
  </si>
  <si>
    <t>4miS1</t>
  </si>
  <si>
    <t>Mieszkanie z ogródkiem!</t>
  </si>
  <si>
    <t xml:space="preserve">    Mieszkanie z ogr&amp;oacute;dkiem! Gorąco polecamy Państwu zakup lokalu mieszkalnego położonego na pierwszym piętrze w budynku w Lewinie Brzeskim. Oferowany lokal o powierzchni 40,27m2, w skład kt&amp;oacute;rego wchodzi salon z kominkiem, osobna kuchnia, dwie sypialnie, łazienka z wc oraz przedpok&amp;oacute;j. Mieszkanie po remoncie, nie wymagające nakład&amp;oacute;w finansowych, aby w nim zamieszkać, mieszkanie bardzo ciepłe i przytulne. Media wszystkie dostępne, z ogrzewaniem gazowym (obecnie został zamontowany nowy piec gazowy dwufunkcyjny). Do mieszkania przynależy piwnica o powierzchni 6,48m2, możliwość r&amp;oacute;wnież korzystania ze strychu. Za budynkiem kawałek własnego ogr&amp;oacute;dka! teren został ogrodzony, właściciele postawili blaszany garaż, zamontowali drewnianą huśtawkę, miejsce idealne na odpoczynek. Spokojne sąsiedztwo, bardzo dobra lokalizacja. Budynek i klatka schodowa w bardzo dobrym stanie. Przy budynku miejsca parkingowe dla mieszkańc&amp;oacute;w. Cena ostateczna do rozm&amp;oacute;w. Czas przekazania &amp;ndash; do ustalenia z właścicielami. W ramach oferty pomagamy r&amp;oacute;wnież w uzyskaniu najkorzystniejszego kredytu na zakup w/w nieruchomości. Ofertę prowadzi: Katarzyna Makos (Agent pod nadzorem licencji nr 9322) tel. 604.183.483, e-mail: k.makos@investdom . pl. INVESTDOM Nieruchomości BIURO: Brzeg, ul. Długa 21, I piętro, tel. 77 4572310. Opis powyższej oferty został sporządzony na podstawie oględzin nieruchomości oraz informacji uzyskanych od Właściciela. Może on podlegać aktualizacji i nie stanowi oferty w rozumieniu w art. 66 i następnych K.C. Więcej ofert na: .investdom . pl     </t>
  </si>
  <si>
    <t>https://www.otodom.pl/pl/oferta/mieszkanie-z-ogrodkiem-ID4otR6</t>
  </si>
  <si>
    <t>4otR6</t>
  </si>
  <si>
    <t>Mieszkanie w Nidzicy</t>
  </si>
  <si>
    <t>Nidzica, Nidzica, nidzicki, warmińsko-mazurskie</t>
  </si>
  <si>
    <t>Piękna, inspirująca, kusząca potencjałem, pełna charyzmy, z nieodkrytą tożsamością. Nie wystarczy „rzut oka”, warto się jej przyjrzeć i poznać JEJ tajemnicze wnętrze.
Może to nie Merilyn Monroe, ale nasza KAWALERKA jest także wyjątkowa i pełna wdzięku :)
Lokalizacja
Nidzica, ul. Kopernika, gmina Nidzica, powiat nidzicki, województwo warmińsko- mazurskie.
Dane powierzchniowe
Lokal mieszkalny o powierzchni: 35,6m2
W mieszkaniu znajduje się pokój, kuchnia, łazienka, przedpokój.
Do mieszkania przynależna jest piwnica.
Lokal jest w pełni wyposażony.  Wszystko co widać na zdjęciach pozostaje w mieszkaniu: kanapa, stół , komoda, segment, meble w kuchni, lodówka, kuchenka mikrofalowa, kuchnia gazowa, pralka, szafa w zabudowie.
Dane techniczne
Stolarka okienna plastikowa.
Ogrzewanie miejskie.
Ciepła woda z piecyka gazowego.
Na podłogach panele i terakota.
Stan: do zamieszkania
Czynsz- ok. 390zł/ miesiąc ( ogrzewanie, woda, śmieci)
Okolica
Najbliższe sąsiedztwo Szkoły Podstawowej nr 1,  Orlik, sklepy, kościół, park Gregoroviusa, place zabaw, centrum miasta, dworzec PKP, PKS. Tuz pod blokiem znajduje się parking.  
Serdecznie zapraszam na prezentację nieruchomości, z przyjemnością odpowiem na wszelkie pytania oraz udzielę dodatkowych informacji, Marika Łobejko tel. 535 110 737
Zamierzasz kupić nieruchomość i skorzystać z finansowania banku? Pomożemy dokonać Ci dobrego wyboru najlepszej oferty spośród wielu banków. Nasz doradca dostosuje ofertę kredytu hipotecznego do Twoich potrzeb i oczekiwań oraz będzie do Twojej dyspozycji na każdym etapie procesu kredytowego.
Pośrednik odpowiedzialny zawodowo Leszek Śpiewak - Licencja nr 14514
Przedstawiony opis nie stanowi oferty w rozumieniu przepisów Kodeksu Cywilnego, lecz ma charakter informacyjny. Treść niniejszego ogłoszenia została opracowana na podstawie informacji i oświadczeń uzyskanych od Zamawiającego i może ulec zmianie.</t>
  </si>
  <si>
    <t>https://www.otodom.pl/pl/oferta/mieszkanie-w-nidzicy-ID4nnYR</t>
  </si>
  <si>
    <t>4nnYR</t>
  </si>
  <si>
    <t>DNI OTWARTE 30.12 ! ponad 100 TYS rabatu KREDYT 2%</t>
  </si>
  <si>
    <t xml:space="preserve">GURDNIOWE OKAZJE NA ZAKUP MIESZKANIA – OSTATNIA SZANSA NA KREDYT 2 % - UMÓW WIZYTĘ i zobacz na ŻYWO 
UMOWA REZERWACYJNA → GWARANTOWANA NISKA CENA !!!
Bezpośrednia sprzedaż od dewelopera
BEZ PROWIZJI - BRAK PODATKU PCC – 0 zł – RYNEK PIERWOTNY
Wyjątkowe OKAZJE na miejsca postojowe
Oferta dla klientów BEZPIECZNY KREDYT 2 %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</si>
  <si>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https://www.otodom.pl/pl/oferta/dni-otwarte-30-12-ponad-100-tys-rabatu-kredyt-2-ID4otuF</t>
  </si>
  <si>
    <t>4otuF</t>
  </si>
  <si>
    <t>NOWA CENA 3 pokoje z balkonem na Widzewie, 62m2</t>
  </si>
  <si>
    <t>Widzew Wschód, Widzew, Łódź, łódzkie</t>
  </si>
  <si>
    <t>Na sprzedaż rozkładowe, 3 pokojowe mieszkanie z garderobą i loggią o pow. 62  m kw., położone na parterze w bloku przy ul. Smetany. Mieszkanie posiada księgę wieczystą i nie jest obciążone hipoteką. Wszystkie meble widoczne na zdjęciach w cenie. Dodatkowo do mieszkania przynależy duża komórka lokatorska.
 Mieszkanie składa się z: - salon 21 m kw. - sypialnia 10 m kw. - sypialnia 9 m kw. - kuchnia  6 m kw. - łazienka 2 m kw. - toaleta 1,50 m kw. - garderoba 2 m kw. - korytarz 10,5 m kw.  Najważniejsze informacje: - rozkładowe 3 pokoje na Widzewie - bardzo ciche mieszkanie, spokojna i ładna okolica - wysoki parter w bloku 4-piętrowym - czynsz z zaliczkami ok. 700 zł - mieszkanie w stanie do zamieszkania - balkon  Pomagamy w uzyskaniu kredytu. Zapraszamy do prezentacji.</t>
  </si>
  <si>
    <t>https://www.otodom.pl/pl/oferta/nowa-cena-3-pokoje-z-balkonem-na-widzewie-62m2-ID4odtp</t>
  </si>
  <si>
    <t>4odtp</t>
  </si>
  <si>
    <t>4 pokoje/ brak PCC/ bezpośrednio</t>
  </si>
  <si>
    <t>ul. Marii Konopnickiej, Środula, Sosnowiec, śląskie</t>
  </si>
  <si>
    <t xml:space="preserve">OFERTA BEZPOŚREDNIA
BIURO SPRZEDAŻY DEWELOPERA
BRAK PODATKU PCC
Sosnowiec- Nova Środula, u zbiegu ulic Stefana Jędryczki/Konopnickiej, powstaje nowoczesne, kameralne osiedle.
Dogodna lokalizacja, wysoki standard wykonania, zastosowanie nowoczesnych technologii, szereg mieszkań o zróżnicowanych powierzchniach i układach pomieszczeń
Aż 384 mieszkania o powierzchni od 34 m² do 71 m².
Zalety:- Plac zabaw- Osiedle zamknięte i monitorowane- Winda- Brama wjazdowa oraz garażowa z systemem rozpoznawania tablic rejestracyjnych- Internet światłowodowy w każdym mieszkaniu- Wideo domofony- Ogrzewanie podłogowe w standardzie- Okna trzyszybowe- Sterowanie strefowe ogrzewaniem podłogowym- Ogrzewanie i ciepła woda miejska- widok na Górkę Środulską
PODSTAWOWE INFORMACJE:4 pokoje + balkonLokal jest przestronny i funkcjonalny z trójdzielnym oknem w salonie.Nieruchomość składa się z salonu z aneksem kuchennym, 3x sypialni, holu oraz łazienki z WC.Do lokalu przynależy balkon
W pobliżu pełna infrastruktura- sklepy, szkoły, przedszkola, centrum fitness, kino, restauracje.W sąsiedztwie osiedla znajduje się Park Środula, tereny rekreacyjne, sieć ścieżek rowerowych.Osiedle jest bardzo dobrze skomunikowane z centrum miasta, jak i innymi miastami aglomeracji śląskiej.
Zapraszam do kontaktu.
Biuro Sprzedaży 
793-315-313
</t>
  </si>
  <si>
    <t>https://www.otodom.pl/pl/oferta/4-pokoje-brak-pcc-bezposrednio-ID4oAAJ</t>
  </si>
  <si>
    <t>4oAAJ</t>
  </si>
  <si>
    <t>Mieszkanie na start, Myślenice – bez prowizji!</t>
  </si>
  <si>
    <t>Więcej niż kawalerka.
Kameralne mieszkanie z osobną sypialnią, łazienką i aneksem kuchennym. Idealny wybór na pierwsze mieszkanie lub inwestycję pod wynajem. Lokal umiejscowiony jest na pierwszym piętrze w inwestycji Otulina Apartamenty Dewelopera PRZYSTAŃ Development. Na etapie przedsprzedaży jest możliwość własnej aranżacji mieszkań.
UWAGA!!! W przedsprzedaży miejsce parkingowe w cenie.
Komfortowe Przedrabie
Otulina Apartamenty to doskonale zlokalizowana kameralna inwestycja w Myślenicach, położona o krok od Raby. Wyróżnia ją współczesna, minimalistyczna bryła. W ofercie znajdują się mieszkania o zróżnicowanym metrażu: od kawalerek na potrzeby własne lub inwestycyjne, przez parterowe mieszkania z ogródkiem, po dwukondygnacyjne apartamenty doskonałe dla rodzin.
Kameralne centrum
Położona w zaciszu ulicy Mickiewicza, pod numerem 43 (tzw. ślepa uliczka, dojazd od Reymonta) Otulina oferuje dostęp do jednych z najurokliwszych w Małopolsce terenów rekreacyjnych Zarabia (odległość zaledwie 1,3 km) oraz miejskiej infrastruktury (w pobliżu: szpital, kino, szkoły, przedszkola, poczta, ośrodek kultury i sportu, sklepy, galeria handlowa). Myślenicki rynek znajduje się 1,5 km od inwestycji, Kraków – 30 km, lotnisko Balice – 40 km, Tatry – 70 km. Innymi słowy: wszędzie blisko.
Solidna przystań
PRZYSTAŃ Development to małopolski deweloper, który oferuje komfortowe domy i apartamenty w atrakcyjnych lokalizacjach. Stawiamy na nowoczesną architekturę, funkcjonalność i wysoką jakość. Jesteśmy holdingiem z polskim kapitałem, współtworzonym przez przedsiębiorców z wieloletnim doświadczeniem w hotelarstwie i przedsiębiorczości. Tworząc PRZYSTAŃ postanowiliśmy przenieść eksperckość w gościnności na grunt deweloperski. Wiemy, jak gościć Gości, teraz chcemy ugościć Ciebie – na lata. Zapraszamy do Twojej Przystani.
Wszystkie inwestycje PRZYSTAŃ Development projektujemy zgodnie z trzema filarami:
Jakość architektury
Wiemy, że nasi Klienci poszukują nie tylko atrakcyjnych lokalizacji, ale też odpowiednich układów funkcjonalnych i estetyki budynków. Angażujemy doświadczonych i utalentowanych architektów, którzy gwarantują nowoczesne projekty, odpowiadające na potrzeby przyszłych mieszkańców. Jeśli cenisz współczesną architekturę, docenisz inwestycje realizowane przez PRZYSTAŃ Development.
Jakość wykonania
Dobór trwałych materiałów i technologii budowlanych to nasz priorytet. Dokładamy wszelkich starań, by inwestycje były realizowane starannie i terminowo przez sprawdzonych wykonawców. Chcemy by nasze inwestycje były synonimem solidności. Budujemy na lata. Twoje miejsce na Ziemi i nasz wizerunek.
Jakość życia
Nadrzędny cel naszej działalności to podnoszenie jakości życia mieszkańców. Wybór inwestycji PRZYSTAŃ Development ma wpływać pozytywnie na Twoją codzienność i stanowić przestrzeń umożliwiającą prowadzenie dobrego życia.</t>
  </si>
  <si>
    <t>https://www.otodom.pl/pl/oferta/mieszkanie-na-start-myslenice-bez-prowizji-ID4oqIq</t>
  </si>
  <si>
    <t>4oqIq</t>
  </si>
  <si>
    <t>Historyczny plac Krakowski! M3 od zaraz!</t>
  </si>
  <si>
    <t>pl. Plac Krakowski, Śródmieście, Zabrze, śląskie</t>
  </si>
  <si>
    <t>TYLKO U NAS !Umowa na wyłączność!Nieruchomość znajduje się w Zabrzu Śródmieściu na placu Krakowskim. Lokal nadaje się do odświeżenia/remontu.Mieszkanie składa się z:- dwóch pokoi,- łazienki z WC,- kuchni,- przedpokoju.Informacje techniczne:– Powierzchnia użytkowa mieszkania: 41,56m2– Ogrzewanie: gazowe– Ciepła woda: bojler– Okna PCV (wymienione) zwrócone na południe– Na podłogach panele oraz płytki– Czynsz 212zł– Budynek (zabytek) w trakcie renowacji elewacji– Klatka schodowa wyremontowana i zabezpieczona domofonem oraz monitoringiemLokalizacja: - Zabytkowy plac Krakowski - sporo miejsc parkingowych- liczne sklepy w okolicy- w najbliższej odległości przystanek autobusowy- szybki dostęp do DTŚ (5 minut) oraz A4 (10 minut)Osoba prowadząca: Adam Ochman 577-311-399Bezpłatnie pomagamy w uzyskaniu kredytów hipotecznych!Dodatkowo kupując u nas otrzymasz rabat 10% w Leroy Merlin Katowice! !!PRZYJMIEMY TWOJĄ NIERUCHOMOŚĆ W ROZLICZENIU !!! DECYZJA W 24HTreść niniejszego ogłoszenia nie stanowi oferty handlowej w rozumieniu kodeksu cywilnego.Oferta wysłana z programu dla biur nieruchomości ASARI CRM ()</t>
  </si>
  <si>
    <t>https://www.otodom.pl/pl/oferta/historyczny-plac-krakowski-m3-od-zaraz-ID4oEy1</t>
  </si>
  <si>
    <t>4oEy1</t>
  </si>
  <si>
    <t>Skrajny dom na sprzedaż, 4 pokoje, 141m2, Rudak</t>
  </si>
  <si>
    <t>ul. Rypińska, Rudak, Toruń, kujawsko-pomorskie</t>
  </si>
  <si>
    <t xml:space="preserve">
Przedstawiamy Państwu najnowszą inwestycje na popularnym i kameralnym osiedlu "Rudak" w Toruniu przy ul. Rypińskiej.
Jedna z najbardziej pożądanych lokalizacji w Toruniu! 
W ofercie znajdziemy skrajny dom w zabudowie szeregowej, na początku osiedla. Bardzo komfortowy i przestrzenny. 
Przedstawione wizualizacje są przykładowe, oferta ma jedynie charakter informacyjny i nie stanowi oferty handlowej w rozumieniu Art. 66 § 1 Kodeksu Cywilnego.
To idealna propozycja dla osób ceniących sobie wygodę życia, spokój i przestrzeń. Inwestycja łączy w sobie ponadczasową elegancję i współczesny design. Funkcjonalny rozkład pomieszczeń daje komfort w codziennym użytkowaniu.
Cena: 850'000 zł 
Stan deweloperski surowy zamknięty. 
Standard wykończenia dostępny dla zainteresowanych. 
Zakończenie inwestycji przewidywane jest na koniec marca / kwiecień 2024 roku.
Powierzchnia domów: 141m2.
Nieruchomość znajduje się na działce o powierzchni ok: 300m2.
Układ pomieszczeń:
Parter
otwarty salon z aneksem kuchennym (37m2)
toaleta (1.09m2)
pomieszczenie gospodarcze / kotłownia (4m2)
korytarz (3.81m2)
garaż (18m2)
ogród
Piętro
3 ustawne sypialnie (pow. od 10 do 16m2)
łazienka (10m2) 
garderoba (2.60m2)
korytarz 
W koło cisza i spokój, liczne tereny spacerowo-biegowe, natomiast pełna infrastruktura handlowo-usługowa jest na wyciagnięcie ręki na pobliskich "Stawkach". 
W okolicy znajdziemy:
- przychodnię lekarską "Rudak-Med"
- aptekę
- las
- Kościół 
- Twierdzę Toruń, fort XV
- bibliotekę 
- przedszkole, żłobek 
- sklep osiedlowy w odległości 100m
- przystanek komunikacji miejskiej w odległości 100m 
- szkołę podstawową nr 17 
W celu uzyskania większej ilości informacji poprosimy o kontakt telefoniczny pod numerem 570*820*532 lub mailowy.
Zapraszamy na oględziny nieruchomości.
Oferta na wyłączność - nie szukaj dalej.
Zapraszam również pośredników - nasze biuro współpracuje z każdym. 
Zapytaj o możliwości finansowania zakupu nieruchomości – bezpłatnie pomożemy w uzyskaniu kredytu hipotecznego oraz przygotowanie prognoz spłat na najkorzystniejszych warunkach.
Powyższa oferta ma jedynie charakter informacyjny i nie stanowi oferty handlowej w rozumieniu Art. 66 § 1 Kodeksu Cywilnego.
</t>
  </si>
  <si>
    <t>https://www.otodom.pl/pl/oferta/skrajny-dom-na-sprzedaz-4-pokoje-141m2-rudak-ID4orLx</t>
  </si>
  <si>
    <t>4orLx</t>
  </si>
  <si>
    <t>Okolice ul. Wełnianej LUX/Balkon/Rozkład</t>
  </si>
  <si>
    <t>Leśnica, Fabryczna, Wrocław, dolnośląskie</t>
  </si>
  <si>
    <t xml:space="preserve">Na sprzedaż rozkładowe dwupokojowe mieszkanie o powierzchni 52,8 m2, znajdujące się na spokojnym osiedlu Stabłowice we Wrocławiu. 
Opis mieszkania:
Mieszkanie jest w pełni umeblowane. 
W kuchni drewniana zabudowa Wolsztyńskich Fabryki Mebli wraz z kompletnym sprzętem AGD, w przedpokoju i pokoju pojemne szafy projektowane na wymiar. 
Mieszkanie wykończone wysokiej klasy materiałami.
Atuty mieszkania:
  * Słoneczne i przestronne
  * Do zamieszkania od zaraz
  * Winda z poziomu "0"
  * Balkon
  * Ergonomiczny układ pomieszczeń
  * Zielona okolica
Lokalizacja:
- Bogata oferta rekreacyjno-sportowa
- W pobliżu szkoły, przedszkola, żłobki, szpital, sklepy, markety, klub fitness, punkty usługowe, restauracje i kawiarnie
- Bezpośredni dojazd do centrum (w pobliżu linie autobusowe i pociąg, stacja Wrocław Pracze)
- Szybki dojazd do AOW, stadionu oraz drogi S5
- W pobliżu sporo terenów zielonych do spacerów i uprawiania sportów
Interesuje Cię zakup tego mieszkania? Zadzwoń i umów się na prezentację.
Cena: 599 000 zł
nr oferty : 11188/10630/OMS
Interesuje Cię zakup tego mieszkania?
ZAPRASZAM NA BEZPŁATNĄ PREZENTACJĘ
Przy zakupie otrzymasz wsparcie w uzyskaniu finansowania na zakup nieruchomości.
Phone: +4████████████0
Andrzej Roczniak
Specjalista ds. Sprzedaży Nieruchomości
Agencja UNITED Nieruchomości | ul. Młynarska 14/E | 51-116 Wrocław |
Oferta wysłana z programu dla biur nieruchomości ASARI CRM ()
</t>
  </si>
  <si>
    <t>https://www.otodom.pl/pl/oferta/okolice-ul-welnianej-lux-balkon-rozklad-ID4opl6</t>
  </si>
  <si>
    <t>4opl6</t>
  </si>
  <si>
    <t>Mieszkanie 3- Pokoje/Z Dużym Balkonem/ Centrum!!!</t>
  </si>
  <si>
    <t>ul. Podwisłocze, Nowe Miasto, Rzeszów, podkarpackie</t>
  </si>
  <si>
    <t>W ofercie biura na sprzedaż trzypokojowe mieszkanie o powierzchni 53 m2 zlokalizowane przy ul. Podwisłocze w Rzeszowie.Prezentowana nieruchomość znajduje się na piątym piętrze w bloku z 1992.Dużym atutem mieszkania jest lokalizacja. Idealnie sprawdzi się jako mieszkanie inwestycyjne, gwarantując nowemu nabywcy stabilny zwrot z inwestycji lub do zamieszkania dla rodziny. W pobliżu znajdują się m.in: szkoła, przedszkole, żłobek, pizzeria, sklepy, fryzjer, stomatologia, siłownia, przychodnia, apteka, drogerie, park, plac zabaw, Galeria Millenium Hall, Uczelnia WSIiZ.⁕ Układ pomieszczeń - salon z wyjściem na balkon- 2 niezależne sypialnie- oddzielna kuchnia- łazienka- przedpokój⁕ Dodatkowo - piwnica- balkon⁕ Najważniejsze informacje - nieruchomość dostępna od zaraz,- mieszkanie rozkładowe,- miejsca postojowe ogólnodostępne przed blokiem dla mieszkańców,- ogrzewanie z sieci miejskiej,- na podłogach płytki i panele,- nieruchomość jasna i słoneczna,- wymieniona instalacja wodno-kanalizacyjna- 5 piętro, ⁕ OpłatyCzynsz ok. 500 złDodatkowe opłaty to prąd i gaz według zużycia.CENA DO NEGOCJACJI!Agent prowadzący to zlecenie:Karolina Marcinowskatel. 730 939 304rzeszowskie-nieruchomościUl. Mickiewicza 12 (Galeria Targowa, I piętro) 35-064 RzeszówPowyższa oferta ma jedynie charakter informacyjny i nie stanowi oferty handlowej w rozumieniu Art. 66 § 1 Kodeksu Cywilnego.Oferta wysłana z programu dla biur nieruchomości ASARI CRM ()</t>
  </si>
  <si>
    <t>https://www.otodom.pl/pl/oferta/mieszkanie-3-pokoje-z-duzym-balkonem-centrum-ID4nEUX</t>
  </si>
  <si>
    <t>4nEUX</t>
  </si>
  <si>
    <t>Słoneczne 3 pokoje z pięknym widokiem</t>
  </si>
  <si>
    <t>ul. Rafała Wojaczka, Sołtysowice, Psie Pole, Wrocław, dolnośląskie</t>
  </si>
  <si>
    <t>Opiekun oferty:Filip Mittagtel. 602 101 602Piękne 3 pokojowe mieszkanie o pow. 63,2 m2, z cudownym widokiem z kuchnią w aneksie, balkonem oraz garderobą na terenie cichego osiedla. Otoczenie nieruchomości:Mieszkanie położone na skraju kameralnego i atrakcyjnego pod względem architektonicznym osiedla mieszkaniowego. Widok z mieszkania na tereny zielone oraz cichą i spokojną uliczkę osiedlową, gwarantuje rzadko spotykaną na terenach miejskich ciszę. Tuż za budynkiem znajduje się piękny staw (ogrodzony dla bezpieczeństwa najmłodszych mieszkańców), zielony skwer z ławkami dla relaksu w cieniu drzew oraz duży plac zabaw dla małych mieszkańców osiedla. Przy osiedlu znajdują się żłobek, przedszkole i szkoła podstawowa. W bezpośredniej bliskości jest wiele osiedlowych sklepików i punktów usługowych. Istnieje możliwość swobodnego parkowania przy uliczce osiedlowej lub na położonym tuż za budynkiem dużym parkingu dla mieszkańców osiedla. Szybki dojazd do centrum komunikacją autobusową oraz koleją. Stacja PKP Wrocław Sołtysowice znajduje się w odległości 1000 m. Nieopodal stacji kolejowej znajduje się CH Korona.Układ pomieszczeń:- Jasny salon połączony z funkcjonalnym aneksem kuchennym o łącznej powierzchni 25,3 m2, z wyjściem na balkon (7,9 m2), - Pokój o pow. 12,8 m2, - Pokój o pow. 11,6 m2,- Łazienka o pow. 4,4 m2, - Przedpokój o pow. 5,9 m2,- Garderoba - 3,2 m2Dostęp do mieszkania poprzedzają zamykane wejście do klatki schodowej z domofonem oraz drugie drzwi z domofonem na piętrze. Podwójne zabezpieczenie przed dostępem niepowołanych osób.Najważniejsze informacje:- narożne mieszkanie ze wspaniałym widokiem- budynek solidnie wykonany oraz dobrze ocieplony- dużo miejsc parkingowych na osiedlu- ekspozycja południowo-zachodnia- rolety zewnętrzne z opcją całkowitego zaciemnienia- światłowód- dwa domofony, jeden na piętrze, drugi przy wejściu do klatki schodowej- winda- klimatyzacjaRekomendacja eksperta:Mieszkanie idealne dla osób poszukujących funkcjonalnego mieszkania niewymagającego nakładów inwestycyjnych oraz taniego w eksploatacji. Szczególną uwagę zwracam osobom ceniącym sobie bliską odległość do żłobka, przedszkola i szkoły podstawowej. Mieszkańcy osiedla chwalą sobie dostęp do terenów zielonych i rekreacyjnych (Park Sołtysowicki, Park Szczytnicki, rzeka Widawa, basen Kłokoczyce, Stadion Olimpijski, kąpielisko Morskie Oko i wiele innych).Niedostateczne środki? To nie problem!Pomagamy w uzyskaniu finansowania na tę i inne nieruchomości.Zdecydowanie polecam i zapraszam na prezentację.Opiekun oferty:Filip Mittagtel. 602 101 602</t>
  </si>
  <si>
    <t>https://www.otodom.pl/pl/oferta/sloneczne-3-pokoje-z-pieknym-widokiem-ID4oh0u</t>
  </si>
  <si>
    <t>4oh0u</t>
  </si>
  <si>
    <t>OSTATNIE DNI RABATÓW ! Sięgnij po Kredyt 2% w 2023</t>
  </si>
  <si>
    <t xml:space="preserve">GURDNIOWE OKAZJE NA ZAKUP MIESZKANIA – OSTATNIA SZANSA NA KREDYT 2 % - UMÓW WIZYTĘ i zobacz na ŻYWO 
UMOWA REZERWACYJNA → GWARANTOWANA NISKA CENA !!!
Bezpośrednia sprzedaż od dewelopera
BEZ PROWIZJI - BRAK PODATKU PCC – 0 zł – RYNEK PIERWOTNY
Wyjątkowe OKAZJE na miejsca postojowe
Oferta dla klientów BEZPIECZNY KREDYT 2 %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</si>
  <si>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https://www.otodom.pl/pl/oferta/ostatnie-dni-rabatow-siegnij-po-kredyt-2-w-2023-ID4os7C</t>
  </si>
  <si>
    <t>4os7C</t>
  </si>
  <si>
    <t>Nowe mieszkanie przy ul Mickiewicza 40m2</t>
  </si>
  <si>
    <t>ul. Adama Mickiewicza, Ciechocinek, aleksandrowski, kujawsko-pomorskie</t>
  </si>
  <si>
    <t xml:space="preserve">
Nowa inwestycja przy ul. Mickiewicza to kameralny i innowacyjny blok położony w Centrum Ciechocinka. To doskonałe miejsce do życia dla każdego, kto ceni sobie spokój, a jednocześnie nie chce rezygnować z możliwości i udogodnień, które oferuje centrum uzdrowiskowe. Inwestycja znajduje się w zielonej części Ciechocinka co stanowi zaciszną enklawę, w której wiele osób znajdzie swoje nowe mieszkanie. To nieskończona ilość miejsc do spacerów, eksplorowania przyrody i aktywnego spędzania czasu.
Apartamenty Mickiewicza to wielorodzinny blok,  który składać się będzie z trzech kondygnacji. Projektowany budynek składać się będzie z 44 atrakcyjnych, komfortowych i funkcjonalnych mieszkań. Przyszli mieszkańcy mogą wybierać w  metrażach od 40m2 do 75m2 – od dwupokojowych do czteropokojowych mieszkań. Budynek będzie dwuklatkowy, obsługiwany nowoczesnymi windami. Każde z mieszkań ma swój balkon lub taras.
Dla naszych Klientów przygotowaliśmy również szeroką ofertę 17 miejsc postojowych naziemnych i 12 w hali garażowej. Dodatkowo dostępnych jest 36 boksów rowerowych.
Dwupokojowe mieszkanie A.08 o powierzchni 40m2 znajduje się na pierwszym piętrze i składa się z:
- pokoju dziennego z aneksem kuchennym 18,95m2
- pokoju 12,22m2
- łazienki 4,06m2
- holu 4,83m2
- balkon 8,11m2
Starannie przemyślana bryła budynku w stonowanej kolorystyce zostanie urozmaicona jasnymi akcentami na elewacji. Zróżnicowane struktury tynków elewacyjnych nadadzą inwestycji eleganckiego i nowoczesnego charakteru.
W najbliższej okolicy znajdują się placówki medyczne, sanatorium uzdrowiskowe, sklepy i punkty usługowe, restauracje, park sosnowy. Odległość od Parku Zdrowia i Tężni to tylko 1,4 km.
Zapraszamy do kontaktu:
602285111
536026824</t>
  </si>
  <si>
    <t>https://www.otodom.pl/pl/oferta/nowe-mieszkanie-przy-ul-mickiewicza-40m2-ID4oCJL</t>
  </si>
  <si>
    <t>4oCJL</t>
  </si>
  <si>
    <t>Grunwald, ul. Konfederacka ,128m2, 4 pokojowe,</t>
  </si>
  <si>
    <t>Polecam na sprzedaż wyjątkowe mieszkanie, w otulinie zieleni, w dzielnicy Grunwald na 3 piętrze niskiego bloku z trzema balkonami.  Na powierzchnię 128 m2 przypada przestronny salon z otwartą kuchnią w pełni umeblowaną (stała zabudowa wraz ze sprzętami), 3 niezależne sypialnie, w tym jedna z łazienką  (kabina prysznicowa) oraz garderoba. Druga dodatkowa łazienka z wanną. Ustawny i zagospodarowany zabudową szafami przedpokój. Okna PCV z roletami zewnętrznymi  (sterowanie manualne), na podłogach deska barlinecka.  Większość wyposażenia pozostawiona w cenie. Do mieszkania przynależy garaż (w cenie) a także miejsce postojowe w cenie 15 000 zł w hali garażowej.  Spółdzielcze własnościowe z Kw. Opłaty miesięczne przy 4 osobowej rodzinie nie poziomie 2190 zł /mies. ( w tym zaliczki na wodę oraz ogrzewanie)
Doskonała lokalizacja, idealna dla rodziny  która doceni  pełną infrastrukturę w okolicy.  Mieszkanie wolne od zaraz !
KUPUJĄCY NIE PŁACI PROWIZJI !
Kontakt: Grupa 3 nieruchomości 600435098 
Dzwoniąc do nas wyrażają Państwo zgodę na przetwarzanie przez nas swoich danych osobowych,
w zakresie koniecznym do przedstawienia oferty.
@autor zdjęć -  Piotr Wujtko 
Powyższa oferta nie stanowi oferty handlowej w rozumieniu art. 66 § 1 kodeksu cywilnego oraz innych właściwych przepisów prawnych. Informacje umieszczone w ofertach przekazywane są przez właścicieli nieruchomości i mogą ulegać zmianom. Staramy się aby wszystkie oferty były jak najbardziej aktualne i odpowiadały stanowi rzeczywistemu</t>
  </si>
  <si>
    <t>https://www.otodom.pl/pl/oferta/grunwald-ul-konfederacka-128m2-4-pokojowe-ID4nkmE</t>
  </si>
  <si>
    <t>4nkmE</t>
  </si>
  <si>
    <t>Apartament ogródek 3 pokoje parking klimatyzacja</t>
  </si>
  <si>
    <t>ul. Wolności, Dziwnówek, Dziwnów, kamieński, zachodniopomorskie</t>
  </si>
  <si>
    <t>Na sprzedaż słoneczny apartament blisko morza. Świetny dla zamieszkania lub pod wynajem. Nowa inwestycja Horizon Park w Dziwnówku. Bliskość lasu, tylko 50 m od osiedla. Jedyne 250 m od plaży morza Bałtyckiego. 900 m od brzegu Zalewu Kamieńskiego.Cena apartamentu 680.000,00 zł NETTO + (plus 23% VAT) = 836.400,00 zł BRUTTOW skład dwupoziomowego apartamentu o powierzchni 45,3 m2 wchodzi: pokój z aneksem kuchennym oraz wyjściem na taras i łazienka z wc. Na piętrze dwie oddzielne sypialnie. Z obu sypialni jest wyjście na balkon. W każdym pomieszczeniu klimatyzacja oraz ogrzewanie podłogowe. Miejsce postojowe bezpośrednio przed domem. Osobne wejście do apartamentu. Powierzchnia ogródka ok 60 m2. Apartament jest gotowy do zamieszkania lub wynajęcia dla gości. W cenie pozostaje również pełne wyposażenie  (AGD, RTV, meble itp.).Osiedle jest ogrodzone i monitorowane. Brama wjazdowa na pilota, video domofon.W pobliżu znajdują się zejście na plaże, sklepy usługi itp. Nad brzegiem zalewu znajdziemy wypożyczalnie sprzętów wodnych oraz szkółka windsurfing, kitesurfing i wypożyczalnia rowerów. Zadbane otoczenie, ciche i spokojne miejsce, idealne do wypoczynku oraz spędzenia wolnego czasu.  Apartament stanowi także świetną inwestycje jako lokata kapitału lub pod wynajem. Sprzedawany jest z 23 % podatkiem vat, z możliwością odliczenia. Jako lokal użytkowy może być amortyzowany.  Kupujący zwolniony z podatku PCCZapraszam na prezentacje.Grzegorz Zarzeka tel. +48 724288405RENT-nieruchomości ROMANOWICZOferta wysłana z programu dla biur nieruchomości ASARI CRM ()</t>
  </si>
  <si>
    <t>https://www.otodom.pl/pl/oferta/apartament-ogrodek-3-pokoje-parking-klimatyzacja-ID4o8mK</t>
  </si>
  <si>
    <t>4o8mK</t>
  </si>
  <si>
    <t>Kawalerka 20m2, ul. Wesoła, Kielce</t>
  </si>
  <si>
    <t>Śródmieście, Kielce, świętokrzyskie</t>
  </si>
  <si>
    <t xml:space="preserve"> Na sprzedaż kawalerka  o pow. 20 m2, zlokalizowana na drugim piętrze w 2-piętrowej kamienicy położonej przy ul.Wesołej w ścisłym centrum Kielc. W skład mieszkania wchodzi &amp;ndash; pokój z aneksem kuchennym o pow. około 18,1m2, i łazienka z WC o pow. około 1,90m2. Wysokość pomieszczeń 2,73m. Do mieszkania przynależy piwnica o pow. 4,20m2.Kamienica wybudowana w latach pięćdziesiątych, z cegły, ogrzewanie elektryczne, ciepła woda z piecyka gazowego. Na podwórku dostępne miejsca parkingowe dla mieszkańców. Doskonała lokalizacja w ścisłym centrum miasta.Koszty utrzymania: 130 PLN czynsz administracyjny od 1 osoby (zaliczka na wodę, śmieci, administrację). Dodatkowo płatne media według wskazań liczników (prąd, gaz).Dane kontaktowe do agenta: Krzysztof Jakubowski, tel: 888 889 568, e-mail: For service in English please call Jacek Kotlarz at: +4████████████1------For sale: A studio apartment with an area of 20 sqm, located on the second floor of a 2-story tenement house in the very center of Kielce. The apartment consists of a room with a kitchenette, approximately 18.1 m2 in size, and a bathroom with a toilet, approximately 1.90 sqm in size. The room height is 2.73 m. The apartment comes with a cellar, approximately 4.20 sqm in size.The tenement house was built in the 1950s, made of brick, with electric heating and hot water from a gas heater. There are parking spaces available for residents in the backyard. Excellent location in the heart of the city.Maintenance costs: 130 PLN administrative rent per month for one person (includes water, waste, administration fees). Additionally, utilities are payable based on meter readings (electricity, gas).For service in English, please call Jacek Kotlarz at: +4████████████1.-Biuro Nieruchomości PROPERCO współpracuje z doświadczonymi specjalistami finansowymi, oferującymi sprawdzenie zdolności kredytowej oraz przedstawienie oferty finansowania nieruchomości / Informacje dotyczące opisu nieruchomości podane są przez właściciela, mają charakter wyłącznie informacyjny i mogą podlegać aktualizacji. Oferta dotycząca nieruchomości nie stanowi oferty określonej w art. 66 i następnych KC.Zapraszamy do siedziby naszego biura w Kielcach przy ul. Koziej 3a/1.Dane adresowe:PROPERCO sp. z o.o. sp.kul. Kozia 3a/125-514 Kielcetel. kom: +48 692-024-827/</t>
  </si>
  <si>
    <t>https://www.otodom.pl/pl/oferta/kawalerka-20m2-ul-wesola-kielce-ID4mmVX</t>
  </si>
  <si>
    <t>4mmVX</t>
  </si>
  <si>
    <t>2 pokoje, garaż, piętro 5/10, Mordor</t>
  </si>
  <si>
    <t>ul. Obrzeżna, Służewiec, Mokotów, Warszawa, mazowieckie</t>
  </si>
  <si>
    <t>Polecamy do zakupu 2 pokojowe mieszkanie na osiedlu Galeria Park.Oferta idealna pod wynajem jak również dla siebie.Salon widny (narożny, 2 okna), połączony z aneksem kuchennym, oddzielna sypialnia. Kuchnia wyposażona w zmywarkę, kuchenkę z piekarnikiem,W łazience pralko suszarka, wanna, szafka w zabudowie.  Mieszkanie widne, słoneczne, ciche. Brak efektu "okno w okno"Miejsce w garażu podziemnym dodatkowo 40.000 zł.Komórka lokatorska płatna dodatkowo 15.000 zł Lokalizacja zapewnia komfortową komunikację z każdą częścią miasta! Co również ważne - jest tuż obok centrum biznesowego przy ulicy Domaniewskiej, 5 minut od galerii Mokotów oraz dwa przystanki od metra.Zapraszamy na prezentację!Wszelkie informacje dotyczące nieruchomości zamieszczone przez Emmerson nie stanowią oferty w rozumieniu Kodeksu Cywilnego. Dokładamy najwyższej staranności, aby przedmiotowe informacje były zaprezentowane możliwe najbardziej szczegółowo i wyczerpująco, jednak wobec faktu, że pochodzą one od innych osób, Emmerson nie ponosi odpowiedzialności za ich szczegółowość i dokładność.</t>
  </si>
  <si>
    <t>https://www.otodom.pl/pl/oferta/2-pokoje-garaz-pietro-5-10-mordor-ID4mw0x</t>
  </si>
  <si>
    <t>4mw0x</t>
  </si>
  <si>
    <t>BIELSKIE TARASY mieszkanie 3 pok. Nowa inwestycja</t>
  </si>
  <si>
    <t>ul. Filarowa, Stare Bielsko, Bielsko-Biała, śląskie</t>
  </si>
  <si>
    <t>Prezentujemy na sprzedaż 3 pokojowy apartament A20 zlokalizowany w nowej inwestycji "Bielskie Tarasy" w Bielsku Białej przy ul Filarowej 47.
Już dziś osoby zainteresowane naszą ofertą zapraszamy do kontaktu telefonicznego lub mailowego z naszym specjalistą ds. sprzedaży.
Pełna oferta mieszkań znajduje się na naszej stronie internetowej www.bielskietarasy.pl
„Bielskie Tarasy” to osiedle zaprojektowane w wysokim standardzie materiałów i rozwiązań technologicznych takich jak m.in. płyty elewacyjne typu „Trespa”, balustrady z aluminiowej siatki perforowanej, energooszczędne okna, ogrzewanie podłogowe, obszerne i ciche windy oraz wiele innych.
Budynki wyróżniać się będą nie tylko nowoczesnym wyglądem i doskonałym wykonaniem, ale też przemyślaną przestrzenią każdego z mieszkań o zróżnicowanym metrażu ( od 1 pokojowych popularnych „kawalerek” poprzez 2 i 3 pokojowe mieszkania oraz blisko 100 metrowe apartamenty typu “penthouse” z tarasem lub balkonem ). To jedno z niewielu osiedli (jeśli nie jedyne w tej okolicy), które będzie posiadało własny minipark z licznym drzewostanem o obszarze ok 0,5 hektara.Dzięki doskonałej lokalizacji osiedla mieszkańcy zyskają komfortowy dojazd z trzech niezależnych kierunków tj. od ulicy Sarni Stok, Warszawskiej oraz Piastowskiej, a w zasięgu ręki (odległość niespełna 1 km) całą infrastrukturę galerii Sarni Stok (m.in. sklepy: Carrefour, Media Markt, Rossmann, Empik, TK MAXX, Jula, H&amp;amp;M, CCC, kantor, punkty gastronomiczne i kawiarniane, biura podróży i wiele innych). Nasza inwestycja znajduje się przy ul. Filarowej, w klimatycznej dzielnicy Stare Bielsko, w sąsiedztwie nowoczesnych osiedli mieszkaniowych, a także  w bliskiej odległości od Centrum Bielska- Białej oraz przystanków komunikacji miejskiej, stacji PKP i PKS a także Bielskiej Starówki. Dodatkowe atuty to bliskość przedszkola i szkół – podstawowej oraz gimnazjum, przychodni zdrowia, parku, lodowiska, stadionu, Bielskiego Centrum Kultury.Południowa eskpozycja budynków oraz ich kaskadowe położenie gwarantują doskonałe doświetlenie mieszkań i dobry widok.Ponadto lokalizacja naszej inwestycji zapewnia możliwość szybkiego dojazdu do dużych kompleksów handlowych przy obwodnicy miasta – Makro, Auchan, Decathlon, Leroy Merlin, jak i do historycznego i handlowego centrum Bielska a także błyskawiczny wyjazd w kierunku Krakowa, Katowic, Cieszyna, Szczyrku i Żywca.</t>
  </si>
  <si>
    <t>https://www.otodom.pl/pl/oferta/bielskie-tarasy-mieszkanie-3-pok-nowa-inwestycja-ID4oyQk</t>
  </si>
  <si>
    <t>4oyQk</t>
  </si>
  <si>
    <t>4 pokoje/rejon Rąbieńska/ Traktorowa/z garażem</t>
  </si>
  <si>
    <t>Złotno, Polesie, Łódź, łódzkie</t>
  </si>
  <si>
    <t>ZŁOTNO/ REJON RĄBIEŃSKIEJ/ APARTAMENT 113 m kw.Dodatkowe miejsce postojowe.
Apartament zlokalizowany w cichej, spokojnej okolicy w otoczeniu zieleni oraz domów jednorodzinnych. Doskonała lokalizacja w rejonie obrzeży Teofilowa - 4 rozkładowe pokoje.
ROZKŁAD : rozkładowy, jednopoziomowyTARAS: duży taras ok. 14 m kwSALON : 24,08 m kw z wystawą na południe/z wyjściem na duży taras. Salon połączony z kuchnią 11,53 m kw 
SYPIALNIA: 18,58 m kw z wyjściem na taras
POKÓJ :16,51 m kwPOKÓJ :10,70 mkw - szafa garderobaW całym mieszkaniu gładzie gipsowe, podłogi drewniane oraz gresyŁAZIENKA :10,09 m kw przestronna z oknem , glazura, terakota, kabina prysznicowa, bidetOgrzewanie podpodłogowePOMIESZCZENIE GOSPODARCZE: 5,22 m kw, piec gazowy 2-funkcyjny , pralniaHOLL:11,68 m kw + 5,29 m kw, duży, przestronny z szafą w zabudowie.KUCHNIA : 11,53 m kw z meblami w zabudowie wraz ze sprzętem agd w pełni wyposażona i funkcjonalna, z oknemApartament dobrze utrzymany może być do natychmiastowego zamieszkania .W cenie mieszkania garaż oraz dodatkowe miejsce postojowe dla drugiego samochodu.OGRZEWANIE : gazowe, nowy piec ImmergasKuchnia oraz Łazienka - ogrzewanie podpodłogoweMEDIA :miejskieOKNA : pcv , roletyCZYNSZ : 760 zł z FR  z zaliczką na wodę + koszty ogrzewania gazowego + prądROK BUDOWY : 2003 rokBUDYNEK: fundamenty żelbetowe, ściany murowane w technologi tradycyjnej- pustaki ceramiczne, docieplone styropianem , elewacja tynk mineralny malowany.Dach- konstrukcja drewniana , kryty dachówką ceramiczną.
Teren ogrodzony, zagospodarowany.
EMESEN: tel.534 994 804 Uwaga : Informacje w opisie zostały sporządzone na podstawie danych pozyskanych od Oferującego. Mają one charakter informacyjny i mogą odbiegać od stanu faktycznego. Prosimy o telefon.Licencja zawodowa 1248; </t>
  </si>
  <si>
    <t>https://www.otodom.pl/pl/oferta/4-pokoje-rejon-rabienska-traktorowa-z-garazem-ID4oFn9</t>
  </si>
  <si>
    <t>4oFn9</t>
  </si>
  <si>
    <t>TOP 2-poj apartament z widokiem! Balkon, winda!</t>
  </si>
  <si>
    <t>ul. ks. Jana Gałeczki, Klimzowiec, Centrum, Chorzów, śląskie</t>
  </si>
  <si>
    <t xml:space="preserve">Do sprzedania ustawne 2-pokojowe mieszkanie z pięknym widokiem po generalnym remoncie w Chorzowie na ul. Gałeczki. 
Mieszkanie aktualnie będzie przechodziło remont generalny - przedstawione zdjęcia ukazują mieszkanie już po remoncie również na ul. Gałeczki z poprzedniej inwestycji. Cena w ogłoszeniu to cena mieszkania po remoncie. Na obecnym etapie możliwość dobrania materiałów. Koniec remontu przewidziany na koniec lutego 2024. 
Opis: 
powierzchnia 50m2 
piętro 11 z 13 
2 niezależne pokoje 
osobna kuchnia 
pomieszczenie gospodarcze w mieszkaniu 
ogrzewanie miejskie 
okna plastikowe 
czynsz 550zł 
Remont: 
wymiana instalacji elektrycznych, wodno-kanalizacyjnych
obniżone sufity, gładzie na ścianach
wymiana paneli podłogowych 
łazienka full 
nowe kafle na ziemi 
Lokalizacja: 
ul. Gałeczki, Chorzów 
1 min do przystanków autobusowych, sklepów, piekarni itp.
duży parking pod blokiem 
Zapraszam na oględziny!
Krzysztof +4████████████3
</t>
  </si>
  <si>
    <t>https://www.otodom.pl/pl/oferta/top-2-poj-apartament-z-widokiem-balkon-winda-ID4oIbO</t>
  </si>
  <si>
    <t>4oIbO</t>
  </si>
  <si>
    <t>M3 Raków, z balkonem</t>
  </si>
  <si>
    <t>Raków, Częstochowa, śląskie</t>
  </si>
  <si>
    <t>Biuro Nieruchomości Sverum zaprasza do zakupu mieszkania typu M-3 (2 pokoje z kuchnią) o powierzchni 47m2 położonego na czwartym piętrze w czteropiętrowym bloku zlokalizowanym w Częstochowie w dzielnicy Raków.STANDARD WYKOŃCZENIA:Podłogi - gres, panele;Ściany - gładź gipsowa, kamień dekoracyjnyOkna - PCV Budynek: blok po termomodernizacjiDo lokalu przynależy: balkon i piwnica.Zabezpieczenia: domofonOgrzewanie: CO miejskieDostępne media: prąd, woda, gazLokalizacja:Komunikację zapewniają: linie autobusowe miejskie oraz tramwajTereny rekreacyjne: plac zabaw, rower miejski, obiekty sportowePunkty usługowe: Biedronka, Lidl, CH Jagiellończycy,BankomatInstytucje: Przedszkole, Przychodnia, Kościół.Zapraszam na prezentację oraz po więcej informacjiOlga BarańskaSVERUM Nieruchomości Częstochowa* Opis oferty zawarty na stronie internetowej sporządzany jest na podstawie oględzin nieruchomości oraz informacji uzyskanych od właściciela, może podlegać aktualizacji i nie stanowi oferty handlowej w rozumieniu art. 66 §1 Kodeksu Cywilnego</t>
  </si>
  <si>
    <t>https://www.otodom.pl/pl/oferta/m3-rakow-z-balkonem-ID4npO3</t>
  </si>
  <si>
    <t>4npO3</t>
  </si>
  <si>
    <t>Malbork 2 pokoje I piętro</t>
  </si>
  <si>
    <t>ul. Jagiellońska, Malbork, malborski, pomorskie</t>
  </si>
  <si>
    <t>Malbork ul. Jagiellońska 
Mieszkanie 2 pokojowe
Powierzchnia 49,6 m2
I piętro
Duża piwnica
Ogrzewanie i ciepła woda z miasta 
Pełna własność 
Cena 260.000,00
 Zapraszam do obejrzenia nieruchomosci 
Tel.884849400</t>
  </si>
  <si>
    <t>https://www.otodom.pl/pl/oferta/malbork-2-pokoje-i-pietro-ID4nH88</t>
  </si>
  <si>
    <t>4nH88</t>
  </si>
  <si>
    <t>Mieszkanie M3</t>
  </si>
  <si>
    <t>Marysin Doły, Bałuty, Łódź, łódzkie</t>
  </si>
  <si>
    <t>Sprzedam mieszkanie 2 pokojowe z garderobą po generalnym remoncie przeprowadzonym w 2015r. Nie interesuje mnie współpraca z biurami nieruchomości. </t>
  </si>
  <si>
    <t>https://www.otodom.pl/pl/oferta/mieszkanie-m3-ID48mSw</t>
  </si>
  <si>
    <t>48mSw</t>
  </si>
  <si>
    <t>80,6 blisko lasu, szkół i przedszkoli BEZPOŚREDNIO</t>
  </si>
  <si>
    <t>ul. Wiklinowa, Radogoszcz, Bałuty, Łódź, łódzkie</t>
  </si>
  <si>
    <t>Na sprzedaż nowocześnie urządzony apartament o powierzchni 80,6 m2, zaprojektowany przez architekta z ogromną dbałością o funkcjonalność i wygląd, wyposażony w ekskluzywne meble marki Kler i Gala. Znajduje się w kameralnym budynku z dużą ilością zieleni. Miejsce w garażu podziemnym oraz dodatkowe bezpłatne miejsca postojowe na ogrodzonym terenie.
W skład apartamentu wchodzą:
- przestronny salon połączony z dużym aneksem kuchennym,
- 2 sypialnie + aneks w salonie do zaaranżowania wg potrzeb sypialnia/gabinet do pracy/powiększony salon,
- dwie łazienki (w jednej prysznic, w drugiej wanna),
- odrębna garderoba i pojemne szafy w sypialniach,
- duży balkon,
- pomieszczenie gospodarcze w hali garażowej.
Apartament bardzo dobrze doświetlony, wystawa okien południe - zachód. Wysokość pomieszczeń aż 2,73m. Nie wymaga wkładu finansowego, w bardzo dobrym stanie, wyposażony w:
- elektryczne rolety zewnętrzne we wszystkich oknach,
- nowoczesne oświetlenie,
- kuchnię w zabudowie (lakierowane/fornirowane fronty) z wysokiej klasy sprzętem Samsung,
- ekskluzywne meble marki Kler i Gala.
Do lokalu przynależy również miejsce postojowe w garażu podziemnym (cena do uzgodnienia), dodatkowo w budynku znajduje się rowerownia a na zewnątrz bezpłatne miejsca postojowe.
Apartament znajduje się w doskonale skomunikowanej lokalizacji (autobus, tramwaj, ŁKA), w najbliższej okolicy Lidl, Netto i Biedronka. Dla rodzin z dziećmi istotna jest bliskość szkół i przedszkoli (300m), dla aktywnych – Arturówka i Lasu Łagiewnickiego.
Sprzedaż bezpośrednia – bez prowizji.</t>
  </si>
  <si>
    <t>https://www.otodom.pl/pl/oferta/80-6-blisko-lasu-szkol-i-przedszkoli-bezposrednio-ID4o5UA</t>
  </si>
  <si>
    <t>4o5UA</t>
  </si>
  <si>
    <t>kawalerka spółdzielcze własnościowe centrum</t>
  </si>
  <si>
    <t>Centrum, Śródmieście, Szczecin, zachodniopomorskie</t>
  </si>
  <si>
    <t>W ofercie spółdzielcze własnościowe prawo do mieszkania położonego w centrum Szczecina w pobliżu Hotelu Dana. Mieszkanie jest do remontu ale można w nim zamieszkać. Składa się z dużego, widnego pokoju, sporej, niezależnej kuchni, łazienki oraz przedpokoju. Kuchnię można połączyć z salonem lub zmienić funkcję pomieszczeń i z kuchni zrobić małą sypialnię. W czynszu zawarte są opłaty za ogrzewanie, ciepłą i zimną wodę oraz gaz. (rzuty są poglądowe).Okna wymienione na plastikowe. Piwnica w cenie mieszkania. CENA DO NEGOCJACJI. Oferta na wyłączność. </t>
  </si>
  <si>
    <t>https://www.otodom.pl/pl/oferta/kawalerka-spoldzielcze-wlasnosciowe-centrum-ID4olgG</t>
  </si>
  <si>
    <t>4olgG</t>
  </si>
  <si>
    <t>Nowe deweloperskie 4-pokojowe z dużą loggią, winda</t>
  </si>
  <si>
    <t>ul. Żytnia, Koszalin, zachodniopomorskie</t>
  </si>
  <si>
    <t>Biuro sprzedaży Dewelopera w Koszalinie przy ul. Zwycięstwa 77/4 oferuje:
Już w sprzedaży II z IV etapów nowej inwestycji deweloperskiej w Koszalinie realizowanej na Osiedlu Zacisze przy ul. Żytniej: K52 – to nowoczesny przeszklony budynek mieszkalny, w którym znajduje się 59 lokali 2-, 3- i 4-pokojowych  o powierzchniach od 40,30 m2 do 62,16 m2, dostępnych w kredycie 2%. Mieszkania z aneksem kuchennym lub z oddzielną kuchnią, balkonem lub loggią. W budynku znajdują się również komórki lokatorskie oraz ogólnodostępne pomieszczenia na wózki i rowery, a w kondygnacji podziemnej indywidualne garaże.
OFERTA BEZPOŚREDNIA!!! Kupujący nie płaci prowizji, zwolniony jest również z podatku od czynności cywilnoprawnych w wysokości 2%; ponosi jedynie koszty notarialne i sądowe.
Oferujemy do sprzedaży 4-pokojowe mieszkanie (TYP „G”) o powierzchni 62,16 m2 z dużą loggią, 2-stronne, położone na II piętrze, składające się z salonu z aneksem kuchennym, trzech sypialni, łazienki oraz przedpokoju.
Do lokalu przynależy komórka o powierzchni 6,03 m2 (+ 9.000 zł).
Wraz z lokalem można nabyć 1-stanowiskowy garaż lub zewnętrzne miejsce parkingowe.
Dostępność: parter, I piętro, II piętro, III piętro, IV piętro
Pełna oferta na stronie: 
Lokal zawiera m.in.:
- drzwi wejściowe antywłamaniowe,
- domofon,
- dzwonek,
- okna trzyszybowe,
- parapety zewnętrzne
- parapety wewnętrzne,
- tynki maszynowe,
- instalacje elektryczna zakończona osprzętem (gniazdka, włączniki),
- instalacja sanitarna zakończona korkami;
- światłowód
- instalacja RTV
- wyłożona płytkami posadzka loggii;
- komórki lokatorskie, garaże, rowerownia oraz pomieszczenia gospodarcze i wspólnego użytku wykończone "pod klucz",
- dwie klatki zostały wyposażone w szybkie cichobieżne windy łączące wszystkie kondygnacje,
- kompletne zagospodarowanie terenu .
Planowane zakończenie budowy: IV kwartał 2024
Osiedle Zacisze – to spokój i harmonia z dala od zgiełku miasta. To miejsce dla osób szukających spokoju. W pobliżu inwestycji znajdują się punkty usługowe i handlowe, natomiast zlokalizowane nieopodal przystanki autobusowe zapewniają dojazd do centrum miasta. Nowoczesna architektura, niska intensywność zabudowy, różnorodna oferta mieszkań, duże loggie, a także zagospodarowanie terenu i części wspólnych - to wszystko wpływa na komfort życia mieszkańców Osiedla.
Jeżeli poszukujecie Państwo gotowych do przekazania nieruchomości z szybszym terminem wydania – oferujemy ostatnie dostępne lokale:
- w I etapie Żytnia K51 Osiedle Zacisze: 2-pokojowe z oddzielną kuchnią, z 2 loggiami, o powierzchni 54,5 m2
- w III etapie Włoska UE3 Osiedle Unii Europejskiej: 3-pokojowe z aneksem kuchennym, loggią, o powierzchni od 59 m2 do 69 m2
Zapraszamy DO BIURA SPRZEDAŻY DEWELOPERA w Koszalinie przy ul. Zwycięstwa 77/4
Kontakt: 511-228-323, 600-402-699, 94)34-188-75
Lic. Zaw. 4653
Powyższa oferta nieruchomości stanowi charakter informacyjny oraz zaproszenie do rokowań zgodnie z Art. 71 KC i nie stanowi oferty określonej w art 66 i następnych KC. Kontaktując się z biurem poprzez formularz kontaktowy, e-mailowo bądź telefonicznie Klient wyraża zgodę na przetwarzanie danych osobowych zgodnie z przepisami ustawy z dnia 29 sierpnia 1997 roku o ochronie danych osobowych /Dz.U. Nr 133 poz. 883. Klientowi przysługuje prawo do wglądu do swoich danych osobowych, ich aktualizacji lub usunięcia. Administratorem danych osobowych jest Interhouse Nieruchomości Marzenna Zientarska, z siedzibą w Koszalinie przy ul. Zwycięstwa 77/4. Podawanie danych osobowych jest dobrowolne, a przetwarzanie ich jest ściśle związane z działalnością pośrednictwa w obrocie nieruchomościami. Podanie danych osobowych jest warunkiem zawarcia umowy pośrednictwa i świadczenia usługi.</t>
  </si>
  <si>
    <t>https://www.otodom.pl/pl/oferta/nowe-deweloperskie-4-pokojowe-z-duza-loggia-winda-ID4nujL</t>
  </si>
  <si>
    <t>4nujL</t>
  </si>
  <si>
    <t>Kawalerka|BALKON|słoneczna|BRAK prowizji i PCC</t>
  </si>
  <si>
    <t>ul. Łozowa, Radogoszcz, Bałuty, Łódź, łódzkie</t>
  </si>
  <si>
    <t xml:space="preserve">ZAKUP BEZPOŚREDNIO OD DEWELOPERA - NIE PŁACISZ PROWIZJI I PODATKU PCC
Nie masz czasu zapoznać się z ogłoszeniem zadzwoń: 666 958 250 .
Inwestycja położona w, zielonej część Łodzi. Bliskość Lasu Okręglik i Rezerwatu Przyrody Las Łagiewnicki zapewnia kilometry tras spacerowych. Jest to jedna z niewielu inwestycji, które zapewniają bliskość natury i doskonałą infrastrukturę - szybki dojazd do centrum (20 minut samochodem), przystanek tramwajowy i stacja kolejowa w kilkuminutowym spacerze
Wyjątkowe Atuty Mieszkań:
Balkony: Każde mieszkanie z własnym balkonem.
Winda: Cichobieżna winda łącząca piętra.
Komórki Lokatorskie: 33 komórki na przechowywanie.
Miejsca Parkingowe: Duża liczba miejsc (podziemne i zewnętrzne).
Kameralność i Zieleń:
Kameralność: Ograniczony ruch samochodowy, miejsca parkingowe poza zasięgiem okien.
Przestrzeń Wspólna: Zieleń, mała architektura, plac zabaw dla dzieci.
Znakomita Lokalizacja:
Aktywności na Świeżym Powietrzu: doskonałe trasy na rower, jogging, czy aerobik.
Basen i Centrum Sportu: W odległości 2 km.
Komunikacja: Przystanek tramwajowy i stacja kolejowa w kilkuminutowym spacerze.
Dogodności Dla Rodzin:
Edukacja i Zakupy: Szkoła, przedszkole, dyskont, apteka w zasięgu 10 minut.
Zapraszamy do skontaktowania się z nami i umówienia na spotkanie. Jesteśmy specjalistami w negocjacjach z deweloperami, pomagamy w znalezieniu najlepszego kredytu oraz oferujemy profesjonalną analizę umów deweloperskich.
</t>
  </si>
  <si>
    <t>https://www.otodom.pl/pl/oferta/kawalerka-balkon-sloneczna-brak-prowizji-i-pcc-ID4ozbT</t>
  </si>
  <si>
    <t>4ozbT</t>
  </si>
  <si>
    <t>Ładne, komfortowe M3 na Osiedlu Czarne</t>
  </si>
  <si>
    <t>Czarne, Jelenia Góra, dolnośląskie</t>
  </si>
  <si>
    <t>Nieruchomości Panorama mają Państwu do zaoferowania piękne M3 z tarasem, ogrodem oraz przynależnym miejscem parkingowym. Usytuowane na parterze w zabudowie szeregowej.
Mieszkanie jest w stanie idealnym, nie wymaga żadnego wkładu finansowego. Umeblowane i wyposażone w wysokiej jakości sprzęt
Na powierzchnię 77m2 składa się:
salon z aneksem kuchennym, dwie sypialnie, przedpokój, łazienka z WC pomieszczenie gospodarcze
Do nieruchomości przynależy taras z ogrodem (50mkw).
Mieszkanie bezczynszowe.
Ogrzewanie gazowe (podłogowe) oraz kominek.
Mieszkanie posiada klimatyzację Rotenso.
Miejsce parkingowe przynależne do budynku.
Cicha spokojna okolica. Osiedle Czarne w Jeleniej Górze.
Cena 750tys. do negocjacji
Polecam i zapraszam na prezentację.
Dominika 516 515 511
Oferta dostępna tylko w naszym biurze.</t>
  </si>
  <si>
    <t>https://www.otodom.pl/pl/oferta/ladne-komfortowe-m3-na-osiedlu-czarne-ID4oGXw</t>
  </si>
  <si>
    <t>4oGXw</t>
  </si>
  <si>
    <t>Apartament trzypokojowy w centrum miasta Bytom</t>
  </si>
  <si>
    <t>ul. Powstańców Warszawskich, Śródmieście, Bytom, śląskie</t>
  </si>
  <si>
    <t>Apartament o wielkości 120m2 w samym centrum Bytomia + 2 garaże + lokal użytkowy.Główne atuty nieruchomości: • doskonała komunikacja z centrum• wysoki standard wykończeń• w pełni wykończony lokal Nieruchomość złożona z: • salon z jadalnią 33 m.kw• pokój 32 m.kw• sypialnia 16 m.kw• łazienka główna 10,5 m.kw• garderoba 5,5 m.kw• kuchnia otwarta z oknem 15,5 m.kw• przedpokój 5,5 m.kw• pomieszczenie gospodarcze 2 m.kw W skład nieruchomości wchodzą też:• balkon• piwnica• garażTyp ogrzewania: ogrzewanie na gaz miejski. Typ własności: własność. Ten przepiękny apartament o powierzchni 120m2 to prawdziwy klejnot w sercu Bytomia. Znajduje się on w samym centrum miasta, co oznacza wygodny dostęp do wszystkich udogodnień i atrakcji, które towarzyszą życiu miejskiemu. To wyjątkowe mieszkanie jest wielofunkcyjne, spełni ono oczekiwania zarówno rodzin z dziećmi, jak i osób poszukujących przestrzeni na biuro lub kancelarię.Zawiera on trzy przestronne pokoje, nowoczesną kuchnię z jadalnią i olbrzymią łazienkę z wanną i prysznicem.Dodatkowym atutem jest przynależny lokal użytkowy, idealny na własny biznes. Elegancko urządzony apartament z najwyższym standardem wykończenia, to miejsce, w którym można mieszkać, pracować i cieszyć się życiem. Dodatkowo cena zawiera dwa garaże.Apartament jest niezwykle oszczędny dzięki posiadaniu pieca gazowego, który doskonale sprawdza się przy ogrzaniu tak dużej powierzchni. Czynsz w wysokości 540zł wraz z funduszem remontowym, zaliczką na wodę oraz wywozem śmieci dla 2 osób.Apartament został urządzony w najwyższym standardzie, z dbałością o detale. Wszystkie pomieszczenia są gustownie urządzone, a wysokiej jakości meble i dodatki nadają wnętrzom elegancji. Dzięki czemu nie wymaga ono nawet najmniejszych nakładów finansowych.Oferta dostępna tylko w Metrohouse. ZADZWOŃ: 453 458 148.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</si>
  <si>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https://www.otodom.pl/pl/oferta/apartament-trzypokojowy-w-centrum-miasta-bytom-ID4nEq9</t>
  </si>
  <si>
    <t>4nEq9</t>
  </si>
  <si>
    <t>Sprzedam mieszkanie na Starówce</t>
  </si>
  <si>
    <t>Śródmieście, Gdańsk, pomorskie</t>
  </si>
  <si>
    <t>Na sprzedaż mieszkanie znajdujące się przy samej Starówce, zaledwie 150 m od Centrum Handlowego Madison.Mieszkanie do własnej aranżacji/remontu.BUDYNEK I LOKALIZACJA:Mieszkanie zlokalizowane jest na 3 piętrze. Budynek jest ocieplony, elewacja jest po remoncie. Klatka schodowa w niedługim czasie będzie remontowana. Wejście do klatki schodowej zabezpieczone domofonem. Przy budynku ogólnodostępne miejsca parkingowe dla mieszkańców, a w pobliżu parking strzeżony. Przed budynkiem znajdują się liczne sklepy oraz punkty usługowe.Dzielnica dobrze skomunikowana z pozostałą częścią Gdańska oraz aglomeracją trójmiejską, dobry dojazd do obwodnicy. W pobliżu wszelka infrastruktura handlowo - usługowa, liczne sklepy, Centrum Handlowe Madison. W sąsiedztwie szkoła, przedszkole, siłownia. Przystanek autobusowy oraz tramwajowy 1 minutę pieszo. Dworzec PKP Główny zaledwie 200 m.MIESZKANIE:Doskonałe dla singla, pary czy też rodziny. Ze względu na swoją lokalizację może być świetną inwestycją  nadającą się zarówno na najem długo jak i krótkoterminowy.Mieszkanie 2 pokojowe o powierzchni 49 m2 składa się z:· przestronnego salonu 18 m2 z balkonem,· sypialni 12 m2· oddzielnej kuchni z oknem 9,6 m2· łazienki 2,7 m2· przedpokoju 7 m2W mieszkaniu oprócz komina nie ma praktycznie ścian nośnych, co daje duże możliwości aranżacyjneKoszty utrzymania: czynsz około 600 zł, prąd według zużycia.Polecam i zapraszam do oglądania.</t>
  </si>
  <si>
    <t>https://www.otodom.pl/pl/oferta/sprzedam-mieszkanie-na-starowce-ID4ou0s</t>
  </si>
  <si>
    <t>4ou0s</t>
  </si>
  <si>
    <t>Mieszkanie os. Górczyn, 3 pokoje + piwnica</t>
  </si>
  <si>
    <t>Przedmiotem sprzedaży jest 3-pokojowe mieszkanie, położone w najatrakcyjniejszej części Gorzowa na Osiedlu Górczyn przy ulicy Sucharskiego. Usytuowane na 8 pietrze 10-piętrowego bloku z windą (po 2 mieszkania na piętrze).
Powierzchnia mieszkania to 62m2 w skład którego wchodzi: pokój dzienny, dwie sypialnie, kuchnia, toaleta, łazienka oraz przedpokój. Wszystkie pomieszczenia bardzo jasne i ustawne, zbliżone do kształtu kwadrata. 
Mieszkanie utrzymane w jednakowym stylu i kolorystyce. W pokojach deski sosnowe, w pozostałych pomieszczeniach płytki. Pomieszczenia przytulne i słoneczne wystylizowane na styl skandynawski. Okna usytuowane w kierunkach wschodnim i zachodnim. 
Do mieszkania przynależy balkon oraz piwnica.
Wokół mnóstwo terenów zielonych, w tym park Górczyński. W pobliżu szkoła, przedszkola, liczne sklepy, warzywniaki, apteki, przystanki autobusowe.
Wielkim atutem mieszkania jest nie tylko położenie i przytulny wystrój, ale również przepiękny widok z okien.
W cenie wyposażenie kuchni i łazienki (bez pralki).
Cena nie podlega negocjacji.
Oferta prywatna - bez prowizji pośredników.</t>
  </si>
  <si>
    <t>https://www.otodom.pl/pl/oferta/mieszkanie-os-gorczyn-3-pokoje-piwnica-ID4ozdY</t>
  </si>
  <si>
    <t>4ozdY</t>
  </si>
  <si>
    <t>Idealne pierwsze mieszkanie, Mokotów, Bezpośrednio</t>
  </si>
  <si>
    <t>ul. Jaszowiecka, Sadyba, Mokotów, Warszawa, mazowieckie</t>
  </si>
  <si>
    <t>Piękne, przestronne mieszkanie z widokiem na park. Umeblowane, po generalnym remoncie na Sadybie, przy ulicy Jaszowieckiej. 
___
Sprzedaż bezpośrednia - bez prowizji! 
___
Mieszkanie
Dwustronne, położone na 5 piętrze, mieszkanie 2-pokojowe o powierzchni 37 m2 i wysoce funkcjonalnym układzie, składające się z:
- salonu z jadalnią i wyjściem na przestronną loggię,
- sypialni z podwójnym łóżkiem oraz dużą, głęboką, szafą,
- oddzielnej widnej kuchni z funkcjonalną zabudową w pastelowych odcieniach, wyposażoną w płytę, okap i zmywarkę,
- przedpokoju z dużą szafą i lustrem, 
- łazienki z prysznicem 90x90 i miejscem na pralkę, 
Dostępna jest piwnica. 
Do dyspozycji dwie windy i zadbana klatka schodowa.
Parking dla mieszkańców z wjazdem za szlaban.
Ciche, słoneczne mieszkanie, z dużymi oknami wychodzącymi na korony drzew parku Dygata (ostatnie zdjęcie przedstawia widok z salonu i sypialni). Przeszło generalny remont, po którym pozostawało niezamieszkałe. 
Okna PCV, nowe, porządne, antywłamaniowe i akustyczne drzwi wejściowe. Na nowo zaprojektowane i wymienione wszelkie instalacje: elektryczna (3-fazowe przyłącze), wodna, C.O. z nowymi grzejnikami. Zastosowane wysokiej jakości panele, gres i płytki ceramiczne. Meble dobrane z dbałością o szczegóły i funkcjonalność, tak aby maksymalnie wykorzystać dostępne miejsce, stworzyć przytulną przestrzeń, a jednocześnie pozostawić możliwość dalszej aranżacji pod własne preferencje. 
Gotowe do wprowadzenia - idealne na pierwsze mieszkanie lub jako inwestycja na wynajem. 
___
Stan Prawny 
Pełna własność z Księgą Wieczystą (KW) - możliwość zakupu za gotówkę lub w kredycie.
___
Lokalizacja
Dwustronne, z panoramicznym widokiem na park Dygata, przez który spacerem w kilka minut dostaniesz się do galerii Sadyba Best Mall, gdzie zrobisz zakupy, wybierzesz się do kina, kawiarni, skorzystasz z siłowni czy kupisz przysmaki dla swojego zwierzaka. W sąsiedztwie przedszkola, szkoły podstawowe i liceum The British School Warsaw. Stacja paliw Orlen, centrum medyczne oraz sklepy spożywcze. 
W odległości 4 minut na piechotę, dostępny jest przystanek autobusowy, zapewniający dobre połączenie z Centrum, Wilanowem oraz pozostałymi częściami Mokotowa. W pierwszej połowie 2024r. ma zostać oddana do użytku trasa Tramwaju do Wilanowa, co zapewni dojazd w około 10 minut do Placu Unii Lubelskiej czy Miasteczka Wilanów. Dostępny będzie również bus-pas. 
Lokalizacja jest również świetna dla poruszających się samochodem, szybki dojazd do Centrum, biznesowej części Mokotowa i kilka minut do Południowej Obwodnicy Warszawy. Zawsze dostępne miejsce parkingowe za szlabanem na terenie osiedla i mnóstwo miejsc dla gości przy ulicy Limanowskiego. Co istotne, brak strefy płatnego parkowania. 
Zapraszam do kontaktu i na prezentacje!
Sprzedaż bezpośrednia. Nie wyrażam zgody na kopiowanie i udostępnianie zdjęć i treści ogłoszenia.
Treść niniejszego ogłoszenia nie stanowi oferty handlowej w rozumieniu Kodeksu Cywilnego.</t>
  </si>
  <si>
    <t>https://www.otodom.pl/pl/oferta/idealne-pierwsze-mieszkanie-mokotow-bezposrednio-ID4otsL</t>
  </si>
  <si>
    <t>4otsL</t>
  </si>
  <si>
    <t>Wyremontowane mieszkanie w Sosnowcu</t>
  </si>
  <si>
    <t>Zagórze Północ, Sosnowiec, śląskie</t>
  </si>
  <si>
    <t>Z przyjemnością informujemy o możliwości nabycia urokliwego mieszkania w Sosnowcu, położonego przy ulicy Braci Mieroszewskich 73. Ta wyjątkowa nieruchomość znajduje się na 1 piętrze budynku i charakteryzuje się doskonałą lokalizacją, gwarantującą łatwy dostęp do wszystkich udogodnień miasta Sosnowiec oraz szybki dojazd do Katowic.Parametry Mieszkania:Lokalizacja: Sosnowiec, ul. Braci Mieroszewskich 73Piętro: 1Powierzchnia: 45Stan techniczny: Po remoncieOpis Mieszkania:To nowoczesne mieszkanie zostało niedawno poddane kompleksowemu remontowi, co sprawia, że prezentuje się w doskonałym stanie technicznym. Jasne i przestronne wnętrza tworzą przytulną atmosferę, a funkcjonalny układ pomieszczeń zapewnia wygodę mieszkania.Dodatkowe Atuty:Doskonała komunikacja z KatowicamiBliskość punktów usługowych i sklepówSpokojna okolicaSerdecznie zapraszamy do kontaktu w celu uzyskania dodatkowych informacji oraz umówienia się na prezentację. To doskonała okazja dla osób poszukujących wygodnego i nowoczesnego miejsca do życia w sercu Sosnowca.</t>
  </si>
  <si>
    <t>https://www.otodom.pl/pl/oferta/wyremontowane-mieszkanie-w-sosnowcu-ID4ofxQ</t>
  </si>
  <si>
    <t>4ofxQ</t>
  </si>
  <si>
    <t>Mysłowice- /Ustawne M3/Umeblowane/DO NEGOCJACJI</t>
  </si>
  <si>
    <t>ul. Krakowska, Mysłowice, śląskie</t>
  </si>
  <si>
    <t>MYSŁOWICE, CENTRUM! DWUPOKOJOWE, USTAWNE Z UMEBLOWANIEM 511514673
OFERUJEMY POMOC W UZYSKANIU KREDYTU ORAZ USŁUGI NOTARIALNE ZE ZNIŻKĄ!
SKORZYSTAJ Z KREDYTU 2%
Oferujemy atrakcyjne dwupokojowe mieszkanie
- STOLARKA OKIENNA Z OKNAMI PLASTIKOWYMI
-PODŁOGI:PANELE, PŁYTKI
- PODWIESZONE SUFITY W POKOJACH, NA PRZEDPOKOJU
Mieszkanie o powierzchni 49 m na parterze
W skład mieszkania wchodzi salon, ustawna, duża sypialnia, kuchnia, przedpokój, łazienka z toaletą.
W cenie może pozostać większość mebli widocznych na zdjęciach
Mieszkanie w dobrym standardzie, remontowane na bieżąco w ostatnich latach.
Mieszkanie znajduje się w Mysłowicach w Centrum z dostępem do placówek oświaty, szkoły, przedszkola, żłobki, sklepy. W pobliżu parki, Park Promenada
Bazarek, sklepy spożywcze, galeria handlowa Quick Park.
Przystanki komunikacji miejskiej, łatwy i szybki wyjazd komunikacyjny przy autostradzie A4, drodze S86.  
Mieszkanie sprawdzi się idealnie do zamieszkania dla rodziny
W najbliższej okolicy bloku sporo miejsc parkingowych.
Doskonała lokalizacja. Szybki i wygodny dojazd do pozostałych części Katowic, Mysłowic, Tychów, Sosnowca, Jaworzna i innych miast ościennych.
Więcej informacji pod numerem telefonu: 511 514 673
Agent odpowiedzialny zawodowo: Martyna Gabryszewska (lic. nr 16071)
AGENCJA NIERUCHOMOŚCI MG BROKER, Pl. Wolności 1, Mysłowice, 41-400</t>
  </si>
  <si>
    <t>https://www.otodom.pl/pl/oferta/myslowice-ustawne-m3-umeblowane-do-negocjacji-ID4o3VN</t>
  </si>
  <si>
    <t>4o3VN</t>
  </si>
  <si>
    <t>Kawalerka w świetnej lokalizacji!20min do centrum!</t>
  </si>
  <si>
    <t>Osiedle „Stacja Centrum” to unikalny projekt o nowoczesnej architekturze, centralną część Pruszkowa z doskonałą, infrastrukturą.
Znakomita komunikacja (tylko 20 min. do centrum W-wy), dostępność usług i związana z nią oszczędność czasu podnosi komfort życia i sprawia, że będą oni mogli więcej uwagi poświęcić życiu rodzinnemu, wypoczynkowi i pasjom.
LOKALIZACJA
Doskonała lokalizacja osiedla „Stacja Centrum” pozwala mieszkańcom łatwo dotrzeć do dowolnej destynacji. Zaledwie 3 minuty spacerem od osiedla jest
Stacja Pruszków, która należy do linii S1 Szybkiej Kolei Miejskiej (SKM), która wraz z Metrem Warszawskim, tworzy szkielet komunikacji miejskiej w Warszawie. Dojazd do stacji Warszawa Zachodnia zajmuje 16 minut, a do stacji Warszawa Śródmieście 25 minut. Alejami Jerozolimskimi lub drogą ekspresową S8 można dojechać do centrum Warszawy w niecałe 30 minut. Dodatkowym plusem zamieszkania na naszym osiedlu jest możliwość ominięcia zatłoczonego centrum Pruszkowa aby dojechać do Brwinowa, Józefowa, Błoni, Ożarowa czy Piastowa.
Bezpośrednio od Dewelopera
Bez prowizji
Bez podatku PCC
Z rękojmią gwarancją 5 lat
Zapraszam do kontaktu.</t>
  </si>
  <si>
    <t>https://www.otodom.pl/pl/oferta/kawalerka-w-swietnej-lokalizacji-20min-do-centrum-ID4oxCQ</t>
  </si>
  <si>
    <t>4oxCQ</t>
  </si>
  <si>
    <t>Mieszkanie w super lokalizacji</t>
  </si>
  <si>
    <t>Radom, mazowieckie</t>
  </si>
  <si>
    <t>Sprzedam mieszkanie w niskim bloku z balkonem na Borkach, piętro 3/4 bardzo dobra lokalizacja( przystanki autobusowe, sklepy), blisko centrum, 3 min piechota od niedawno utworzonego przedszkola publicznego, 10 min od zalewu na Borkach, spokojna, cicha dzielnica, mieszkanie idealne pod wynajem jako inwestycja. Do mieszkania przynależna piwnica, kuchnia w zabudowie, szafa od stolarza, płytki drewnopodobne w łazience, rolety day&amp;night, AGD marki Bosch, lodowka szkło białe Samsung, pralka Samsung, zmywarka Bosch. Niski czynsz, blok ocieplony, remont klatki.</t>
  </si>
  <si>
    <t>https://www.otodom.pl/pl/oferta/mieszkanie-w-super-lokalizacji-ID4o5uT</t>
  </si>
  <si>
    <t>4o5uT</t>
  </si>
  <si>
    <t>RODZINNY ZAKĄTEK, Gotowe do odbioru!</t>
  </si>
  <si>
    <t>DOM W ZABUDOWIE SZEREGOWEJ - SEGMENT ŚRODKOWY
powierzchnia użytkowa: 92m2działka: ok.150m2pomieszczenia parter: wiatrołap, łazienka, pomieszczenie gospodarcze, salon z aneksem kuchennym (35m2)pomieszczenia piętro: hol, 3 x pokój , łazienka, garderobastrych: dodatkowe 27m2 powierzchniInwestycja Rodzinny Zakątek zlokalizowana jest nieopodal miasta Kórnik.
Dom wykończony w bogatym pakiecie DEWELOPERSKIM !!!Na Osiedlu dostępne są również inne rodzaje nieruchomości:
DOM SZEREGOWY 74m2z działką od 120m2w cenie 465.000złbrutto
DOM SZEREGOWY 92m2z działką od 140m2w cenie 550.000zł brutto
DOM SZEREGOWY 92m2skrajny z działką ok 250m2 w cenie od 585.000zł brutto
PAKIET DEWELOPERSKI :• Budynek dwukondygnacyjny z poddaszem użytkowym, ściany nadziemia murowane z silikatów, ściany między domami podwójne, schody żelbetowe• Konstrukcja dachu - wiązary drewniane, dachówka BRASS Romańska w kolorze grafit• Okna PCV siedmiokomorowe (3-szybowe) na profilach Schüco, współczynnik przenikania ciepła szyba U=0,6 w jednostronnej okleinie orzech• Drzwi zewnętrzne PCV o podwyższonym standardzie izolacyjnym• Skrzynki i prowadnice rolet zewnętrznych bez pancerzy• Budynek ocieplony 15-centymetrową warstwą styropianu, z tynkiem silikonowym wraz z obróbkami blacharskimi oraz balustradami• Ściany działowe wewnętrzne gr. 8cm murowane z silikatów, tynk gipsowy, sufit na piętrze ocieplony 20cm wełną i zabudowany płytą G/K, wszystkie ściany i sufity wymalowane w kolorze białym• Posadzki cementowe, izolowane przeciwwilgociowo i cieplnie• Instalacja elektryczna – okablowanie wraz z osprzętem w kolorze białym z wykonaną rozdzielnią• Instalacja RTV-SAT, alarmowa - okablowanie bez osprzętu• Instalacja WOD-KAN-CO-GAZ: kompletny system wodny i grzewczy oparty na produktach firmy VIESSMANN (piec gazowy kondensacyjny, rozdzielacze, ogrzewanie podłogowe i grzejniki, itp.)
W standardzie ogrzewanie podłogowe na całym parterze i w górnej łazience, grzejniki w pokojach na piętrze   
• Nowością w V etapie inwestycji jest wyposażenie domów w nowoczesny bezprzewodowy system sterowania ogrzewaniem wyposażony w regulatory zamontowane w pokojach i łazienkach wraz z siłownikami i zaworami termostatycznymi na grzejnikach oraz z możliwością (za dopłatą) sterownia systemem przez WiFi.
Dzięki temu możemy liczyć na oszczędność oraz wygodę w użytkowaniu domu, system ten będzie pozwalał na sterowanie ogrzewaniem za pomocą smartfona.• Przyłącza: woda miejska, prąd, gaz ziemny, zbiornik bezodpływowy na ścieki o poj. V = 8m³• Taras (20m2), wejście i chodniki wykonane z kostki brukowej• Zagospodarowanie terenu: opłotowanie ogrodu siatką parkanową z obrzeżami trawnikowymi, front wyłożony kostką brukową z miejscem postojowym dla samochodu.• Dom dostosowany pod energię odnawialną - przygotowana wewnętrzna instalacja kablowa do instalacji pod system fotowoltaiczny
DOSTĘPNE MEDIA:• Instalacja światłowodowa INEA(Internet, telewizja kablowa, telefon)• woda AQUANET• gaz miejski PGNiG• energia 3-fazy ENEA• kanaliza, zbiornik bezodpływowy 8m³ z szybkozłączem w płocieCeny domów obejmują całą nieruchomość: dom + działka.Budowane domy w zabudowie szeregowej posiadają pełną własność wraz z działką (działka wydzielona geodezyjnie).Dla wszystkich nieruchomości prowadzone są odrębne księgi wieczyste.Inwestycja objęta rachunkami powierniczymi - dodatkowy środek ochrony klienta.Zachęcamy do obejrzenia naszych osiedli na filmie:https://www.youtube.com/watch?v=1jqXns_Q3nUhttps://youtu.be/ql_rPKxMUd8Płatność za dom w transzach.Pełna możliwość zmian aranżacyjnych (ścianki działowe, instalacja elektryczna i niskoprądowa, instalacja grzewcza itd.). Na życzenie Klienta możemy wykończyć dom „POD KLUCZ” wg wytycznych klienta.
Takie realizacje są ustalane indywidualnie.ZAPRASZAMYwww.kmbuilding.pl</t>
  </si>
  <si>
    <t>https://www.otodom.pl/pl/oferta/rodzinny-zakatek-gotowe-do-odbioru-ID4ng7i</t>
  </si>
  <si>
    <t>4ng7i</t>
  </si>
  <si>
    <t>Całoroczny Dom 85 m2 w malowniczej okolicy</t>
  </si>
  <si>
    <t>Stary Bartków, Korczew, siedlecki, mazowieckie</t>
  </si>
  <si>
    <t>Dzień dobry, prezentujemy Państwu na sprzedaż dom o powierzchni 85 m2 wraz z budynkiem gospodarczym o powierzchni 76 m2 i działką nr 345/3 o pow. 2515 m2 w malowniczej miejscowości Stary Bartków.
Informacje o domu: Dom parterowy rozkładowy o powierzchni 85 m2 z trzema pokojami i kuchnią.
Wodociąg miejski, szambo przydomowe, ogrzewanie z pieca kaflowego. Wentylacja i dymnik w bardzo dobrym stanie jak i więźba dachowa.
Na posesji studnia głębinowa z bardzo dobrą jakością wody oraz ziemianka (piwniczka ogrodowa)
Stan domu:
Do wprowadzenia, sprzedaż wraz z wyposażeniem
Dach dwuspadowy kryty blachą trapezową
Okna PCV
Na ścianach gładź gipsowa
Rozkład pomieszczeń: 
Na dole przedpokój z wejściem do kuchni i dwóch pokoi. Z kuchni przejście do pokoju
Wszystkie pomieszczenia widne z oknami, możliwość aranżacji domu względem własnych potrzeb.
Informacja o działce:
Działka o powierzchni 2515 m2 zagospodarowana, drzewa i krzewy.
Dojazd do posesji drogą asfaltową.
Budynek gospodarczy o powierzchni 76 m2.
Działka z tyłu ogrodzona siatką, brama wjazdowa metalowa.
Stan prawny: Własność   
Lokalizacja: Dom znajduje się w cichej i malowniczej wsi Stary Bartków, położonej około 5 minut samochodem od miejscowości Paprotnia, w której znajdują się liczne sklepy, bank, gmina, apteka, przychodnia NFZ, przedszkole, szkoła podstawowa, kościół, oraz 15 minut od Drohiczyna.  W pobliżu stawy, rzeka Kołodziejka oraz Pałac Korczew i restauracja.
Zapraszamy do kontaktu z naszym doradcą kredytowym, który chętnie odpowie na wszystkie pytania oraz bezpłatnie pomoże przy wyborze najbardziej korzystnego kredytu hipotecznego.  Korzyści jakie niesie współpraca z naszym doradcą kredytowym:
kompleksowa obsługa dokumentacji niezbędnych do kredytu i zakupu nieruchomości
współpraca ze wszystkimi bankami w Polsce
ekspercka i aktualizowana wiedza o ofertach bankowych
badanie zdolności kredytowej dostosowane do potrzeb klienta
VIP dyskrecja
dyspozycyjność
W celu uzyskania większej ilości informacji prosimy o kontakt telefoniczny od poniedziałku do soboty w godzinach 09:00-18:00.  Zapraszamy do kontaktu oraz oglądania na żywo.  Pozdrawiamy Zespół, Doradców ds. Nieruchomości Ventus Invest tel. 530 622 822
 </t>
  </si>
  <si>
    <t>https://www.otodom.pl/pl/oferta/caloroczny-dom-85-m2-w-malowniczej-okolicy-ID4o84v</t>
  </si>
  <si>
    <t>4o84v</t>
  </si>
  <si>
    <t>Mieszkanie, 80,70 m², Wejherowo</t>
  </si>
  <si>
    <t>Wejherowo, wejherowski, pomorskie</t>
  </si>
  <si>
    <t>Mieszkanie w centrum Wejherowa !Oferujemy państwu atrakcyjne mieszkanie o powierzchni użytkowej 80,7 m2, położone na piętrze kamienicy w samym centrum Wejherowa na ul. Sobieskiego. Doskonała lokalizacja zapewnia bezpośredni dostęp do całego zaplecza handlowo-usługowego.OPIS:Mieszkanie składa się z trzech dużych pokoi, osobnej kuchni, łazienki, przestronnego przedpokoju oraz praktycznego pomieszczenia gospodarczego. Nieruchomość posiada również piwnicę o powierzchni 3,60 m2, co stanowi dodatkowe miejsce na przechowywanie. Nieruchomość charakteryzuje się funkcjonalnym rozkładem pomieszczeń, ekspozycją okienną obustronną. Mieszkanie wymaga odświeżenia, zostały wymienione okna oraz częściowo instalacje.LOKALIZACJA:Największym atutem mieszkania jest lokalizacja. Widoki z okna rozpościerają się na Wejherowski rynek.Kamienica znajduje się w samym centrum miasta, tuż przy rynku. Wokół mamy liczne sklepy, restauracje, szkoły, przedszkola, kościoły. W okolicy znajdują się przystanki autobusowe, PKP oraz SKM. Masz pytania ?Zapraszam do kontaktuNatalia Albecka724 474 333Informacje o nieruchomości zostały sporządzone na podstawie oświadczeń i nie są ofertą w rozumieniu przepisów prawa. Mają wyłącznie charakter informacyjny i mogą podlegać aktualizacji. Zalecamy ich osobistą weryfikację.Pamiętaj, że współpracując z WGN Wejherowo biurem nieruchomości działającymi na terenie Trójmiasta, oraz małego Trójmiasta Kaszubskiego OTRZYMUJESZ PEŁNĄ OBSŁUGĘ.Wyróżniamy się pełnym zaangażowaniem, ekspercką wiedzą i najwyższym poziomem usługopartych na ponad 30-letnim doświadczeniu. Stosujemy System Jakości ZJ WGN oraz KodeksEtyki Zawodowej Polskiej Federacji Rynku Nieruchomości.Zapewniamy pomoc w uzyskaniu najkorzystniejszego kredytu na zakup nieruchomości.WGN zapewnia rynkowe ceny, bezpieczeństwo korzystnej transakcji oraz pomoc notariusza.</t>
  </si>
  <si>
    <t>https://www.otodom.pl/pl/oferta/mieszkanie-80-70-m-wejherowo-ID4oBL1</t>
  </si>
  <si>
    <t>4oBL1</t>
  </si>
  <si>
    <t>180 m2 | piękny dom | spokojna okolica</t>
  </si>
  <si>
    <t>Kobiałka, Białołęka, Warszawa, mazowieckie</t>
  </si>
  <si>
    <t>Biuro nieruchomości Pure Estates ma przyjemność zaprezentować Państwu dom zlokalizowany na Warszawskiej Białołęce.Ta wyjątkowa oferta sprzedaży domu o powierzchni 180 m2, zlokalizowanego na przestronnej działce o powierzchni 600 m2 to doskonała propozycja dla rodzin ceniących komfort, przestronność i wysoki standard.DOM Powierzchnia domu to 180 m2 i składa się z:- salonu- czterech pokojów- kuchni- dwóch łazienek- garderoby- garażuOferowany dom to piętrowa nieruchomość typu bliźniak z użytkowym poddaszem, zbudowana w 2006 roku.Całkowita powierzchnia wynosi imponujące 180 m2, co zapewnia przestronność i swobodę w aranżacji wnętrz. Wnętrze składa się z pięciu pokoi, z myślą o zapewnieniu wygodnej przestrzeni dla mieszkańców. Każde piętro wyposażone jest w garderoby, a poszczególne kondygnacje posiadają własne łazienki, co gwarantuje intymność i funkcjonalność dla wszystkich domowników. Dodatkowo, na jednym z pięter znajduje się balkon, zapewniający wyjątkowe miejsce do relaksu i obcowania z naturą.POWIERZCHNIE DODATKOWENieruchomość posiada garażPrzylegająca działka oferuje także atrakcje w postaci sauny, tworząc idealne miejsce na odpoczynek i relaks. BUDYNEK Dom został wzniesiony z solidnej cegły, co potwierdza trwałość i wysoką jakość materiałów użytych przy jego budowie. Całość utrzymana jest w doskonałym stanie, gotowa do natychmiastowego zamieszkania. Ogrzewanie olejowe oraz nowoczesne okna PCV to elementy, które podnoszą standard nieruchomości. Metalowe ogrodzenie oraz utwardzona droga dojazdowa zapewniają poczucie bezpieczeństwa i wygody.LOKALIZACJANieruchomość zlokalizowana jest w spokojnej okolicy, otoczonej przyrodą, co sprzyja spokojnemu i komfortowemu życiu. Bliskość lasu oraz dogodny dojazd to atuty tej lokalizacji.Serdecznie zapraszam do kontaktu i umówienia prezentacji w dogodnym dla Państwa terminie.</t>
  </si>
  <si>
    <t>https://www.otodom.pl/pl/oferta/180-m2-piekny-dom-spokojna-okolica-ID4oh5Z</t>
  </si>
  <si>
    <t>4oh5Z</t>
  </si>
  <si>
    <t>3 oddzielne pokoje na 11 piętrze - do remontu</t>
  </si>
  <si>
    <t>Piasta I, Białystok, podlaskie</t>
  </si>
  <si>
    <t>Oferta sprzedaży wyłącznej !!!Oferuję do sprzedaży mieszkanie w Białymstoku na osiedlu Piasta:- 48 mkw.- 11 piętro- 3 niezależne pokoje- kuchnia- łazienka z WC- okna PCV- bokówka na piętrzeMIESZKANIE ZNAJDUJE SIĘ W DOBREJ LOKALIZACJI, co stanowi ciekawą ofertę inwestycyjną, nieopodal Uniwersytetu Medycznego.Przed budynkiem OGÓLNODOSTĘPNE MIEJSCA PARKINGOWE.Za blokiem NISKA ZABUDOWA I ZIELEŃ.WOKÓŁ BOGATA, OSIEDLOWA INFRASTRUKTURA:sklep spożywczy PSS "Mieszko", bazarek ze świeżymi owocami i warzywami, poczta, siłownia "ManiacGym", przedszkola, szkoły podstawowe i średnie, apteka, przystanek komunikacji miejskiej (linie 5 i 28), itd.Mieszkanie wymaga GENERALNEGO REMONTU, sprzedawane z wyposażeniem.Czynsz miesięczny ok. 450 zł.Szczegóły oferty:INVESTOR NIERUCHOMOŚCI,Białystok, ul. Kard. S. Wyszyńskiego 10 lok. U7,Adrian Mikołajuk 535 890 304 lub e-mail: 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</si>
  <si>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https://www.otodom.pl/pl/oferta/3-oddzielne-pokoje-na-11-pietrze-do-remontu-ID4mL1S</t>
  </si>
  <si>
    <t>4mL1S</t>
  </si>
  <si>
    <t>Kawalerka W Centrum Bydgoszczy 189 000zł</t>
  </si>
  <si>
    <t>Śródmieście, Bydgoszcz, kujawsko-pomorskie</t>
  </si>
  <si>
    <t xml:space="preserve">Świetna lokalizacja, blisko dworca PKP, dużych zakładów pracy. W najbliższym otoczeniu, wydział Politechniki Bydgoskiej, Plac Piastowski, na którym znajduje się targowisko oraz punkty handlowo usługowe.Idealna inwestycja pod wynajem Dla studentów oraz singli.Mieszkanie po kapitalnym remoncie .  Kawalerka mieści się na parterze 2-piętrowej kamienicy. Budynek w trakcie remontu.- nowe piony wod-kan- nowa instalacja elektryczna - nowe pokrycie dachu - nowa instalacja CO (KPEC) - nowe okna PVC - remont klatki schodowej  Łazienka wyposażona w kabinę prysznicową, Umywalkę z szafką, zestaw podtynkowy wc. Zapraszam do kontaktu i na prezentacjęSławomir Bubacz : 797-991-180 Pośrednik odpowiedzialny zawodowo za wykonanie umowy pośrednictwa: Iwona Kempa (licencja nr: 18641) </t>
  </si>
  <si>
    <t>https://www.otodom.pl/pl/oferta/kawalerka-w-centrum-bydgoszczy-189-000zl-ID4ncwh</t>
  </si>
  <si>
    <t>4ncwh</t>
  </si>
  <si>
    <t>111m²-2 poziomy+balkon+m.parking-KAMERALNE</t>
  </si>
  <si>
    <t>Lutynia, Miękinia, średzki, dolnośląskie</t>
  </si>
  <si>
    <t xml:space="preserve">
Już w MARCU 2024 r. możesz odebrać klucze do:
-  MIESZKANIA -111 m²w DOMu dla 16 Rodzin.
Mieszkanie 111 m² z balkonem – 4 pokoje, kuchnia, łazienka, pomieszczenie gospodarcze, korytarz, antresola do samodzielnej akceptacji.
W cenie mieszkania: 1 miejsce postojowe, komórka lokatorska, piec oraz grzejniki na piętrze, na antresoli strop betonowy, wyprowadzona instalacja CO, wodno - kanalizacyjna, elektryczna oraz docieplone połacie dachu.
Zadzwoń i umów się na PREZENTACJĘ:- tel.: 579 631 343 - Kinga
- tel.: 720 480 480 - Rafał
Biuro sprzedaży czynne:- od poniedziałku do piątku - od godz. 8:30 do godz. 16:00,- prezentacja jest również możliwa w sobotę.
ZAPRASZAMY SERDECZNIE!
Pomagamy w uzyskaniu kredytu na bardzo korzystnych warunkach.
Treść niniejszego ogłoszenia nie stanowi oferty handlowej w rozumieniu przepisów prawa.</t>
  </si>
  <si>
    <t>https://www.otodom.pl/pl/oferta/111m-2-poziomy-balkon-m-parking-kameralne-ID4ofRk</t>
  </si>
  <si>
    <t>4ofRk</t>
  </si>
  <si>
    <t>Nowoczesne mieszkanie w świetnej lokalizacji</t>
  </si>
  <si>
    <t>Piękne, komfortowe i nowoczesne mieszkanie położone na ul. Milczańskiej, na Ratajach w Poznaniu. Nieruchomość 3 pokojowa o powierzchni 70,72 m2 składa się z: salonu z aneksem kuchennym dwóch sypialni, łazienki (z wc), osobnego wc, korytarza z dużą szafą, dużego balkonu pokrytego deską kompozytową. Do lokalu przynależą dwa miejsca parkingowe na platformach w garażu podziemnym. Mieszkanie jasne i przestronne, zaaranżowane dla najlepszego komfortu mieszkańców. Część wypoczynkowa - salon z aneksem kuchennym tworzą powierzchnię: 26,65m2.
Zadbane, wykończone z najwyższej jakości materiałów niespełna rok temu, do zamieszkania od zaraz! Wykończone z dużą starannością i zachowane w nowoczesnym stylu.
Na korytarzu znajduje się szafa w zabudowie, a w niej pralka i suszarka bębnowa (zostają). W garderobie ogromna zabudowana szafa na całą ścianę i duże biurko. Kuchnia w zabudowie, stół pod kolor mebli kuchennych. Sprzęty AGD w zabudowie - płyta indukcyjna, okap wyjeżdzający z blatu, piekarnik, kuchenka mikrofalowa, lodówka, zmywarka - wszystkie te sprzęty zostają.
W mieszkaniu pozostaje również: kanapa w salonie, szafka RTV, stół, krzesła, wszystkie meble. '
Mieszkanie wyposażone w klimatyzację oraz system smart home FIBARO, który umożliwia sterowanie oświetleniem i ogrzewaniem z telefonu. W obydwu łazienkach zainstalowano elektryczne maty grzejne dla komfortu kąpieli. Łóżko 160x200w sypialni - zostaje.
Mieszkanie znajduje się na 4 piętrze w 5-piętrowym bloku.
Forma własności: pełna własność z udziałem w gruncie.
Ogrzewanie miejskie.
Wejście na klatkę schodową zabezpieczone domofonem (wideodomofon).
W budynku jest również monitoring i ochrona.
Na osiedlu znajduje się plac zabaw oraz boisko do gry w siatkówkę.
W pobliżu komunikacja miejsca, 3 przedszkola, żabka 3 minuty od budynku oraz wiele sklepów spożywczych na pobliskiej ul. Katowickiej. Biedronka - niecałe 10 minut spacerem, Posnania niecałe 10 minut spacerem. W okolicy również kilka lokali gastronomicznych. Komunikacja miejska autobusowa (przystanek przed blokiem). Tramwaj - świeżo wyremontowana trasa kórnicka - przystanek zaraz pod blokiem.
Cena sprzedaży: 1 209 000zł. W cenie - wyposażenie mieszkania.
ZAPRASZAM NA PREZENTACJĘ!
Powyższy opis ma charakter informacyjny i nie stanowi oferty w rozumieniuprzepisów kodeksu cywilnego. Dane mogą być aktualizowane.
Kontakt: tel. 504 719 919</t>
  </si>
  <si>
    <t>https://www.otodom.pl/pl/oferta/nowoczesne-mieszkanie-w-swietnej-lokalizacji-ID4o8ju</t>
  </si>
  <si>
    <t>4o8ju</t>
  </si>
  <si>
    <t>M3 + Balkon, Tramwaj, Pkp, Q1 2024 /Wro-Kowale</t>
  </si>
  <si>
    <t>ul. Gęsia, Kowale, Psie Pole, Wrocław, dolnośląskie</t>
  </si>
  <si>
    <t xml:space="preserve">Oferta bez prowizji, bez PCC.Zakończenie prac budowlanych jeszcze w tym roku.Serdecznie polecam mieszkanie trzypokojowe NAROŻNE z balkonem w stanie deweloperskim, zlokalizowane w kameralnym budynku 10-lokalowym, zlokalizowanym we wrocławskiej dzielnicy Kowale.Mieszkanie znajduje się na 1. piętrze w nowopowstałym kameralnym budynku dwupiętrowym.Powierzchnia mieszkania: 56,92 M2ROZKŁAD:Salon + aneks - 19,42 M2Sypialnia - 14,3 M2Sypialnia - 11,04 M2Korytarz - 6,49 M2Łazienka - 5,67 M2DODATKOWO: Balkon 5,22 M2 Budynek zlokalizowany w atrakcyjnej okolicy, nieopodal Kanału Żeglugowego Odry, licznych terenów zielonych, doskonale skomunikowany z resztą miasta. PRZYKŁADOWY CZAS DOJAZDU SAMOCHODEM:10 min od Centrum7 min od Placu Grunwaldzkiego5 min od Parku Szczytnickiego2 min od Centrum Handlowego KoronaW obrębie inwestycji dostępne miejsca postojowe, zarówno NAZIEMNE jak i KRYTE.ATUTY OFERTY:Doskonałe skomunikowanie z resztą miasta - w odległości kilkuminutowego spaceru zlokalizowane przystanki: PKP (Wrocław-Kowale), Tramwajowy (Bociania) oraz Autobusowe (Kowale-Stacja Kolejowa).Atrakcyjny i przemyślany rozkład mieszkań, materiały najwyższej jakości wykorzystane przy budowie.Bogata baza usługowo-handlowa nieopodal - m.in Centrum Handlowe Korona.Szkoły, przedszkola i żłobki w okolicyDostępne miejsca postojowe - zarówno naziemne jak i kryte.Serdecznie zapraszam do kontaktu i bezpłatnej prezentacji mieszkania.Miejsce naziemne - 25 000 PLNMiejsce kryte (w bryle budynku) - 45 000 PLNPlanowane oddanie inwestycji: Q1 2024=Oznaczenie nieruchomości: 67*Prezentowana oferta nie stanowi oferty handlowej w rozumieniu Art. 66&amp;sect;1 Kodeksu Cywilnego, a dane w niej zawarte mają charakter jedynie informacyjny i mogą ulec zmianie.  </t>
  </si>
  <si>
    <t>https://www.otodom.pl/pl/oferta/m3-balkon-tramwaj-pkp-q1-2024-wro-kowale-ID4oCzR</t>
  </si>
  <si>
    <t>4oCzR</t>
  </si>
  <si>
    <t>Mieszkanie - Gdańsk Wrzeszcz</t>
  </si>
  <si>
    <t>ul. Jaśkowa Dolina, Wrzeszcz Górny, Gdańsk, pomorskie</t>
  </si>
  <si>
    <t>Jedyny w swoim rodzaju, ekskluzywny, 85-metrowy apartament ze słonecznym tarasem, usytuowany na wyjątkowym strzeżonym osiedlu w sercu miasta. Znany z prestiżowych lokalizacji i wysokojakościowych rozwiązań deweloper Invest Komfort wybudował zespół trzech kameralnych budynków niemal przylegających do zielonej ściany lasu. Osiedle rozbrzmiewa śpiewem ptaków, a teren zielonego patio pozwala na odpoczynek od zgiełku miasta. Do dyspozycji mieszkańców sala fitness i strefa relaksu z sauną. Teren osiedla chroniony przez całą dobę. Apartament został zaprojektowany w detalach przez prestiżową pracownię architektoniczną, co widać w każdym elemencie tego wnętrza, do którego wykończenia użyto najlepszych materiałów i najnowszych rozwiązań technologicznych. Składa się z salonu z otwartą kuchnią i tarasem, dwóch sypialni, w tym jednej z balkonem, dużej łazienki i garderoby. Wnętrze o wysokości 2,8 m dodatkowo podkreślonej wyciągniętymi niemal do sufitu drzwiami, rozświetlone wielkopowierzchniowymi oknami, gdzie wpadające do wnętrza światło odbija się w ścianie szlifowanych luster. Aranżacja apartamentu w stylu glamour z konsekwentnie zachowaną dyskretną biało-szarą tonacją, ozdobnymi listwami sufitowymi, przypodłogowymi i sztukaterią ścienną. Dębowe francuskie podłogi ze szczotkowanego, olejowanego i lakierowanego drewna, co podkreśla jego naturalną strukturę. W kuchni, łazience i korytarzu piękny, szary marmur. Eleganckie meble . W oknach zamontowano niezwykłe, białe shuttersy, które szczególnie efektownie prezentują się w salonie na wypełniającym całą ścianę oknie. Pokój dzienny z wyjściem na kilkunastometrowy taras, w centralnym miejscu biokominek, wokół wygodne kanapy firmy Einchhooltz, szklano-stalowy stolik, ozdobne włoskie i hiszpańskie lampy, klasa sama w sobie. Obszerny taras stanowi miejsce posiłków, a także wypoczynku mieszkańców. Aneks kuchenny utrzymany w biało-czarnej kolorystyce, z granitowymi blatami, poprzez część jadalnianą łączy się z salonem, pozostając w dyskretnym oddaleniu. W dalszej części mieszkania znajduje się garderoba całkowicie wyłożona miękkim, czarnym aksamitem, dwie sypialnie i łazienka. Sypialnia główna z wbudowanymi szafami i podwójnym łóżkiem oraz wygodnym balkonem, z południową ekspozycją okien. W pobliżu druga sypialnia z wysublimowanymi meblami, elegancka jak wszystkie pomieszczenia w tym wyjątkowym apartamencie. Pomiędzy tymi dwoma pokojami usytuowana jest obszerna łazienka zaaranżowana w stylu retro, z elementami wyposażenia pochodzącymi z ekskluzywnych, angielskich, markowych firm jak DEVON &amp;amp; DEVON i KERASAN. Wnętrze wyłożone szlachetnym, szarym marmurem, z wolnostojącą wanną i kabiną prysznicową. Apartament wyposażony jest w system inteligentnego zarządzania FIBARO, który umożliwia swobodny przesył muzyki, sterowanie oświetleniem, ogrzewaniem, monitoringiem i alarmem z każdego miejsca na ziemi, z poziomu telefonu. Wygodna komórka lokatorska. Dwa miejsca parkingowe w podziemnym garażu (dodatkowo płatne 100 tys. zł.) stanowią dopełnienie tej wyjątkowej oferty. Usytuowanie osiedla w centrum dzielnicy Wrzeszcz zapewnia łatwy dostęp do głównych arterii komunikacyjnych, dogodny dojazd zarówno do trójmiejskiej obwodnicy, dalej do lotniska, jak i do gdańskiej Starówki czy też plaży w Brzeźnie i Sopocie. Dużym atutem tej lokalizacji jest bogate zaplecze rekreacyjno-wypoczynkowe, bliskość galerii handlowych oraz renomowanych liceów i uczelni wyższych.  Więcej informacji i zdjęć Przedstawione powyżej informacje nie stanowią oferty handlowej w rozumieniu przepisów prawa, lecz stanowią zaproszenie do zapoznania się nią. Dokładamy starań, aby każda z ofert była rzetelnie sprawdzona i aktualna.</t>
  </si>
  <si>
    <t>https://www.otodom.pl/pl/oferta/mieszkanie-gdansk-wrzeszcz-ID4mZHf</t>
  </si>
  <si>
    <t>4mZHf</t>
  </si>
  <si>
    <t>Luksusowe mieszkanie z garażem.</t>
  </si>
  <si>
    <t>Kamienna Góra, kamiennogórski, dolnośląskie</t>
  </si>
  <si>
    <t xml:space="preserve">Luksusowe mieszkanie z garażem. Na sprzedaż eleganckie mieszkanie w Kamiennej Górze o powierzchni 97 m2, znajdujące się na I piętrze kamienicy. Nieruchomość składa się z 4 pokoi, łazienki, salonu połączonego z nowoczesną kuchnią i przedpokojem. Do lokalu przynależy garaż, strych oraz komórka. Mieszkanie o wysokim standardzie, gotowe do zamieszkania położone jest blisko centrum, szkół, przychodni oraz zalewu. W budynku istnieje mała wspólnota.
Właściciele sprzedają mieszkanie wraz z wyposażeniem. Cena do negocjacji. 
</t>
  </si>
  <si>
    <t>https://www.otodom.pl/pl/oferta/luksusowe-mieszkanie-z-garazem-ID4myox</t>
  </si>
  <si>
    <t>4myox</t>
  </si>
  <si>
    <t>Rewelacyjna Oferta Dla Rodziny Lub Na Inwestycję</t>
  </si>
  <si>
    <t>al. Aleja Niepodległości, Stary Mokotów, Mokotów, Warszawa, mazowieckie</t>
  </si>
  <si>
    <t xml:space="preserve">Mieszkanie trzypokojowe, bardzo blisko stacji metra Racławicka oraz autobusów do których są 3 minuty spacerkiem, natomiast metro Pole Mokotowskie, tramwaje i autobusy około 8 minut piechotą. Perfekcyjny dojazd do centrum i innych dzielnic miasta. Lokal składa się z: oddzielnej widnej kuchni 5,5m2, łazienki z oknem 3,3m2, pokoi: 18,7m2, 10,5m2, 9,7m2, przedpokoju 4,4m2. Duży pokój przechodni. Mieszkanie trójstronne, po kapitalnym remoncie w 2018 r., wymieniona instalacja wodna i kanalizacyjna, elektryczna, nowe drzwi wewnętrzne, okna, parapety, zachowane oryginalne dębowe podłogi. Budynek z cegły, z lat 50-tych, winda, domofon. Okna od strony wschodniej, zachodniej i północnej. Nie ma przypisanego miejsca parkingowego ale można parkować na podwórku jak są miejsca. W najbliższej okolicy pełna infrastruktura, szkoły, przedszkola, żłobki, szpitale, przychodnie, sklepy. Bardzo dużo zieleni w odległości spacerku (Pola Mokotowskie, Park Morskie Oko i Promenada, Park Dreszera, Łazienki Królewskie, świetny ogródek Jordanowski dla małych dzieci). Mieszkając tutaj poczujemy fantastyczny klimat Starego Mokotowa dzięki małym urokliwym uliczkom, niezliczonej ilości małych kameralny kawiarenek gdzie zjemy śniadania, obiad, czy kolację oraz ludziom tu mieszkającym.Serdecznie polecam i zapraszam na prezentację nieruchomości. Kontakt Wojciech Wodnicki, tel.: 501 100 545.Pośrednik odpowiedzialny zawodowo za wykonanie umowy pośrednictwa: Magdalena Lemieszek (licencja nr: 17819) </t>
  </si>
  <si>
    <t>https://www.otodom.pl/pl/oferta/rewelacyjna-oferta-dla-rodziny-lub-na-inwestycje-ID4o7mr</t>
  </si>
  <si>
    <t>4o7mr</t>
  </si>
  <si>
    <t>Partyzantów/Bacciarellego 3 pokoje duży balkon</t>
  </si>
  <si>
    <t>Sępolno, Śródmieście, Wrocław, dolnośląskie</t>
  </si>
  <si>
    <t xml:space="preserve">Mieszkanie 3-pokojowe z dużym balkonem. Powierzchnia mieszkania 64mkw. Mieszkanie położone na I piętrze budynku przy ul. Partyzantów. Budynek z 2007r. Dwie osobne sypialnie o pow.: 10mkw + 16mkw.  Większa sypialnia z garderobą zabudowaną półkami [garderoba jest osobnym pomieszczeniem].  Salon częściowo otwarty na kuchnię. Balkon o pow. 13mkw. Wejście na balkon z salonu oraz z mniejszej sypialni. Kuchnia wyposażona i umeblowana wraz ze sprzętami AGD [lodówką, płytą elektryczną, okapem, zmywarką, piekarnikiem]. Łazienka z wanną, umywalką, toaletą i pralką. Okna drewniane nowego typu.  W oknach żaluzje zewnętrzne. Budynek  położony na granicy Sępolna i Biskupina. Teren budynku ogrodzony. Wejście do budynku od strony ul. Partyzantów oraz od strony ul. Bacciarellego. Bardzo dobra lokalizacja! Miesięczne koszty utrzymania mieszkania w kwocie 900zł. Ogrzewanie z własnej kotłowni dla budynku. Dobrze rozwinięta infrastruktura osiedla. W pobliżu punkty usługowe, sklepy, piekarnia z pysznym pieczywem, przedszkole, szkoła. W bliskiej odległości przystanek tramwajowy i autobusowy, ścieżki rowerowe i spacerowe,  ścieżki wzdłuż Odry, tereny zielone, Park na Biskupinie, Park Szczytnicki, Stadion Olimpijski, basen. Szybki termin przekazania mieszkania. Uregulowany stan prawny. Mieszkanie godne uwagi. Zapraszam na prezentację mieszkania. Pośrednik prowadzący Ludmiła Nowak T. 609 645 654 Pośrednik odpowiedzialny zawodowo za wykonanie umowy pośrednictwa: Ludmiła Nowak (licencja nr: 10170) </t>
  </si>
  <si>
    <t>https://www.otodom.pl/pl/oferta/partyzantow-bacciarellego-3-pokoje-duzy-balkon-ID4ok8e</t>
  </si>
  <si>
    <t>4ok8e</t>
  </si>
  <si>
    <t>Najwyższe piętro w Zielonym Zakątku</t>
  </si>
  <si>
    <t xml:space="preserve">Z przyjemnością zaprezentujemy 76 m2 na  5 piętrze Apartamentowca Zielony Zakątek przy ul.Staszica.Budynek wykonany z materiałów wysokiej jakości , ogrodzony mający charakter osiedla  zamkniętego chronionego. Przestronna winda  prowadzi z kondygnacji podziemnej ( hali garażowej) do najwyżej położonego 5 piętra, z którego roztaczają się  niepowtarzalne widoki na zieleń Wąwozów Grabowych oraz na  Jezioro Jamno.Jedyny taki lokal dostępny do sprzedaży  w tej lokalizacji, salon z aneksem kuchennym ( 31 m2), dwie sypialnie ( 11 i 14 m2), osobne WC i łazienka, przestronny korytarz (12 m2) oraz przedsionek z podwójnymi drzwiami wejściowymi gwarantujący dzwiękoszczelność. Mieszkanie dwustronne z dwoma ogromnymi tarasami, jeden od strony zachodniej   z widokiem na  Wąwóz Grabowy, drugi od strony wschodniej na dziedziniec budynku.Lokal jest częściowo wykończony , do aranżacji nowego właściciela pozostaje  łazienka, oświetlenie  , zabudowa kuchni.W cenie  wliczona jest komórka  lokatorska o pow. 4m2, dodatkowo z kupnem lokalu związany jest zakup 2 garażów w hali garażowej zlokalizowanej pod budynkiem w cenie  90 000 zł . Istnieje możliwość kupna tylko jednego garażu.Po więcej szczegółów oraz umówienie się  na prezentację zapraszamy  pod nr  tel. 601 072 762lub 665 007 008. ::DODATKOWE INFORMACJE Rodzaj budynku: apartamentowiecDozór budynku: os. zamknięte i strzeżoneGłośność: cicheWidok: park/skwerGaz: brakWoda: tak - miejskaDojazd: asfaltowa/kostkaOtoczenie: parkOgrzewanie: C.O. miejskieWinda: TAKLiczba wind: 1Rozkład: dwustronne rozkładoweUsytuowanie: dwustronneDrzwi antywłamaniowe: TAKPrzystosowania dla niepełnosprawnych: TAKTeren ogrodzony: TAKOpłaty w czynszu: wywóz nieczystości, Winda, ogrzewanie, ochrona, monitoring, fundusz remontowy, COOpłaty wg liczników: wodaRodzaj mieszkania: jednopoziomoweGaraż: garaż pod budynkiemPiwnica [m2]: 4Stan lokalu: do adaptacjiOkna: aluminioweInstalacje: WINDA OSOBOWALiczba balkonów: 2Tarasy: taras dużyLiczba tarasów: 2Powierzchnia balkonów/tarasów [m2]: 28Powierzchnia użytkowa [m2]: 75,9800Rok budowy: 2020Liczba pokoi: 3Wysokość pomieszczeń [m]: 2,7500Liczba sypialni: 2Powierzchnia pokoi [m2]: 10,63 m2   13,42 m2 salon 31,21 2mWystawa okien - pokoje : WschRodzaj kuchni: aneks kuchennyWystawa okien - kuchnia: ZachTyp łazienki: osobno z wcPowierzchnia łazienki [m2]: 4,76Liczba WC: 1Powierzchnia WC: 1,64Liczba przedpokoi: 2Powierzchnia przedpokoi [m2]: 14,32::LINK DO STRONY ::KONTAKT DO AGENTA Klaudia Banach943411444601072762 </t>
  </si>
  <si>
    <t>https://www.otodom.pl/pl/oferta/najwyzsze-pietro-w-zielonym-zakatku-ID4oDbQ</t>
  </si>
  <si>
    <t>4oDbQ</t>
  </si>
  <si>
    <t>2 nieduże pokoje na Północy z dużym balkonem</t>
  </si>
  <si>
    <t>Północ, Częstochowa, śląskie</t>
  </si>
  <si>
    <t>Kawalerka na 4-artym piętrze w dzielnicy PółnocPREZENTUJE; Aleja NieruchomosciLOKALIZACJA; Częstochowa, Północ, MichałowskiegoOPIS MIESZKANIAPrzedstawiam Państwu 2-pokojowe mieszkanie z kuchnią. Mieszkanie w którym znajdą Państwo oazę spokoju i będą świadkami najpiękniejszych zachodów słońca. Do naszego lokum wchodzą Państwo z długiego korytarza. Po wejściu znajdują się w przestronnym przedpokoju, który posiada wydzieloną strefę na szafę/garderobę. Idąc w lewo otwierają Państwo drzwi łazienki a obok wchodzą do dużego, widnego i bardzo ustawnego pokoju do którego przynależy balkon(4.5m2) . Na przeciw drzwi wejściowych znajduje się kuchnia. Ze względu na jej wielkość i potrzeby wcześniejszych właścicieli została przerobiona na mniejszą (zabudowa kuchni) i tym sposobem uzyskano dodatkowy pokój. Mieszkanie jest bardzo ustawne.Ciepłą wodę dostarcza wodociąg miejski. Okna PVC wychodzą na stronę Zachodnią. Do lokalu przynależy piwnica ok 5 m2. Mieszkanie znajduje na 4 piętrze w 4-piętrowym bloku.LOKALIZACJAJest to doskonała lokalizacja dla każdego. Przed blokiem mają Państwo do dyspozycji duży parking na którym nigdy nie brakuje miejsc,w niedalekiej odległości CH M1, Liczne place zabaw, szkołę z basenem, szkołę językową, przedszkole, boiska, bibliotekę, kościół, sklepy. Do tramwaju 5 min spacerkiem a autobus zatrzymuje się niemalże przed blokiem. Po drugiej stronie ulicy mogą Państwo w razie potrzeby skorzystać z przychodni bądź usług prywatnych gabinetów lekarskich czy też zrobić zakupy w Lewiatanie.Gorąco polecam to mieszkanie i zapraszam do oglądania!Zapraszam serdecznie na prezentacjęNorbert Wireńskitel.882 138 663Aleja Nieruchomości Wyzwolenia 9 lok 18, Częstochowa *pomagamy w załatwieniu wszelkich formalności związanych z zakupem tej nieruchomości*oferujemy pomoc w uzyskaniu kredytu *naszym Klientom oferujemy zniżki u notariusza * Przedstawione propozycje nie są ofertą handlową w rozumieniu przepisów prawa, lecz mają charakter informacyjny. Wszelkie dane dotyczące nieruchomości uzyskano na podstawie oświadczeń sprzedających. Zalecamy osobiste zapoznanie się ze stanem nieruchomości przed jej nabyciem.DANE KONTAKTOWE:Norbert Wireński+4████████8 663Treść niniejszego ogłoszenia nie stanowi oferty handlowej w rozumieniu Kodeksu Cywilnego.</t>
  </si>
  <si>
    <t>https://www.otodom.pl/pl/oferta/2-nieduze-pokoje-na-polnocy-z-duzym-balkonem-ID4nuuS</t>
  </si>
  <si>
    <t>4nuuS</t>
  </si>
  <si>
    <t>Kołobrzeg apartament dwupoziomowy osiedle Polanki</t>
  </si>
  <si>
    <t>Oferujemy Państwu piękny, przestronny Penthouse położony na Osiedlu Polanki około 200m od plaży w otoczeniu parku.Apartament o powierzchni 97m2 składa się z:Poziom I:- przestronny salon z aneksem kuchennym, jadalnią oraz tarasem widokowym- łazienka z WC- przedpokój z przestronną zabudową - schody na piętro Poziom II :- 2 sypialnie z wyjściem na taras- pokój ( użytkowany jako pokój biurowy, możliwość aranżacji do niezbędnych potrzeb )- pokój kąpielowy ( łazienka z WC )Apartament wykończony wysokiej jakości materiałami tj. drewniane podłogi oraz meble.Zabudowa kuchenna wykonana pod wymiar z lodówką dwudrzwiową, fotel do masażu, toaletę z funkcją bidetu, przesuwne moskitiery.Na obu poziomach klimatyzacja.Osiedle Polanki to prestiżowa inwestycja położona w pięknym otoczeniu z kompleksem basenowym, sauną, salą zabaw dla dzieci oraz salą fitness. Możliwość wykupienia garażu o powierzchni 18,79m2 znajdującego się w budynku oraz komórki lokatorskiej zlokalizowana w sąsiednim budynku za cenę 150 000 PLNŁączna cena za Apartament, garaż oraz komórkę lokatorską to 1750 000 PLNNa terenie osiedla dodatkowe miejsca postojowe ogólnodostępne. Idealna inwestycja pod wynajem jak i do własnego wypoczynku.Zapraszam serdecznie na prezentację nieruchomości  Paulina Zielińska tel. 660 727 425"Opis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</si>
  <si>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https://www.otodom.pl/pl/oferta/kolobrzeg-apartament-dwupoziomowy-osiedle-polanki-ID4nd8p</t>
  </si>
  <si>
    <t>4nd8p</t>
  </si>
  <si>
    <t>Parter ul. Bema 42,5m2 Niskie Opłaty</t>
  </si>
  <si>
    <t>ul. gen. Józefa Bema, Malbork, malborski, pomorskie</t>
  </si>
  <si>
    <t xml:space="preserve">Sprzedaż 2 pokojowego mieszkania, zlokalizowane na parterze w osiedlu bloków ul. Bema. Mieszkanie idealne dla starszych osób powierzchnia mieszkalna 42,5 m2 lokal znajduje się na parterze w bloku 4-6 przy ul. Bema.
Niskie opłaty wysokości 518,73 zł. 
Mieszkanie do zamieszkania, budynek zarządzany przez prężnie działającą wspólnotę mieszkaniową. Budynek po kapitalnym remoncie: dachu, elewacji, klatek schodowych, wykonana ciepłej wody z systemu ciepłowni miejskiej, wymieniona instalacja elektrycznej - „siła”. Brak urządzeń podłączonych pod siec gazu w lokalu. Budynek oddalony od głównej drogi, wokół mnóstwo zieleni. W mieszkaniu wnęka pokojowa zaadoptowana na garderobę.
Informacje ogólne:
pow 42,50 m2,
przynależna piwnica 3,10 m2
parter !
mieszkanie własnościowe z założoną Księgą Wieczystą oraz wykupionym gruntem,
rok oddaniu budynku do użytkowania 1975r
2 pokoje
Logiia
okna na dwie strony budynku wschód , zachód
piwnica przynależna do mieszkania
ogrzewanie miejskie
ciepła woda użytkowa z miasta
brak urządzeń zasilanych gazem w lokalu,
opłaty eksploatacyjne przy jednej zamieszkałej osobie w wysokości : 518,73 zł . W skład opłat wchodzi: Centralne ogrzewanie, domofon, utrzymanie nieruchomości wspólnej, zaliczka 1m3 ciepła woda, 1m3 zimna woda, punkt świetlny w piwnicy, fundusz remontowy, opłata za odpady komunalne
mieszkanie opomiarowane liczniki na zimną oraz ciepłą wodę użytkową – płacimy zgodnie z zużycie. System rozliczenia półroczny
roczna opłata za podatek od nieruchomości 69 zł
Wykończenie:
budynek ocieplony
ściany w gładzi szpachlowej, pomalowane,
w mieszkaniu wymieniona instalacja elektryczne, doprowadzone zasilanie „Siła” do płyty indykcyjnej,
grzejniki żeliwne,
drzwi wejściowe drewniane,
łazienka w glazurze, po remoncie instalacji woda kan, zamontowany prysznic, szafka z umywalką oraz lustrem,
okna PCV dwuszybowe wymieniona w 2008r ,
w przedpokoju szafki wolno stojące oraz pawlacze,
podłoga szwedzka w sypialni,
parkiet w salonie,
zagospodarowana wnęka pokojowa na cele garderoby – możliwość demontoważu,
wymienione stolarka drzwiowa wewnętrzna,
Wyposażenie budynku, lokalu :
możliwość podłączenia łącza stałego internetu,tv operator Vectra, Orange, Netia,
w cenie mieszkania wyposażenie łazienki, szafki, pralka,
domofon cyfrowy – kody wejściowe, chip,
Pobliskie obiekty:
Sklepy i supermarkety
Dworzec kolejowy,
przystanek komunikacji miejskiej
Szkoła podstawowa,
Plac zabaw przed budynkiem,
fryzjer i wiele innych
Opis oferty sporządzany jest na podstawie oględzin nieruchomości oraz informacji uzyskanych od właściciela , może podlegać aktualizacji i nie stanowi oferty określonej w K.C art. 66 i pozostałych.
ZAPRASZAM DO OGLĄDANIA !!!
CENA PODLEGA NEGOCJACJI. </t>
  </si>
  <si>
    <t>https://www.otodom.pl/pl/oferta/parter-ul-bema-42-5m2-niskie-oplaty-ID4ok6C</t>
  </si>
  <si>
    <t>4ok6C</t>
  </si>
  <si>
    <t>Gotowe 4 pokoje / Do odbioru od ZARAZ / 2024</t>
  </si>
  <si>
    <t>ul. Niepołomicka, Orunia Górna - Gdańsk Południe, Gdańsk, pomorskie</t>
  </si>
  <si>
    <t xml:space="preserve">NOWOROCZNE DNI OTWARTE 19/20 STYCZEŃ - 
WYJĄTKOWA PROMOCJA NA ZAKUP MIESZKANIA – WYSOKIE RABATY dla WYBRANYCH LOKALI 
Umowa rezerwacyjna – ZABEZPIECZ NISKĄ CENE przed podwyżkami do KOŃCA miesiąca
DORADCA KREDYTOWY – bezpłatna konsultacja 
BEZ PROWIZJI - BRAK PODATKU PCC – 0 zł – RYNEK PIERWOTNY
Wyjątkowe OKAZJE na miejsca postojowe ZEWNĘTRZNE i w HALI GARAŻOWEJ
Bezpośredni kontakt z doradcą w godzinach od 8:00 do 22:00 od Poniedziałku do Soboty 
Dostępność BIURA SPRZEDAŻY 9:00 -18:00 
Umów się na SPOTKANIE SPRZEDAŻOWE 
możliwość DODATKOWYCH RABATÓW TYLKO w biurze sprzedaży
obejrzyj okolice i STAN DEWELOPERSKI mieszkań na inwestycjach GOTOWYCH do odbioru 
✆☎☏ - ZADZWOŃ i umów wizytę
Na sprzedaż funkcjonalne i ustawne mieszkanie dla osób ceniących sobie komfort i spokój. 
Mieszkanie składa się z:
salonu z aneksem kuchennym
4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</si>
  <si>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https://www.otodom.pl/pl/oferta/gotowe-4-pokoje-do-odbioru-od-zaraz-2024-ID4oIfG</t>
  </si>
  <si>
    <t>4oIfG</t>
  </si>
  <si>
    <t>2-pokojowe mieszkanie 36 m2, Głowno REZERWACJA</t>
  </si>
  <si>
    <t>ul. Władysława Sikorskiego 14, Głowno, zgierski, łódzkie</t>
  </si>
  <si>
    <t xml:space="preserve">Oferuję przytulne, dwupokojowe mieszkanie 36 m2 na drugim piętrze w czteropiętrowym bloku na ul. Sikorskiego 14 w Głownie. 
Mieszkanie jest odnowione. Złożone jest z oddzielnej kuchni, 2 pokoi, łazienki, korytarza oraz z balkonu o powierzchni 5m2. W skład nieruchomości wchodzi również piwnica.
Okolica cicha i spokojna. Z sypialni widok na las. Bardzo dobra lokalizacja, blisko Galerii Głowieńskiej.
Pod blokiem znajduje się spory parking. Istnieje dodatkowo możliwość dokupienia murowanego garażu o powierzchni 15m2 w pobliżu bloku. 
Dostępne od zaraz
</t>
  </si>
  <si>
    <t>https://www.otodom.pl/pl/oferta/2-pokojowe-mieszkanie-36-m2-glowno-rezerwacja-ID4ofeq</t>
  </si>
  <si>
    <t>4ofeq</t>
  </si>
  <si>
    <t>Mieszkanie, 35,57 m², Wojkowice</t>
  </si>
  <si>
    <t>Wojkowice, będziński, śląskie</t>
  </si>
  <si>
    <t>Przetarg w formie aukcji elektronicznej Numer przetargu: AZM/DM/87/2023/10-23Wojkowice, ul. Morcinka 22/9Lokal składa się z 1 pokoju, kuchni oraz WC. Lokal wyposażony jest w instalacje elektryczną oraz wodociągowo-kanalizacyjną. Ogrzewanie &amp;ndash; indywidualne. cena wywoławcza:93 000,00 złwadium:9 300,00 złminimalne postąpienie:1 000,00 zł Przetarg odbędzie się w trybie aukcji elektronicznej w dniu 25.01.2024r. o godz. 09:00 na portalu aukcyjnym s://lain3-srk.coig.biz/.Oferent zobowiązany jest do zapoznania się i akceptacji bez zastrzeżeń pełnej treści Obwieszczenia szczeg&amp;oacute;łowego opublikowanego na stronie  (zakładka &amp;bdquo;Oferta &amp;ndash; Przetargi mieszkania&amp;rdquo;) oraz Regulaminu postępowania przy sprzedaży nieruchomości w O/AZM SRK S.A. ().Sp&amp;oacute;łka może odwołać lub zmienić warunki przetargu lub ogłoszenia, zamknąć przetarg bez wybrania kt&amp;oacute;rejkolwiek z ofert bez podania przyczyny, na każdym etapie postępowania przetargowego, jak r&amp;oacute;wnież żądać, w przypadku wystąpienia przesłanek, o kt&amp;oacute;rych mowa w art. 705 kodeksu cywilnego, unieważnienia umowy zawartej w drodze przetargu. Informację o zmianie warunk&amp;oacute;w przetargu lub ogłoszenia publikuje się w spos&amp;oacute;b określony w &amp;sect; 15 ust. 1. W takim przypadku termin przeprowadzenia przetargu ulega odpowiedniej zmianie.Szczeg&amp;oacute;łowe informacje na temat nieruchomości oraz trybu sprzedaży można uzyskać bezpośrednio w O/AZM SRK S.A. pod adresem:  lub tel. (32) 396 66 00 (wew. 5).Pośrednik odpowiedzialny zawodowo za wykonanie umowy pośrednictwa: Tomasz Osdarty (licencja nr: 22678)</t>
  </si>
  <si>
    <t>https://www.otodom.pl/pl/oferta/mieszkanie-35-57-m-wojkowice-ID4nzGA</t>
  </si>
  <si>
    <t>4nzGA</t>
  </si>
  <si>
    <t>Dom szeregowy Juszkowo, Pruszcz Gdański 144m2</t>
  </si>
  <si>
    <t>ul. Raduńska, Juszkowo, Pruszcz Gdański, gdański, pomorskie</t>
  </si>
  <si>
    <t>OFERTA DOSTĘPNA WYŁĄCZNIE W PEPPER HOUSE!!!Atuty nieruchomości:- dom bezczynszowy- cicha i spokojna okolica- przestronne i funkcjonalne wnętrze- ogród- duży garaż dwustanowiskowy- bardzo dobrze skomunikowane- słoneczny salon i ogród od strony południowo zachodniej- rolety antywłamaniowe sterowane elektrycznie- wideodomofon z funkcją nagrywania obrazu- instalacja alarmowa- kominek- dwa dodatkowe miejsca postojowe przed garażemLokalizacja:Dom w zabudowie szeregowej, posadowiony na skraju działki o powierzchni ok.250 m2 zlokalizowany w Juszkowie, w odległości ok. 3 km od trójmiejskiej obwodnicy, ok.2 km od centrum Pruszcza, 18 minut jazdy samochodem do centrum Gdańska.Idealna lokalizacja dla rodzin - w pobliżu rzeka Radunia, gdzie można wypożyczyć sprzęt do rekreacji wodnej (kajaki, rowery wodne) oraz wzdłuż brzegu skorzystać ze sprzętu do ćwiczeń. Otoczenie domów jednorodzinnych i bliskość do wody daje możliwość wypoczynku na świeżym powietrzu przy jednoczesnym łatwym dojeździe do większych miast.Na powierzchnię nieruchomości składa się przestrzeń użytkowa 116 m2 oraz garaż dwustanowiskowy w bryle budynku powierzchni ponad 28 m2. Na parterze znajduje się: - wiatrołap - bardzo duży słoneczny salon z aneksem kuchennym - spiżarnia/pralnia - toaleta - słoneczny ogródek (południe-zachód) w pełni zaaranżowany z dużym tarasem z deski kompozytowej ,nasadzeniami oraz wiatą na drewno kominkowe Na piętrze znajduje się:- duża łazienka - 2 pokoje- sypialnia wraz z przejściową garderobą oraz wyjściem na przestronny taras 12 m2.Opłaty gaz: sezon grzewczy ok. 200-25 zł, poza sezonem ok 70 zł.Serdecznie zapraszam na prezentację!Karolina NiewęgłowskaPH294330</t>
  </si>
  <si>
    <t>https://www.otodom.pl/pl/oferta/dom-szeregowy-juszkowo-pruszcz-gdanski-144m2-ID4nLDc</t>
  </si>
  <si>
    <t>4nLDc</t>
  </si>
  <si>
    <t>✅ Inwestycyjne 4 pokoje przy Strefy Ekonomicznej ⭐</t>
  </si>
  <si>
    <t>Rubinowa, Stare Gliwice, Gliwice, śląskie</t>
  </si>
  <si>
    <t>Witaj,Szukasz mieszkania w doskonałej lokalizacji inwestycyjnej - przy Strefie Ekonomicznej?Świetnie trafiłeś/aś! Zapraszam do opisu i kontaktu.⭐ Bezpośrednie sąsiedztwo strefy ekonomicznej - idealna lokalizacja inwestycyjna.⭐ Możliwość wydzielenia dodatkowych dwóch pokoi (4 łącznie). ⭐ Możliwość przejęcia aktualnych najemców - gotowiec inwestycyjny. ⭐ Rozkładowe i przestronne.⭐ Budynek z 2003 roku. ⭐ Do wyboru 3 mieszkania w jednym budynku. ✅ Te mieszkania spełniają wymagania programu Bezpieczny Kredyt 2% - zadzwoń i dopytaj o szczegóły.✅Mieszkania:Lokale składają się z 2 niezależnych pokoi, kuchni, łazienki z toaletą oraz przedpokoju.Aktualnie mieszkania są wynajmowane, istnieje więc możliwość przejęcia aktualnych najemców. Tym samym inwestycja zacznie na siebie pracować już od pierwszego dnia zakupu.* mieszkanie nr. 1: 70,9 mkw - 2 piętro,* mieszkanie nr. 2: 70,8 mkw - 4 piętro,* mieszkanie nr. 3: 70,8 mkw - 4 piętro.We wszystkich mieszkaniach:Okna PCV.Ogrzewanie gazowe - wspólna dla całego budynku kotłownia w piwnicy.Do każdego mieszkania przynależy duża piwnica - 11,25 m2. ✅Lokalizacja:Mieszkanie znajduje się w świetnej okolicy - jest spokojna i zielona, a jednocześnie blisko znajdują się wszystkie ważne punkty. Niedaleko znajdziesz kilka sklepów i marketów (Biedronka, Żabka, Auchan), piekarnię, aptekę, przedszkole, szkołę podstawową i wiele innych ciekawych miejsc. Bezpośrednie sąsiedztwo strefy ekonomicznej - idealna lokalizacja inwestycyjna. Do Drogi Krajowej nr. 88 dojedziesz w zaledwie 3 min. ✅Opłaty:Czynsz = 900 zł (zawiera zaliczkę na gaz ok 500 zł, energię elektryczną ok 150 zł oraz komplet opłat do wspólnoty)Masz dodatkowe pytania, chcesz zapytać o szczegóły i umówić się na oglądanie?Jestem do Twojej dyspozycji od 7:00 do 22:00, 7 dni w tygodniu.Zapraszam do kontaktu.⚡ Dariusz Dziuba⚡ Tel: 662 314 107⚡ Akro House Nieruchomości.Zapewnię Ci profesjonalne wsparcie w całym procesie zakupu.Zadbam o wszystko co niezbędne, abyś stał się właścicielem wymarzonej nieruchomości.Zapewniam obsługę notarialną, a także pomogę w uzyskaniu kredytu na najlepszych możliwych warunkach.</t>
  </si>
  <si>
    <t>https://www.otodom.pl/pl/oferta/inwestycyjne-4-pokoje-przy-strefy-ekonomicznej-ID4lFWb</t>
  </si>
  <si>
    <t>4lFWb</t>
  </si>
  <si>
    <t>2 pokoje duży taras komórka m. postojowe Wielicka</t>
  </si>
  <si>
    <t>Na sprzedaż dwupokojowe mieszkanie wraz z przynależną komórką lokatorską o łącznej powierzchni 58,2 m2 zlokalizowane na Podgórzu w sąsiedztwie ulicy Wielickiej. Z mieszkaniem sprzedawane miejsce postojowe w garażu podziemnym.Nieruchomość położona na parterze bloku z 2014 roku. Winda. Osiedle zamknięte, chronione.Mieszkanie w stanie bardzo dobrym, nie wymaga żadnych nakładów finansowych. W pełni umeblowane i wyposażone.Pokój dzienny z aneksem kuchennym, aneks sypialniany (możliwość adaptacji na pokoje zamknięte), łazienka, garderoba oraz przedpokój.Z obydwu pokoi wyjście na bardzo duży, ogrodzony taras przynależny tylko do tego mieszkania (taras wymaga drobnego odświeżenia).Na tarasie meble ogrodowe.Ogrzewanie i ciepła woda z sieci miejskiej. Ogrzewanie podłogowe. W mieszkaniu nie ma gazu.Duża komórka lokatorska o powierzchni ponad 7 m2 wyposażona w półki.Czynsz administracyjny przy dwóch osobach ok. 1000 zł. Dodatkowo płatny tylko prąd.W pobliżu liczne sklepy, żłobek, przedszkole, szkoła, przystanki komunikacji miejskiej (w tym pętla tramwajowa Prokocim), Park Jerzmanowskich. Doskonała lokalizacja m.in. dla osób pracujących w Szpitalu Uniwersyteckim.CENA MIESZKANIA Z KOMÓRKĄ LOKATORSKĄ: 749.000 złCENA MIEJSCA POSTOJOWEGO: 50.000 złUzyskanie szczegółowych informacji dotyczących oferty oraz prezentacja nieruchomości są możliwe tylko po zawarciu umowy pośrednictwa z biurem nieruchomości (zgodnie z UOGN). W przypadku nabycia nieruchomości będącej przedmiotem umowy pośrednictwa pobierane jest jednorazowe wynagrodzenie. Oferta wyłącznie w SALWATOR Nieruchomości.</t>
  </si>
  <si>
    <t>https://www.otodom.pl/pl/oferta/2-pokoje-duzy-taras-komorka-m-postojowe-wielicka-ID4ovpV</t>
  </si>
  <si>
    <t>4ovpV</t>
  </si>
  <si>
    <t>Lokal Idealny Pod Kancelarię W Ścisłym Centrum !</t>
  </si>
  <si>
    <t>Mam ogromną przyjemność przedstawić Państwu ofertę sprzedaży wyjątkowej nieruchomości w ogromnym potencjałem zlokalizowanej w ścisłym centrum Poznania przy alei Karola Marcinkowskiego.Lokal mieszkalny usytuowany na 2 piętrze w 4 piętrowej przepięknej, ponad 130 letniej kamienicy wybudowanej w 1891 roku, która jest w trakcie gruntownej rewitalizacji.Zakres prac budowlanych obejmuje :1. Rewitalizacje przedniej elewacji wraz z wymianą balkonów (ukończona).2. Wymiana frontowych okien na drewniane 3 szybowe (ukończone).3. Rewitalizacja całej stolarki drewnianej w kamienicy w tym drzwi zewnętrzne, drzwi wewnętrzne, klatka schodowa główna wraz dobudową piętra do poddasza (w stylu oryginalnym), klatka schodowa tylna.4. Rewitalizacja sztukaterii w frontowych mieszkaniach. ( ukończona).5. Nowe Instalacje wod-kan i elektryczne, wideodomofony.6. Osuszenie i izolacja piwnicy wraz pogłębieniem i nowa posadzka. 7. Rewitalizacja dachu z podniesieniem części dachu o 30 cm. 8. Montaż 2 wind, jednej wewnętrznej drugiej zewnętrznej z firmy Kone. 9. Aranżacja podwórka. 10. Wszystkie lokale będą doprowadzone do stanu deweloperskiego. Lokal mieszkalny o całkowitej powierzchni użytkowej liczącej 70,34 m2 składa się z :- komunikacji zaraz po wejściu do lokalu o powierzchni 2,27 m2,- pomieszczenia o powierzchni 19,57 m2,- pomieszczenia o powierzchni 12,76 m2,- korytarza o powierzchni 2,95 m2,- łazienki o powierzchni 4,47 m2,- pomieszczenia o powierzchni 23,03 m2- pomieszczenia o powierzchni 6,56 m2,Wysokość pomieszczeń wynosi aż około 3 m, co czyni je optycznie większymi.Układ pomieszczeń gwarantuje funkcjonalne użytkowanie nieruchomości, pod kątem kancelarii lub na cele mieszkalne.Stan deweloperski w jakim oddane będą lokale umożliwia zaprojektowanie wnętrza według własnego uznania i upodobań. Ekspozycja okien  na 3 strony świata (północ, południe oraz wschód) zapewnia dużą ilość naturalnego światła wpadającego do pomieszczeń w ciągu dnia.Lokalizacja mówi sama za siebie, kamienica umiejscowiona jest w samym sercu miasta, zaledwie 300 m od deptaka Starego Rynku.W pobliżu znajdują się kultowe miejsca na mapie Poznania tj. Plac Wolności, Stary Browar, Park Fryderyka Chopina, Cytadela, Muzeum Narodowe, Dworzec Główny i wiele innych.Wokół pełna infrastruktura handlowo - usługowa : sklepy, restauracje, gabinety medyczne, szpitale, szkoły, przedszkola, uczelnie wyższe itd.Bardzo dobrą komunikacja z resztą miasta:- linie tramwajowe: 9, 13, 24 (Marcinkowskiego - odległość 300 m), 98 (Plac Wielkopolski - odległość 270 m)- linie autobusowe: 160, 163, 213, 214, 223 (Solna - odległość 270 m)Historia kamienicy jest też dość interesująca:"W północnej części Alei Marcinkowskiego stoi okazała kamienica z 1891 roku. Kamienica należała do znanej w Poznaniu poetki i działaczki związanej z kulturą, Marii Paruszewskiej urodzonej w roku 1864 w Poznaniu. Jej ojcem był Kacper Kramarkiewicz - właściciel Hotelu Berlinskiego.W mieszkaniu Paruszewskiej gościło wielu wybitnych twórców i artystów tamtych czasów. Związani z jej salonem byli m.in.:: Feliks Nowowiejski, Ignacy Friedman, Ada Sari, Olga Boznańska, Ludomir Różycki, Henryk Opieński i wielu innych. Jak pisze Zbigniew Zakrzewski Jej salon rozbrzmiewał pieśnią, muzyką fortepianową, dyskusjami o kulturze i sztuce."BRAK PODATKU PCC PRZY ZAKUPIE!Pełna własność z udziałem w gruncie. Ogrzewanie gazowe kotłownią w budynku (brak pieców w mieszkaniach) z możliwością podpięcia się pod sieć miejską za 3 lata.Odbiór lokali przewidywany już we wrześniu tego roku!W sprzedaży jeszcze jeden lokal w tym samym pionie - ten sam układ pomieszczeń.Indywidualne podejście do każdego klienta!Możliwość wykończenia pod klucz.W razie potrzeby bezpłatnie pomagam uzyskać najkorzystniejsze kredytowanie.Serdecznie zapraszam do kontaktu!TEKTON PROPERTY TO NAJLEPSZE BIURO NIERUCHOMOŚCI W POLSCE WG KONKURSU LIDER NIERUCHOMOŚCI OTODOM 2020.Znajdź nas w swoim mieście: Gdańsk, ul. Chmielna 10 - Warszawa, Plac Dąbrowskiego 1/311 - Wrocław, ul. Kasztanowa 3A/118 - Kraków, ul. Józefitów 7/4 - Poznań, ul. Rembertowska 15B/2 - Łódź, ul. Zachodnia 70 pok. 223.Podejmując współpracę z przedstawicielami Tekton Property zyskujesz:- oszczędność czasu- weryfikację dokumentów od strony formalno-prawnej- wsparcie agenta na każdym etapie transakcji- pomoc przy uzyskaniu kredytu hipotecznego w kilkunastu bankach- wgląd do umów przed zawarciem aktu notarialnego u sprawdzonych Notariuszy- własne analizy makroekonomiczne i raporty z prowadzonych działań- dostęp do cen transakcyjnych z okolicy Skontaktuj się z opiekunem oferty, a on poprowadzi Cię przez wszystkie etapy transakcji.Zapraszamy do współpracy!Niniejsze ogłoszenie nie stanowi oferty handlowej w rozumieniu przepisów art. 66 k.c., a przedstawione dane mają charakter informacyjny.</t>
  </si>
  <si>
    <t>https://www.otodom.pl/pl/oferta/lokal-idealny-pod-kancelarie-w-scislym-centrum-ID4mtPH</t>
  </si>
  <si>
    <t>4mtPH</t>
  </si>
  <si>
    <t>5 pokoi - nowe budownictwo - cisza i spokój</t>
  </si>
  <si>
    <t>ul. Szumiących Traw, Porosły, Choroszcz, białostocki, podlaskie</t>
  </si>
  <si>
    <t>Prezentujemy na sprzedaż przestronne, 5-pokojowe mieszkanie w Porosłach przy ul. Szumiących Traw.To kameralne osiedle składające się niskich budynków na ogrodzonym terenie z wygodnym dojazdem do Centrum Białegostoku.Przedmiotowe mieszkanie znajduje się w segmencie dwulokalowym z 2020 r. Ma powierzchnię użytkową 83,32 m2, jednak łącznie z poddaszem po podłodze daje to przestrzeń ok. 130 m2. Nieruchomość składa się z 3 poziomów:Parter (2,21 m2) to własne wejście z przedsionkiem i klatką schodową.Część główna mieszkania (81,11 m2) znajduje się na piętrze. W jej skład wchodzi salon z aneksem kuchennym (32,21 m2), 3 sypialnie (10,68 m2, 8,10 m2, 11,28 m2), łazienka z wanną, holl i przedsionek ze schodami. Okna wychodzą na wschód, zachód i południe a dodatkowo dzięki dużym oknom jest tu ciepło i jasno. Cały poziom ma rozprowadzone ogrzewanie podłogowe zapewniające komfort również zimą.Z salonu jest wyjście na duży (10 m2) balkon.Ostatnia część to poddasze, a na nim oddzielna toaleta i otwarta przestrzeń do wykorzystania wg. potrzeb, np. miejsce do pracy czy zabawy dla dzieci.Mieszkanie posiada własny piec gazowy służący do ogrzewania lokalu oraz podgrzewania wody, wodę i kanalizację z sieci miejskiej. Dodatkowe miesięczne opłaty to jedynie fundusz remontowy na utrzymanie części wspólnych oraz prąd.Przed budynkiem jest prywatne miejsce postojowe, a zaraz obok ogólny parking i plac zabaw. Na przeciw osiedla znajduje się Stokrotka i apteka, a do najbliższej Biedronki można dojechać samochodem w 3 min.Podsumowując to świetna oferta dla osób, które szukają dużo przestrzeni w ciszy i spokoju, a równocześnie z dobrym połączeniem do Centrum Białegostoku i wygodnym wyjazdem w kierunku Warszawy.Oferta dostępna wyłącznie u nas w biurze.Po więcej pytań oraz, aby umówić się na prezentację zapraszam do kontaktu.Niniejsze ogłoszenie nie stanowi oferty w rozumieniu Kodeksu Cywilnego, lecz ma charakter informacyjny.Przedstawione wizualizacje i grafiki mają charakter wyłącznie poglądowy i stanowią wyłącznie materiał pomocniczy, ułatwiający zorientowanie się w ogólnym wyglądzie oferowanej nieruchomości.Niniejsze ogłoszenie wraz z jego elementami jest własnością  Północ Nieruchomości Sp z o.o.  lub podmiotu współpracującego.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Północ Nieruchomości Sp z o.o. lub podmiotów współpracujących jest zabronione i może stanowić podstawę odpowiedzialności cywilnej oraz karnej.Niniejsze materiały stanowią tajemnicę przedsiębiorstwa PÓŁNOC NIERUCHOMOŚCI Sp. z o.o.  w rozumieniu ustawy z dnia 16 kwietnia 1993 r. o zwalczaniu nieuczciwej konkurencji (Dz. U. z 2003 r., Nr 153, poz. 1503 z późn. zm.).Oferta wysłana z programu dla biur nieruchomości ASARI CRM ()</t>
  </si>
  <si>
    <t>https://www.otodom.pl/pl/oferta/5-pokoi-nowe-budownictwo-cisza-i-spokoj-ID4mPcH</t>
  </si>
  <si>
    <t>4mPcH</t>
  </si>
  <si>
    <t>Nowe mieszkanie w Brzozowie, 3 pokoje</t>
  </si>
  <si>
    <t>ul. Zdrojowa, Brzozów, Brzozów, brzozowski, podkarpackie</t>
  </si>
  <si>
    <t>Przedstawiam Państwu ofertę sprzedaży mieszkania w stanie deweloperskim znajdującego się na ulicy Zdrojowej w Brzozowie. Oferowana nieruchomość to 3-pokojowe mieszkanie o powierzchni 63m2 usytuowane na poddaszu na 3 piętrze. Układ mieszkania jest bardzo praktyczny - składa się z przestronnego pokoju przechodniego, z którego wchodzimy do salonu połączonego z otwarta kuchnią o łącznej powierzchni 38,5m2, który jest przestronny i pełen naturalnego światła. Następnie z drugiej strony mamy dwa oddzielne pokoje (pow.10m2 i 12,2m2) oraz łazienkę (4,8m2). Nieruchomość jest dwustronna (północ-południe) co daje nam dużo światła i ciepła a dodatkowo posiada balkon z którego rozpościera się widok na miasto i otaczającą naturę. Mieszkanie zawiera już wszystkie niezbędne instalacje ponadto posiada ogrzewanie podłogowe z własnym piecem gazowym. Nieruchomość znajduje się w nowo wybudowanym budynku w otoczeniu domków jednorodzinnym, co daje Nam spokój i bezpieczeństwo otoczenia. Budynek wykonany jest z pustaka a miejsca parkingowe znajdują się wokół budynku, którym zarządza Wspólnota Mieszkaniowa. Dodatkowo, lokalizacja jest niezwykle korzystna - znajduje się na obrzeżach miasta, lecz z łatwym i szybkim dostępem do sklepów, restauracji, i innych udogodnień. Odwiedzając pobliski park zażyjesz odrobiny relaksu po intensywnym dniu. Do ceny mieszkania należy doliczyć cenę piwnicy w wysokości 23 300zł (pow.8,5m2).Jeśli zainteresowała Cię oferta, masz dodatkowe pytania, chcesz umówić się na prezentację to zapraszam do kontaktu.Kontakt do opiekuna oferty : Anna Leszczyk tel: 531 481 627e-mail: Zapraszam również do naszego biura sprzedaży w Rzeszowie przy ulicy Eugeniusza Kwiatkowskiego 2b, lok. 18L.Potrzebujesz kredytu? U nas możesz spotkać się z doradcą kredytowym, który doradzi i pomoże płynnie przejść przez proces kupna/sprzedaży nieruchomości.Na sprzedaż mieszkanie w świetnej lokalizacji w Brzozowie o powierzchni 63m2 w stanie deweloperskim. Oferta dotyczy mieszkania na poddaszu o przemyślanym i rozkładowym układzie na który składają się 2 pokoje, salon połączony z kuchnią a także łazienka i przedpokój. Do mieszkania przynależy również piwnica o pow. 8,5m2, duży balkon i miejsce postojowe przed blokiem."Właścicielem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</si>
  <si>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https://www.otodom.pl/pl/oferta/nowe-mieszkanie-w-brzozowie-3-pokoje-ID4nQyo</t>
  </si>
  <si>
    <t>4nQyo</t>
  </si>
  <si>
    <t>Ogrodzony blok 2 lub 3 pokoje do wejścia!</t>
  </si>
  <si>
    <t>ul. Mariacka, Radom, mazowieckie</t>
  </si>
  <si>
    <t>Bardzo przestronne 2 pokojowe mieszkanie z oddzielną, widną kuchnią. Możliwość aranżacji na 3 pokoje z kuchnią w aneksie !!!W cenie mieszkania profesjonalny projekt kuchni i łazienki - gratis!!Świeżo po odświeżeniu !!! Mieszkanie do wejścia . Mieszkanie znajduje się w kameralnym, ogrodzonym bloku. Do mieszkania przynależą miejsca parkingowe na zamykanym i bezpiecznym placu.Zlokalizowane na na 5 piętrze w pięciopiętrowym bloku na ulicy Mariackiej - osiedle Planty.Mieszkanie z dużym potencjałem, bardzo duże pomieszczenia. Korytarz zabudowany pojemnymi szafami. Parkiet drewniany w stanie idealnym. Ogrzewanie oraz ciepła woda z piecyka dwufunkcyjnego. Dzięki czemu sami decydujemy kiedy zaczynamy i kończymy sezon grzewczy.Do mieszkania przynależy duża ok 5m2 piwnica.Idealne mieszkanie dla osób ceniących sobie ciszę i spokój, a za razem szybki dostęp do centrum miasta oraz do pełnej infrastruktury.Zapraszam do oglądania !!!Oferta wysłana z programu dla biur nieruchomości ASARI CRM ()</t>
  </si>
  <si>
    <t>https://www.otodom.pl/pl/oferta/ogrodzony-blok-2-lub-3-pokoje-do-wejscia-ID4osda</t>
  </si>
  <si>
    <t>4osda</t>
  </si>
  <si>
    <t>2 pokoje | Widok na zieleń | Wysoki standard</t>
  </si>
  <si>
    <t>ul. Antoniego Madalińskiego, Orunia-Św. Wojciech-Lipce, Gdańsk, pomorskie</t>
  </si>
  <si>
    <t>2 pokoje | Widok na zieleń | Wysoki standardMieszkanie o powierzchni 34 m², położone na 3. piętrze nowego, 4-piętrowego budynku z windą, dostępnym od zaraz. Lokal składa się z salonu z aneksem kuchennym, sypialni, łazienki oraz loggii. Stan wykończenia jest nowy, gotowe do zamieszkania.W pełni wyposażona kuchnia obejmuje markową lodówkę, zmywarkę, piekarnik oraz płytę indukcyjną. Łazienka wyposażona jest w prysznic. Sypialnia posiada dużą i pojemną szafę. Do mieszkania przynależy komórka lokatorska o powierzchni około 3 m², w cenie 16 000 zł, oraz naziemne miejsce parkingowe, od razu przy wejściu do bloku dostępne za dodatkową opłatą 24 000 zł.Mieszkanie jest dwustronne, oferując widok na tereny zielone z obu stron. Budynek charakteryzuje się kameralnym charakterem, składa się z 14 mieszkań, został oddany do użytkowania w 2022 roku. Lokalizacja na granicy dzielnic Chełm i Orunia zapewnia szybki dojazd do centrum i Starówki (ok. 3,5 km do Fontanny Neptuna). W pobliżu znajdują się przystanek autobusowy, sklepy spożywcze (m.in. Lidl, Biedronka), przychodnie, szkoły, punkty gastronomiczne i usługowe. Tereny zielone, takie jak Park Oruński oraz Jar Wilanowski, są również łatwo dostępne. Dobry dojazd do obwodnicy południowej.Miasto Gdańsk zaplanowało połączenie południowych dzielnic z resztą miasta nową liną PKM - Południe.Zapraszam do kontaktu w celu uzyskania dodatkowych informacji oraz umówienia się na prezentację tej atrakcyjnej nieruchomości.----TYLKO Z NAMI KAŻDA TRANSAKCJA JEST BEZPIECZNA Z GWARANCJĄ NAJNIŻSZEJ CENY I SZYBKIEJ, KORZYSTNEJ SPRZEDAŻY.- gwarancja najlepszej ceny nieruchomości- najlepsze stawki u Notariusza- bezpieczny zakup z polisą OC Pośrednika w PZU S.A._Aby uzyskać więcej materiałów dotyczących oferty zdjęć, rzutów lub dodatkowych informacji dotyczących jakiekolwiek nieruchomości z naszej oferty wyślij zapytanie do opiekuna oferty lub poprzez formularz kontaktowy na stronie gdzie znajduje się więcej ofert w okazyjnych cenach._Niniejsze ogłoszenie i zawarte w nim informacje, treści oraz podane w powyższej treści ceny powyższa oferta ma charakter informacyjny i nie stanowią oferty handlowej w rozumieniu art. 66 kodeksu cywilnego. Zawarte w ogłoszeniu informacje na temat nieruchomości dotyczące ofert sprzedaży lub najmu nieruchomości mogą uleć modyfikacji lub zmianom w zależności od informacji przekazywanych od osób posiadających prawo do nieruchomości. Biuro AGhouse Nieruchomości dba, aby oferty były aktualizowane na bieżąco. Nasi doradcy dokładają wszelkich starań, aby oferta nieruchomości zamieszczona przez nasze biuro odpowiadała stanowi faktycznemu nieruchomości.</t>
  </si>
  <si>
    <t>https://www.otodom.pl/pl/oferta/2-pokoje-widok-na-zielen-wysoki-standard-ID4oAOd</t>
  </si>
  <si>
    <t>4oAOd</t>
  </si>
  <si>
    <t>***Fotowoltaika_O. Podłogowe_Bez PCC i Prowizji !</t>
  </si>
  <si>
    <t>ul. Leona Berensona, Grodzisk, Białołęka, Warszawa, mazowieckie</t>
  </si>
  <si>
    <t>*** 0 % prowizji od kupującego ****** Bez podatku PCC ***
*** Duży wybór MIESZKAŃ - 1, 2, 3 i 4 pokojowych
Sprzedam bezpośrednio NOWE mieszkanie 3 pokojowe o powierzchni 52,47 m2 w nowej inwestycji w WARSZAWIE na Białołęce przy ul. Berensona 131.
Do mieszkania przynależy balkon o powierzchni 6,46 m2.
Zapraszam po więcej szczegółów:
Wioletta, tel. 506 017 470
Ekologiczne i energooszczędne budynki ogrzewane pompami ciepła z panelami fotowoltaicznymi są praktycznie bezkosztowe w eksploatacji.
OPIS INWESTYCJI:
Osiedle będzie się składać z 4 budynków mieszkalnych – A, B, C, D, w tym 3 budynki z garażem podziemnym (segment B, C, D) oraz jeden z mieszkaniami z OGRODAMI (segment A).
Zastosowane w ,,Osiedlu ECO Berensona” ekorozwiązania zapewniają niższe opłaty za energię, ogrzewanie oraz ciepłą wodę, dzięki pompom ciepła i instalacji systemu fotowoltaicznego.
Ponadto wentylacja mechaniczna z rekuperacją zapewnia dostęp świeżego i przefiltrowanego powietrza bez utraty ciepła, a zastosowanie wysokiej klasy filtrów pozwala uzyskać powietrze pozbawione zanieczyszczeń, bakterii, grzybów, pyłków.
To środowisko idealne dla alergików - mieszkaniach zamontowane jest ogrzewanie podłogowe.
Zachęcam do zakupu INWESTYCYJNEGO, jak i na własne potrzeby mieszkaniowe:
Wioletta, tel. 506 017 470
ATUTY INWESTYCJI:
Kameralne osiedle
Ekologiczne i energooszczędne
Budynki ogrzewane pompami ciepła, mają zainstalowane panele fotowoltaiczne
W mieszkaniach ogrzewanie podłogowe
Niebanalna architektura, nowoczesne wzornictwo i interesujące detale
Mieszkania 1-, 2-, 3-, 4-pokojowe
Zróżnicowane metraże od 25 do ok. 68 m2, imponująca funkcjonalność
Doskonała lokalizacja
Komfortowy dojazd komunikacją miejską
W pobliżu tereny zielone, cisza i spokój
Blisko centrów handlowo-usługowych
Przedszkola i szkoły na wyciągnięcie ręki
Młoda społeczność dzielnicy
Inwestycja w trakcie realizacji !
Garaż i miejsce parkingowe – dodatkowo płatne
Stan deweloperski.
LOKALIZACJA:
Dojazd do centrum, dzięki staraniom władz miasta, zajmuje coraz mniej czasu. Wpływ na to miało otwarcie mostu Curie-Skłodowskiej, zmodernizowanie ulicy Modlińskiej, a także remont trasy Toruńskiej. Poza tym, dzięki połączeniom komunikacji miejskiej, można w kilkanaście minut znaleźć się przy głównej linii metra, skąd do centrum miasta już tylko kilka minut.
W pobliżu osiedla są szkoły i przedszkola. Na skrzyżowaniu ulic Berensona i Zaułek, w Centrum Handlowym, jest m.in. pralnia, apteka, kwiaciarnia, salon urody i sklep spożywczy Carrefour.
W odległości od 7 do 10 min jazdy samochodem znajdują się:
Kompleks Handlowy Marywilska 44 – rozległe centrum handlowe z 1400 sklepami i punktami usługowymi oraz zróżnicowaną ofertą gastronomiczną
Factory Annopol – najlepsze centrum outletowe w Polsce
Atrium Targówek
Decathlon Targówek – sklep sportowy
CH Prima Marki
Auchan Modlińska
Sklepy meblowe: IYSK, IKEA, Agata
Multikino
Miejskie Centrum Sportu
Zapraszam na spotkanie do Biura Sprzedaży:
Wioletta tel. 506 017 470</t>
  </si>
  <si>
    <t>https://www.otodom.pl/pl/oferta/fotowoltaika-o-podlogowe-bez-pcc-i-prowizji-ID4oy2Q</t>
  </si>
  <si>
    <t>4oy2Q</t>
  </si>
  <si>
    <t>2 pokoje - PARKING W CENIE - Balkon - Malinka</t>
  </si>
  <si>
    <t xml:space="preserve">Witam serdecznie,
posiadam na sprzedaż 2-pokojowe mieszkanie ok. 42m2 + ok. 5m2 balkon w budynku w pełni monitorowanym oraz w pełni ogrodzonym (płotem, a nie szlabanem). Blok budowany z cegły ceramicznej, a nie wielkiej płyty. Ogrzewanie miejskie, budynek ocieplony.
Co istotne, do mieszkania przynależy miejsce parkingowe zewnętrzne, ale pod zadaszeniem - dzięki czemu w trakcie obfitych śniegów (jakie obecnie nastały) nie trzeba odśnieżać auta przed każdym wyjazdem. Miejsce to jest bardzo szerokie, mogące pomieścić prócz samochodu jeszcze skuter lub motor.
Mieszkanie jest świeżo po remoncie, składa się z przedpokoju, łazienki, sypialni oraz salonu z aneksem kuchennym.
W przedpokoju znajduje się dwudrzwiowa szafa w zabudowie, jak i w sypialni wolnostojąca, pozwalające zmieścić naprawdę sporo rzeczy.
W salonie z aneksem kuchennym dzięki sporej ilości szafek w strefie kuchennej, również znajdziemy sporo przestrzeni do przechowywania rzeczy. Dodatkowo w salonie znajdują się nowe meble: kanapa, szafka RTV, stolik kawowy oraz krzesła. 
Kuchnia w pełni wyposażona - zmywarka, płyta indukcyjna, lodówka, piekarnik oraz mikrofala. W przypadku łazienki znajdziemy tam również nowe meble, a także pralkę. 
Mieszkanie bardzo słoneczne dzięki sporym oknom, które nadają wnętrzu ponadczasowego charakteru. Mieszkanie posiada dwustronne nasłonecznienie - okna wychodzą na wschód i południe. Ponadto, balkon posiada dwa osobne wejścia. 
Lokalizacja mieszkania nie mogła być lepsza (malinka, kolonia gosławicka). Znajduje się w bardzo rozchwytywanej i prężnie rozwijającej się dzielnicy, z której dojdziemy pieszo w zaledwie kilka minut do wielu miejsc. Dla przykładu:
Tężnia solankowa - 4 min
Paczkomat - 3 min
Dino - 3 min
Siłownia - 4 min
Żabka - 5 min
Biedronka - 8 min 
Przystanek autobusowy - 4 min
Mieszkanie nie było remontowane pod sprzedaż, tylko pod nas samych - niestety z powodu przeprowadzki, musimy je sprzedać. Wszystkie sprzęty oraz meble zostają w mieszkaniu, także osoba, która je kupi może się tylko wprowadzić, mieszkać i cieszyć się nową przestrzenią. Mieszkanie bez dodatkowego wkładu, dostępne od zaraz.
W celu uzyskania więcej informacji lub umówienia na oględziny, proszę o kontakt telefoniczny. 
Sprzedaż bezpośrednia od właścicieli, bez pośredników (przy okazji, pośrednikom dziękujemy).
</t>
  </si>
  <si>
    <t>https://www.otodom.pl/pl/oferta/2-pokoje-parking-w-cenie-balkon-malinka-ID4ocaO</t>
  </si>
  <si>
    <t>4ocaO</t>
  </si>
  <si>
    <t>Parking | klucze na już | Park |0% prowizji</t>
  </si>
  <si>
    <t>Unikatowy apartament z widokiem. Bez prowizji, oszczędzasz aż 30 000 zł!Parking w hali garażowej - ROK ZA DARMO - oszczędzasz kolejne 5 400 zł.Wyjątkowa lokalizacja przy Starym Browarze od strony Parku Dąbrowskiego. Latem zielone, zimą uroczo. Kameralna uliczka Piekry 13b.LokalizacjaZamieszkaj w centrum wszystkiego, co najlepsze. Piekary Residence to synonim wygody i prestiżu, otoczony najlepszymi poznańskimi restauracjami, z których każda jest na wyciągnięcie ręki. Ciesz się wykwintnymi śniadaniami, wyśmienitymi obiadami, a wieczory umilaj sobie najlepszą pizzą w mieście.Rozrywka i niezbędne usługi, takie jak fryzjer, lekarz czy poczta, są tuż obok. A gdy najdzie Cię ochota na chwilę relaksu, wystarczy, że w przysłowiowych kapciach oddalisz się 70 metrów od kamienicy - tam czeka na Ciebie Park Dąbrowskiego.ApartamentLuksusowy apartament o powierzchni ponad 90 mkw. to jedyna taka nieruchomość w tym budynku. Stworzona specjalnie dla najbardziej wymagających osób, które chcą czuć przestrzeń, lecz jednocześnie pozostać w ścisłym centrum miasta.Metraż wizualnie wydaje się znacznie większy, dzięki 3-metrowej wysokości ścian. Wrażenie przestrzeni intensyfikują duże balkonowe okna, które doskonale doświetlają pomieszczenia.Apartament oddajemy Ci w stanie deweloperskim. Jego funkcjonalny rozkład i przestrzeń z pewnością zachwycą każdego projektanta wnętrz, który stworzy dla Ciebie projekt mieszkania marzeń.BudynekZachwycająca sztukateria i klatka schodowa z doświetleniami szklanymi to tylko początek. Grube ściany z cegły gwarantują naturalną klimatyzację oraz doskonałą izolację akustyczną. Kamienica przeszła gruntowną renowację, łącząc zabytkową architekturę z nowoczesnymi udogodnieniami, w tym szybkim internetem i windami.Dlaczego to dobry wybór?Inwestycja w apartament w Piekary Residence to pewność wzrostu wartości. Porównując z warszawskimi cenami, Poznań oferuje atrakcyjne warunki zakupu w zabytkowym budynku. To nie tylko komfortowe miejsce do życia, ale i bezpieczna inwestycja finansowa dla Ciebie i Twoich bliskich.Takie apartamenty jak ten bardzo rzadko trafiają na rynek. Raczej przekazywane są z pokolenia na pokolenie, gdyż przy zabytkowym statusie nieruchomości ich wartość nieustannie rośnie. Jeśli udało Ci się trafić na to ogłoszenie, gdy jest jeszcze dostępne, to znaczy, że masz szczęście. Wykorzystaj je, bo tej nieruchomości nie przewidujemy długiego żywota na otodom. Tak unikatowy apartament z pewnością szybko znajdzie właściciela. I kto wie, być może będziesz nim Ty. Jeśli odpowiednio szybko wykonasz pierwszy krok do jego zakupu.Skontaktuj się z naszym Opiekunem Klienta i podejmij działanie.Adrian Olczak - Opiekun Klientatel. 797 544 484</t>
  </si>
  <si>
    <t>https://www.otodom.pl/pl/oferta/parking-klucze-na-juz-park-0-prowizji-ID4o9TG</t>
  </si>
  <si>
    <t>4o9TG</t>
  </si>
  <si>
    <t>Kawalerka 22 M2 Centrum Świdnik</t>
  </si>
  <si>
    <t>Świdnik, świdnicki, lubelskie</t>
  </si>
  <si>
    <t>OFERTA TYLKO U NAS W BIURZE! - wyłącznośćZapraszam do zapoznanie się z ofertą sprzedaży mieszkania w centrum Świdnika.Mieszkanie położone na 3 piętrze niskiego bloku z 1970 r.Mieszkanie po generalnym remoncie sprzedawane z pełnym wyposażeniem!!!Mieszkanie z księgą wieczystą: Odrębna własnośćNa nieruchomość o powierzchni 22 m2 składają się:	pokój z kuchnią 18,20 m2	łazienka z wc 2,1 m2	przedpokój 1,7 m2Czynsz w wysokości ok. 240zł/1os. Do mieszkania przynależy piwnica o pow. 3 m2W pobliżu targ, szkoły, apteki, przystanek mpk.JEŻELI SZUKASZ FINANSOWANIA TEGO MIESZKANIA, WSPÓŁPRACUJĘ ZE SKUTECZNYM DORADCĄ KREDYTOWYM,USŁUGA KREDYTOWA JEST BEZPŁATNA.Zapraszam na prezentacje.Remigiusz Baran514807941 ::oferta eksportowana z programu mediaRent::</t>
  </si>
  <si>
    <t>https://www.otodom.pl/pl/oferta/kawalerka-22-m2-centrum-swidnik-ID4o9cu</t>
  </si>
  <si>
    <t>4o9cu</t>
  </si>
  <si>
    <t>Ostatnie 2 pokojowe mieszkanie - granica Poznania</t>
  </si>
  <si>
    <t>ZAKUP OD DEWELOPERA, BEZ PODATKU PCC 2% ORAZ BEZ PROWIZJIKONTAKT DO BIURA SPRZEDAŻY: Mateusz Wachowiak 605 262 690, Nasz zespół doradców finansowych bezpłatnie przygotuje dedykowaną ofertę kredytowania zakupu nieruchomości, w oparciu o zasoby wszystkich wiodących banków na rynku.Prezentowane mieszkanie znajduje się na I piętrze kameralnego domu wielorodzinnego i składa się z 2 pokoi w tym salonu z aneksem kuchennym i balkonu,. Powierzchnia wynosi 36,63 m².Termin ukończenia budowy: 30.06.2024Mieszkanie znajduje się na nowo powstającym osiedlu pod Poznaniem.  Etap IV obejmuje budowę sześciu budynków mieszkalnych wielorodzinnych, w których łącznie znajdować się będzie 36 mieszkań, 12 hal garażowych (dwustanowiskowa każda) oraz 18 lokali handlowo-usługowych.NAJWAZNIEJSZCZE CECHY INWESTYCJI:- Wysoki standard przy atrakcyjnej cenie- Dobry dojazd do Poznania- Urokliwe lasy i tereny zielone, a tym samym liczne trasy rowerowe i ścieżki spacerowe- Strefa sportowa:  mieszkańcy będą mieli do swojej dyspozycji specjalną strefę, gdzie powstanie nowoczesne boisko wielofunkcyjne. Piłka nożna w połączeniu z tenisem, piłką ręczną, koszykówką oraz pozostałymi dziedzinami sportu Poza boiskiem, powstanie także siłownia plenerowa (park street workout) pełna nowoczesnego sprzętu.- Dla dzieci w różnym wieku, przygotowany zostanie ogrodzony, bezpieczny i atestowany plac zabaw. Będzie to niepowtarzalne centrum małego mieszkańca, sprzyjające integracji i wspólnej zabawie wszystkich dzieci mieszkających na terenie osiedla. Nie zabraknie piaskownicy, huśtawek, zjeżdżalni czy ścianki wspinaczkowej. Będą oczywiście też inne, najnowocześniejsze atrakcje i urządzenia. Usytuowanie placu, z zachowaniem odpowiednich odległości od dróg i budynków mieszkalnych będzie gwarantowało, że dzieci będą mogły czuć się swobodnie, a rodzice ze spokojem przyglądać się uciechom podopiecznych.- Strefa zieleni została tak zaprojektowana, aby stanowić atrakcyjną scenerie miejsca wypoczynku, pozwalającą jednocześnie na relaks i nawiązywanie kontaktów z innymi mieszkańcami. W przygotowanym miejscu mogą odbywać się rodzinne pikniki, spotkania czy małe eventy. To będzie także miejsce na jogę, stretching czy inne ćwiczenia sprzyjające lepszemu samopoczuciu. Liczne ławki to zachęta na popołudnie z książką w otoczeniu zieleni.- Strefa komercyjna: Na terenie osiedla powstanie aż 27 takich lokali. Większość podstawowych potrzeb czy zakupów będzie możliwa do realizacji na miejscu, bez potrzeby wyjeżdżania z osiedla. W strefie pojawią się restauracja, kawiarnia, sklep spożywczy, usługi i gabinety specjalistyczne oraz wiele, wiele innych.- Przedszkole: Na osiedlu będzie funkcjonować nowoczesne przedszkole wraz ze żłobkiem. Działalność takiej placówki dydaktycznej tuż pod domem to oczywiście niepodważalny komfort i wygoda oraz bezpieczeństwo naszych pociech.  Przedszkole na terenie osiedla to jedno z najważniejszych udogodnień. Mieszkańcy, rodzice, nie będą musieli mierzyć się z pojawiającym się nagminnie problemem braku miejsc w przedszkolach publicznych, a dodatkowo zaoszczędzą mnóstwo czasu.- Dodatkowe udogodnienia: Poza strefą sportu, zieleni i placem zabaw pojawią się także inne, liczne usprawnienia, tak by pod ręką było to wszystko co jest potrzebne do komfortowego życia.  Na dachach wszystkich budynków, niezależnie od typu, będą zamontowane panele fotowoltaiczne. Planowane jest również zainstalować na terenie osiedla stację ładowanie samochodów elektrycznych, ławki solarne oraz domki dla owadów. W trosce o bezpieczeństwo część dróg wewnętrznych będzie jednokierunkowa, a dodatkowo pojawią się progi zwalniające. Planowane jest także specjalne miejsce na paczkomat.Zapraszamy do kontaktu oraz na prezentację. W ofercie dostępne wszystkie mieszkania w inwestycji, również w kolejnych etapach.</t>
  </si>
  <si>
    <t>https://www.otodom.pl/pl/oferta/ostatnie-2-pokojowe-mieszkanie-granica-poznania-ID4kiWM</t>
  </si>
  <si>
    <t>4kiWM</t>
  </si>
  <si>
    <t>Już w sprzedaży IV etap ul. Leśna</t>
  </si>
  <si>
    <t>ul. Leśna, Oleśnica, oleśnicki, dolnośląskie</t>
  </si>
  <si>
    <t>Inwestycja realizowana jest przy ul. Leśnej w Oleśnicy.
Apartamenty Leśna Polana realizuje firma JPS Development Sp. z o.o. Jest to przedsięwzięcie rodzinne. Tworząc dla Państwa miejsce do życia, pracy i odpoczynku, tworzymy je również dla siebie.
Szeroka gama możliwości oraz szereg mieszkań o zróżnicowanych powierzchniach i układach pomieszczeń – tutaj każdy znajdzie coś dla siebie!
Niewątpliwie największym atutem inwestycji jest jej lokalizacja – nieopodal starej ósemki obok Kauflandu, w miejscu otoczonym zielenią, z urzekającym widokiem na park- Natura 2000. W niedalekim sąsiedztwie znajdują się Stawy Oleśnickie i Kompleks Rekreacyjny Atol.
Wysoki standard wykonania, zastosowanie nowoczesnych technologii, dbałość o szczegóły to najważniejsze elementy tej inwestycji.
Zalety "Apartamentów Leśna Polana":
- duża liczba miejsc parkingowych- 85+2 dla osób niepełnosprawnych,
- winda,
- balkony i tarasy,
- automatyczne rolety zewnętrzne, podtynkowe w mieszkaniach na parterze,
- oszczędne i ekologiczne źródło ogrzewania – ogrzewanie miejskie,
- niskie koszty utrzymania,
TERMIN REALIZACJI - kwiecień 2024r.</t>
  </si>
  <si>
    <t>https://www.otodom.pl/pl/oferta/juz-w-sprzedazy-iv-etap-ul-lesna-ID4mCnJ</t>
  </si>
  <si>
    <t>4mCnJ</t>
  </si>
  <si>
    <t>Mieszkanie trzypokojowe z werandą i ogrodem!</t>
  </si>
  <si>
    <t>Śródmieście, Jelenia Góra, dolnośląskie</t>
  </si>
  <si>
    <t xml:space="preserve">                                     Mieszkanie trzypokojowe z werandą i ogrodem!  
Oferuję na sprzedaż ładne i duże mieszkanie, położone przy centrum miasta Jeleniej Góry, okolice Małej Poczty 
Lokal położony na wysokim parterze w kamienicy, z bezpośrednim wejściem do ogrodu.
Na powierzchnię mieszkania składają się nastepujace pomieszczenia:
salon, dwie sypialnie, kuchnia, łazienka z WC, dwie werandy, przedpokój.
Dodatkowo przyleży piwnica, wiata i ogródek.
Mieszkanie słoneczne i zadbane z możliwością zamieszkania od zaraz!
Lokal może być wykorzystany na mieszkanie lub na działalność biurową, ponieważ usytuowany jest w bardzo dobrej lokalizacj, dodatkowo  posiada dwa wejścia do mieszkania!
W pobliżu dostęp do przystanku autobusowego, sklepów, szkoły, terenów zielonych, 10 minut piechotą do centrum miasta.
  Świetna propozycja na działalność biurową !  
Serdecznie zapraszam na prezentację.::DODATKOWE INFORMACJE Kategoria oferty: mieszkania w kamienicyRodzaj budynku: kamienicaPiętro: wysoki parterGłośność: cicheWidok: na podwórkoGaz: tak - miejskiWoda: tak - miejskaDojazd: asfaltOtoczenie: kamieniceOgrzewanie: dwufunkcyjny piec gazowyNadaje się na biuro: TAKKomunikacja publ.: kolej, autobus miejskiWinda: NIERozkład: dwustronne rozkładoweUsytuowanie: szczytoweTeren ogrodzony: TAKOpłaty w czynszu: Opłata eksploatacyjna, Fundusz remontowyOpłaty wg liczników: Internet, Gaz, Prąd, Woda, CORodzaj mieszkania: jednopoziomowePiwnica [m2]: 38,3300Piwnica: TAKWystawa okien: Wsch, PdStan lokalu: Do wprowadzeniaOkna: PCVInstalacje: noweBalkon: brakTarasy: taras duzyLiczba tarasów: 1Powierzchnia ogródka [m2]: 1060Powierzchnia użytkowa [m2]: 80,0800Liczba pokoi: 3Wysokość pomieszczeń [m]: 3Ilość sypialni: 2Podłogi pokoi: paneleŚciany pokoi: farba emulsyjnaWystawa okien - pokoje : Wsch, PdTyp kuchni: oddzielnaRodzaj kuchni: z zabudową kuchennąPodłoga kuchni: terakotaWystawa okien - kuchnia: WschTyp łazienki: razem z wc, z oknemLiczba łazienek: 1Glazura łazienki: nowego typuWyposażenie łazienki: natryskŚciany łazienki: farba emulsyjna, glazuraWystawa okien - łazienka : WschLiczba przedpokoi: 1Podłoga przedpokoi: terakotaŚciany przedpokoi: farba emulsyjna
Pośrednik odpowiedzialny zawodowo za wykonanie umowy pośrednictwa: Michał Stępień (licencja nr: 12484)
</t>
  </si>
  <si>
    <t>https://www.otodom.pl/pl/oferta/mieszkanie-trzypokojowe-z-weranda-i-ogrodem-ID4nSQz</t>
  </si>
  <si>
    <t>4nSQz</t>
  </si>
  <si>
    <t>✅ Nowe, już wybudowane, 3-pok. - w centrum Gliwic</t>
  </si>
  <si>
    <t>ul. Mikołowska, Politechnika, Gliwice, śląskie</t>
  </si>
  <si>
    <t xml:space="preserve">
Komfortowe, 3-pokojowe mieszkanie z ogródkiem, zlokalizowane w nowej inwestycji "Apartamenty Mikołowska" w samym sercu Gliwic.
Charakterystyka Mieszkania:
Powierzchnia mieszkania: 59,38 m2
Ogródek o powierzchni: 12,00 m2
Stan deweloperski
Powierzchnie poszczególnych pomieszczeń: 
Hol - 7,54 m2
Pokój z aneksem - 22,05 m2
Pokój - 14,51 m2
Pokój - 10,49 m2
Łazienka - 4,59 m2 
Dodatkowe Atuty:
Słoneczny salon i ogródek skierowany na południe
Budynek wyposażony w windę 
Przestronne podwójne "rodzinne" miejsce postojowe w cenie 55 000 zł
Dwie komórki lokatorskie o łącznej powierzchni 9,34 m2, tuż obok miejsc parkingowych w cenie 41 850 zł 
Gotowy projekt wykończenia przygotowany przy współpracy z architektem 
Lokalizacja:
Samo centrum Gliwic, zaledwie 500 m od Rynku
Blisko wszelkich udogodnień i punktów usługowych
Dogodny dostęp do komunikacji publicznej i głównych arterii miasta
W razie jakichkolwiek pytań, zachęcam do kontaktu : 507 988 963</t>
  </si>
  <si>
    <t>https://www.otodom.pl/pl/oferta/nowe-juz-wybudowane-3-pok-w-centrum-gliwic-ID4o21t</t>
  </si>
  <si>
    <t>4o21t</t>
  </si>
  <si>
    <t>mieszkanie na Ursynowie, z ogrodem 110 metrów!</t>
  </si>
  <si>
    <t>ul. Albatrosów, Stary Imielin, Ursynów, Warszawa, mazowieckie</t>
  </si>
  <si>
    <t xml:space="preserve">Obejrzyj krótki film video!Nie zwlekaj, nie daj się uprzedzić innym. Na sprzedaż dwupokojowe, pełne słońca mieszkanie na warszawskim Ursynowie - ulica Albatrosów 3, róg Mysikrólika, tuż obok Puławskiej. Nowe budownictwo - niski budynek, niewiele mieszkań, trzy klatki schodowe. Mieszkanie typu studio - otwarta przestrzeń dzienna z aneksem kuchennym i przedpokojem z dwiema praktycznymi szafami, sypialnia w amfiladzie.Duże okna w kierunku południowym zapewniają duże nasłonecznienie.Kuchnia w zabudowie z wyspą pozwala na wygodne przygotowanie posiłków.Obok kuchni wejście do niewielkiej łazienki z prysznicem.Z drugiej strony pokoju dziennego przejście do zaskakująco dużej sypialni z garderobą, z sypialni wyjście drzwiami balkonowymi (kierunek - południe) na ogromny taras/ogród na dachu wiaty garażowej, pozwalający na wypoczynek w bliskim kontakcie z naturą. Można zamieszkać bez większych nakładów. Odległość od centrum Warszawy - 8 km, od lotniska Okęcie - ok. 4 km, od wyjazdu na autostradę ok. 1.5 km, od najbliższego wejścia do Lasu Kabackiego - niecały kilometr.  Do mieszkania przynależy miejsce postojowe w garażu, płatne osobno, cena 30 000 zł - zakup łączny.Zapraszamy - lokal dostępny od ręki.  </t>
  </si>
  <si>
    <t>https://www.otodom.pl/pl/oferta/mieszkanie-na-ursynowie-z-ogrodem-110-metrow-ID4lAau</t>
  </si>
  <si>
    <t>4lAau</t>
  </si>
  <si>
    <t>Przyjaźni!3 pokoje!niski blok!</t>
  </si>
  <si>
    <t xml:space="preserve">Na sprzedaż mieszkanie do wykończenia w zadbanym ocieplonym bloku w Poznaniu na osiedlu Przyjaźni - niski blok!.
Bliskość centrum miasta czyni tą lokalizacją atrakcyjną. Mieszkanie świetnie nadaje się do zamieszkania przez rodzinę z dzieckiem lub na wynajem dla studentów ze względu na bliskość poznańskich uczelni Uniwersytet Rolniczy
*szybki dojazd do centrum Poznania: 10 minut tramwajem PESTKA
*przedszkole i żłobek oraz szkoła podstawowa na osiedlu
*market - 5 minut
*przystanek MPK - 3 minuty pieszo
Mieszkanie ma powierzchnię 48 m2 i  składa się z 3 pokoi, o powierzchni 15m2, 14,4m2, 6,9m2, korytarza 3,6m2, oddzielnej kuchni o pow. 7,1m2 i łazienki 2,6m2.
Dodatkowo do mieszkania przynależy piwnica o pow: 3,4m2
Parking na terenie osiedla lub w pobliży parkingi strzeżone
Cena: 489 000 zł
Zapraszam na prezentację
Republika Nieruchomości
Maciej:  722 046 765
</t>
  </si>
  <si>
    <t>https://www.otodom.pl/pl/oferta/przyjazni-3-pokoje-niski-blok-ID4o1W9</t>
  </si>
  <si>
    <t>4o1W9</t>
  </si>
  <si>
    <t>Foresta Marcelin 3-pokojowe NOWA INWESTYCJA</t>
  </si>
  <si>
    <t xml:space="preserve">Chcesz skorzystać z kredytu 2% - skontaktuj się z Biurem Sprzedaży.
Inwestycja realizowana jest przez dewelopera PEKABUD-MORASKO INWESTYCJE SP. Z O.O. przy ul. Smoluchowskiego 15.
Kameralny budynek z trzema klatkami i tylko 91 mieszkaniami. Na inwestycji przewidziane są dwie hale garażowe z niezależnymi miejscami postojowymi, rowerowania oraz komórki lokatorskie.
Przed budynkiem znajdować się będą zewnętrzne miejsca postojowe. Budynek został zaprojektowany z zielonym patio dla mieszkańców. Wszystkie mieszkania posiadają duże balkony. Standard inwestycji będzie zbliżony do zakończonej już Inwestycji dewelopera Naramowicka 106. Obiekt będzie monitorowany, zostanie zainstalowana fotowoltaika na potrzeby Wspólnoty Mieszkaniowej.
Inwestycja jest zaawansowana w 40%.
Przewidywany termin odbioru II kw. 2025r.
Prezentowany lokal 15 m14 ma powierzchnię 64,27m2 - 701 057,16zł
1.     Hall – 13,54 m2
2.     Pokój z aneksem – 21,91 m2
3.     Pokój – 15,69 m2
4.     Pokój – 8,56 m2
5.     Łazienka – 4,57m2
6.     Balkon – 8,64 m2
Miejsce postojowe w hali garażowej – 35.640 zł
Zapraszamy do kontaktu.
Biuro sprzedaży mieszkań tel. 509855888 pon-pt 9-17
 Poprzednie inwestycje Dewelopera:
Naramowicka106/106A
Wille Marysieńki ul. Mateckiego 21A-J
Florentyny Luboińskiej 3/3A/3B
Karpia25/25B
Batorego 55/53
</t>
  </si>
  <si>
    <t>użytkowanie wieczyste / dzierżawa</t>
  </si>
  <si>
    <t>https://www.otodom.pl/pl/oferta/foresta-marcelin-3-pokojowe-nowa-inwestycja-ID4o7Xq</t>
  </si>
  <si>
    <t>4o7Xq</t>
  </si>
  <si>
    <t>Na sprzedaż 3 pokoje w bloku na parterze</t>
  </si>
  <si>
    <t>Morzyca, Dolice, stargardzki, zachodniopomorskie</t>
  </si>
  <si>
    <t>Wyłącznie u nas!Prezentuję Państwu ofertę sprzedaży mieszkania w miejscowości Morzyca ( Gmina Dolice ).To przestronne, słoneczne mieszkanie o powierzchni 57,47 m2 jest idealnym miejscem dla osób ceniących spokój. Powierzchnia: 57,47 m2Liczba pokoi: 3 (salon, pokój dzienny, sypialnia,)Piętro: parter/1Ekspozycja: Południowy zachód, zapewniająca dużą ilość światła przez cały dzień, mieszkanie dwustronne, rozkładowe.Stan techniczny: Mieszkanie do odświeżeniaOgrzewanie: Piec na węgiel i drewno ( istnieje możliwość zrobić ogrzewanie gazowe )Ciepła woda: Piec gazowy Wyposażenie: Widoczne na zdjęciachWinda: BrakCzynsz administracyjny: brakBudynek: ocieplony, zrobiona elewacja, dach po odświeżeniu.Klatka schodowa: zadbanaInstalacja elektryczna: miedzianaOkna: PCVGłośność: CichoForma własności: Odrębna własność lokaluWidok: na ulicę, na podwórko.Miejsce postojowe: Ogólnodostępne przed nieruchomościąAtuty: Cicha i spokojna okolica.Salon-4,21x3,92, Sypialnia-3,94x3,36, Pokój dzienny-4,12x1,62, Kuchnia-3,85x3,34, Łazienka z WC- 2,58x1,23, Korytarz-2,69x1,21.Na podłodze panele i terakota, ściany gładzone i malowaneNieruchomość składa się z:- Pokój dzienny - Sypialnia- Salon- Łazienka z WC- Kuchnia - Korytarz Rok budowy 1986ZALETY:Nieruchomość zlokalizowana jest w małej miejscowości z przystankiem autobusowym oraz przystankiem kolejowym PKP, W pobliżu boisko, plac zabaw, Nieopodal rzeka, park.4 km dalej w miejscowości Dolice znajduję się: biedronka, przychodnia zdrowia, bank, szkoły podstawowe, posterunek policji, OSP, fryzjer, oraz wiele innych licznych punktów sklepowych czy usługowych.
18 km do Stargardu
30 km do PyrzycZ własnością tego lokalu związany jest udział wynoszący 6,62% w częściach wspólnych budynku i prawie własności działek o łącznej powierzchni 6749 m2. ( 446,78 m2)
Do mieszkania przynależy piwnica, oraz wspólna kotłownia i strych.
Cena do negocjacjiWięcej informacji udzielę telefonicznieZapraszam na prezentację.Biuro nieruchomości pobiera wynagrodzenie</t>
  </si>
  <si>
    <t>https://www.otodom.pl/pl/oferta/na-sprzedaz-3-pokoje-w-bloku-na-parterze-ID4n7i5</t>
  </si>
  <si>
    <t>4n7i5</t>
  </si>
  <si>
    <t>Dwupokojowe mieszkanie przy Rondzie Onz</t>
  </si>
  <si>
    <t>al. Aleja Jana Pawła II, Śródmieście Północne, Śródmieście, Warszawa, mazowieckie</t>
  </si>
  <si>
    <t>Mieszkanie w ścisłym centrum Warszawy o powierzchni 39,5 m2 w budynku z lat 70, posiadający 6 wind. Mieszkanie składa się z dwóch oddzielnych pokoi, oddzielnej kuchni oraz łazienki. W pełni umeblowane i wyposażone w niezbędny sprzęt AGD. Możliwość zamieszkania od razu.LokalizacjaLokal usytuowany przy ul. Alei Jana Pawła II 20, mieści się na 3 z 15 pięter. Centrum Warszawy - jeden przystanek od Dworca Centralnego, 2 minuty pieszo do Ronda ONZ i tym samym metra. W pobliżu liczne sklepy, drogerie, restauracje, szkoły, apteki, fitness itp.Szczegóły:Okna wychodzą na patio (stosunkowo cicho biorąc pod uwagę ścisłe Centrum) na stronę zachodnią. Balkon francuski.
Forma właśności: Spółdzielcze własnościowe z możliwością założenia KW
Firma zarządzająca budynkiem: Śródmiejska Spółdzielnia Mieszkaniowa
Czynsz administracyjny: 950złZapraszam na kontaktu i oglądania.Powyższa oferta nie stanowi oferty handlowej w rozumieniu art. 66 § 1 kodeksu cywilnego oraz innych właściwych przepisów prawnych. Informacje umieszczone w ofertach przekazywane są przez właścicieli nieruchomości i mogą ulegać zmianom. Staramy się, aby wszystkie oferty były jak najbardziej aktualne i odpowiadały stanowi rzeczywistemu.</t>
  </si>
  <si>
    <t>https://www.otodom.pl/pl/oferta/dwupokojowe-mieszkanie-przy-rondzie-onz-ID4oe4w</t>
  </si>
  <si>
    <t>4oe4w</t>
  </si>
  <si>
    <t>Atrakcyjne dwa pokoje w nowym budownictwie</t>
  </si>
  <si>
    <t>Kośminek, Lublin, lubelskie</t>
  </si>
  <si>
    <t>Na sprzedaż oferuję Państwu mieszkanie zlokalizowane na Bronowicach.Mieszkanie jest usytuowane na drugim piętrze niskiego bloku wybudowanego w 2009 roku.Teren budynku jest ogrodzony i monitorowany. Bardzo kameralne osiedle z placem zabaw na dziedzińcu.Mieszkanie o powierzchni 56,30 m2 składa się z:-oddzielnej kuchni,-sypialni,-dużego salonu z wyjściem na balkon,-łazienki z toaletą,-przestronnego przedpokoju.Mieszkanie jest ustawne i przestronne o zachodniej ekspozycji. Dużym atutem nieruchomości jest brak sąsiadów za oknami :)Widok na ogródki działkowe. Mieszkanie sprzedawane z częściowym umeblowaniem.Niskie koszty utrzymania, czynsz dla wspólnoty wynosi 317 zł. Ogrzewanie oraz woda ciepła z pieca dwufunkcyjnego. Średni koszt miesięczny w okresie zimowym wynosi około 200 zł.Dla przyszłych właścicieli do wyłącznego użytku jest przypisane naziemne miejsce parkingowe już w cenie mieszkania!Komfortowa lokalizacja, dobrze skomunikowana z pozostałymi częściami miasta. W pobliżu przychodnia, szkoła podstawowa, sklep spożywczy i przystanki autobusowe. Zapraszam na prezentacje!Oferta wysłana z programu dla biur nieruchomości ASARI CRM ()</t>
  </si>
  <si>
    <t>https://www.otodom.pl/pl/oferta/atrakcyjne-dwa-pokoje-w-nowym-budownictwie-ID4ooz2</t>
  </si>
  <si>
    <t>4ooz2</t>
  </si>
  <si>
    <t>Piękne,konfortowe mieszkanie 200m od morza</t>
  </si>
  <si>
    <t>Jastarnia, Jastarnia, pucki, pomorskie</t>
  </si>
  <si>
    <t xml:space="preserve">Biuro nieruchomości Cravtt Property ma przyjemność zaprezentować do sprzedaży, mieszkanie w nowym apartamentowcu &amp;quot;WILLA JASTARNIA, 200m od molo w Jastarni o powierzchni 47,48 m2.W skład lokalu wchodzą:- salon z aneksem kuchennym,- sypialnia 1,- sypialnia 2,- hall,- łazienka,- 2 balkony jeden 7,36m2 drugi 3,92m2Możliwość zakupu miejsca w garażu podziemnym lub miejsca postojowego naziemnegoMieszkanie w stanie deweloperskim, położone na parterze budynku. Okna zwrócone na trzy strony świata.Willa Jastarnia to komfortowe mieszkania położone w miejscowości Jastarnia, na Półwyspie Helskim,  przy ul. Mickiewicza bezpośrednio przy głównym deptaku miejskim oraz w odległości 200 m od molo i portu. W budynku zaplanowano apartamenty na trzech kondygnacjach w różnej konfiguracji przestrzennej i wielkościowej .&amp;bdquo;Willa Jastarnia&amp;rdquo; to 10 mieszkań jedno, dwu i trzypokojowych o metrażach od 24,03 m2 do 47,48 m2. Niewątpliwą atrakcją jest 2 piętro budynku, w którym zaprojektowano 2 mieszkania dwupokojowe z możliwością aranżacji na trzypokojowe z wspaniałymi widokami na Zatokę Pucką. Do Willi należy także 10 miejsc postojowych, z których 6 zlokalizowanych zostało w garażu budynku a  4 znajdują się wokół budynku wśród zieleni, trawników i okazałych drzew.  Odpowiadając na potrzeby Naszych klientów wszystkie mieszkania posiadają klimatyzację. Dajemy również możliwość połączenia poszczególnych mieszkań celem uzyskania większych metraży. Nowoczesna elewacja w stonowanej modnej kolorystyce to zamysł projektantów, którzy w sposób funkcjonalny a zarazem nowoczesny uchwycili klimat nadmorskiej Jastarni.Zakończenie inwestycji jeszcze w tym roku.Zapraszam na prezentacjęMagdalena Szczepaniak609 48 48 67 </t>
  </si>
  <si>
    <t>https://www.otodom.pl/pl/oferta/piekne-konfortowe-mieszkanie-200m-od-morza-ID4oA17</t>
  </si>
  <si>
    <t>4oA17</t>
  </si>
  <si>
    <t>3 pokoje po generalnym remoncie, Powiśle</t>
  </si>
  <si>
    <t>ul. Górnośląska, Powiśle, Śródmieście, Warszawa, mazowieckie</t>
  </si>
  <si>
    <t>3 pokoje po generalnym remoncie, 47m2, PowiśleCicha i spokojna i zielona okolica w centrum Warszawy.Mieszkanie o powierzchni 47 m2 znajduje się na 5 piętrze budynku z 1972 roku. Klatka schodowa oraz winda czysta i zadbana. Mieszkanie składa się z salonu z wyjściem na balkon, oddzielnej widnej kuchni, dwóch sypialni, łazienki z kabiną prysznicową oraz korytarza z szafą na okrycia wierzchnie. W lokalu został przeprowadzony generalny remont:Wyciszenie stropu, nowe podłogi, gładzie gipsowe, okna, drzwi oraz cała instalacja elektryczna. Do mieszkania przynależy piwnica oraz komórka lokatorska. Stan prawny: mieszkanie spółdzielczo-własnościowe z KW, możliwy zakup na kredyt.Czynsz: 740 zł z zaliczkami na media.Zapraszam do kontaktu.Niniejsze ogłoszenie nie stanowi oferty w rozumieniu Kodeksu Cywilnego, lecz ma charakter informacyjny.Przedstawione wizualizacje i grafiki mają charakter wyłącznie poglądowy i stanowią wyłącznie materiał pomocniczy, ułatwiający zorientowanie się w ogólnym wyglądzie oferowanej nieruchomości.Niniejsze ogłoszenie wraz z jego elementami jest własnością  Północ Nieruchomości Sp z o.o.  lub podmiotu współpracującego.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Północ Nieruchomości Sp z o.o. lub podmiotów współpracujących jest zabronione i może stanowić podstawę odpowiedzialności cywilnej oraz karnej.Niniejsze materiały stanowią tajemnicę przedsiębiorstwa PÓŁNOC NIERUCHOMOŚCI Sp. z o.o.  w rozumieniu ustawy z dnia 16 kwietnia 1993 r. o zwalczaniu nieuczciwej konkurencji (Dz. U. z 2003 r., Nr 153, poz. 1503 z późn. zm.).Oferta wysłana z programu dla biur nieruchomości ASARI CRM ()</t>
  </si>
  <si>
    <t>https://www.otodom.pl/pl/oferta/3-pokoje-po-generalnym-remoncie-powisle-ID4oHt5</t>
  </si>
  <si>
    <t>4oHt5</t>
  </si>
  <si>
    <t>Wiślany Mokotów | 2 pokoje | Nowe</t>
  </si>
  <si>
    <t>Siekierki, Mokotów, Warszawa, mazowieckie</t>
  </si>
  <si>
    <t>Mam przyjemność zaprezentować Państwu przestronną oraz rozkładową nieruchomość, przeznaczoną dla tych, którzy pragną uciec od miejskiego zgiełku, zachowując jednocześnie wyjątkową bliskość do centrum. ⇨ LokalizacjaPrzez Mokotów przebiegają liczne linie tramwaje, autobusowe i I linia metra. Most Siekierkowski łączy dzielnicę z prawobrzeżną częścią Warszawy, a ważnymi arteriami są: Wisłostrada, Al. Niepodległości, Al. Wilanowska oraz ulice: Puławska, Czerniakowska, Woronicza.⇨ Nieruchomość Przedmiotem oferty jest mieszkanie zlokalizowane na 2-piętrze o łącznej powierzchni 37,73m2. Do mieszkania przynależy miejsce postojowe w garażu podziemnym dodatkowo płatne. Mieszkanie składa się z:• wyposażonej kuchni otwartej na salon z rozkładaną kanapą, szafką RTV i telewizorem. • sypialni, w którym znajdziemy bardzo pojemną szafę i łóżko (łącznie z pościelą).• w pełni wyposażoną łazienkę (wanna + pralka).• przedpokoju. Mieszkanie jest w pełni umeblowane i wyposażone w niezbędne sprzęty AGD oraz klimatyzację, gotowe do zamieszkanie od zaraz. Nieruchomość nigdy nie była zamieszkiwana.⇨ OkolicaRejon, w którym wygodnie i bezpiecznie mieszka już kilka tysięcy osób, gdzie dominują kameralne, zatopione w zieleni budynki. Budynki posiadają od 5 do 6 kondygnacji naziemnych wraz z parterem oraz 1 kondygnację podziemną. W najbliższej okolicy inwestycji znajduje się 15 placówek edukacyjnych. Najbliżej położone to: Kapciuszek w odległości 290 m, Wesoły Pingwinek w odległości 350 m, Przedszkole Omega w odległości 500 m.Obiekt jest chroniony oraz monitorowany, co daje poczucie bezpieczeństwa i komfortu mieszkańców. Zapraszam na prezentację nieruchomości oraz do kontaktu telefonicznego!Jestem do Państwa dyspozycji 7 dni w tygodniu od 9:00 do 22:00.Opiekun oferty: Agata PierógDoradca ds. Nieruchomości Unique Partners575 366 952</t>
  </si>
  <si>
    <t>https://www.otodom.pl/pl/oferta/wislany-mokotow-2-pokoje-nowe-ID4o0Zd</t>
  </si>
  <si>
    <t>4o0Zd</t>
  </si>
  <si>
    <t>PROMOCJA | Narożne M3 | Odbierz klucze już dziś!</t>
  </si>
  <si>
    <t>Zawidawie, Psie Pole, Wrocław, dolnośląskie</t>
  </si>
  <si>
    <t>PROMOCJA | Narożne M3 | Odbierz klucze już dziś!
⭐Brak PCC!⭐Brak Prowizji - BEZPOŚREDNIO od dewelopera! ⭐Brak dodatkowych kosztów oraz gwarancja ceny!⭐Dowiedz się więcej 796-907-528 ☎
Marzysz o mieszkaniu, które spełni wszystkie Twoje oczekiwania?2 godziny - tyle czasu potrzebujemy, by znaleźć dla Ciebie wymarzone mieszkanie! Bezpłatnie!✅
Dlaczego my?✓ Nasza oferta mieszkań zawiera dodatkowo bezpłatną konsultację z doradcą finansowym!✓ Możliwość bezpłatnej prezentacji oraz rezerwacji mieszkania!✓ Posiadamy ponad 80 inwestycji we Wrocławiu i okolicach!✓ Obsłużymy Cię nawet do godziny 21-00! Nie czekaj 796-907-528!✓ Ponad 300 zadowolonych klientów w całej Polsce!✓ Za polecenie naszej firmy i finalizację zakupu przez poleconą osobę, otrzymasz do 5000 zł!
Przewagi lokalizacji oraz atuty tej inwestycji:
• Odbierz kluczy i wprowadź się teraz - inwestycja jest gotowa do użytku!
• Blisko obwodnica - szybki dostęp do obwodnicy skróci czas dojazdu do pracy, szkoły i innych ważnych miejsc.
• Zielona okolica - Park Pawłowicki to dosłownie 7 minut spaceru od Twojego nowego domu.
• Masz możliwość zakupu miejsc parkingowych oraz komórek lokatorskich , ale nie jest to wymagane!
• Dla rodzin z dziećmi - plac zabaw oraz rowerownia na terenie inwestycji.
• Rolety zewnętrzne w standardzie - dodatkowy komfort i bezpieczeństwo.
• Budynki w wysokim standardzie - przekonaj się sam!
Interesują cię inne lokalizacje? Posiadamy ponad 80 inwestycji we Wrocławiu i okolicach - śmiało dzwoń do godziny 21-00 lub zostaw nam wiadomość , a my skontaktujemy się z Tobą.
☎ 796-907-528 (Pon-Pt 9-21, Sob 9-18)Igor Sieniawski - Bella Casa Nieruchomości</t>
  </si>
  <si>
    <t>https://www.otodom.pl/pl/oferta/promocja-narozne-m3-odbierz-klucze-juz-dzis-ID4oF7Y</t>
  </si>
  <si>
    <t>4oF7Y</t>
  </si>
  <si>
    <t>Sprzedam piętro domu w Tarnowie Podgórnym</t>
  </si>
  <si>
    <t xml:space="preserve">Sprzedam po kapitalnym remoncie piętro domu pow. 83,3m2 z przynależnościami w wilii miejskiej 2 lokalowej z strychem ,pom. gospodarczym (sklep ok. 36m2 )
wraz z udziałem w nieruch. wspólnej 1/2 udziału w działce o pow. łącznej 1300m2.
Piętro po kapitalnym remoncie  ,przynależności :poddasze i pom. gospodarcze o łacznej  pow. 131,1
poddasze pow. nad piętrem : standard obniżony developerski, więźba dachowa ,izolacja,folia.
Lokalizacja: Tarnowo Podgórne: ul.Rokietnicka ,budynek w stanie technicznym b.dobrym zrealizowany w latach 1932-1937,dach pokryty dachówką ceramiczna  o dachu kopertowym wykonany w technologii murowanej.
Ściany piwnic i kondygnacji nadziemnych z cegły ceramicznej, solidna konstrukcja ,stropy kleina na belkach stalowych nad parterem i piętrem, w części piwnicznej stropy Kleina na belkach stalowych ,część podłogi w piwnicy wylewana na gruncie.
Piętro stanowi niezależną część domu z wydzielonym ogrodem z nasadzeniami.
Na piętro wejście z klatki schodowej a z niej na strych Układ piętra:część dzienna o łącznej pow. ok. 34m2 to otwarta przestrzeń :salon z kozą ,jadalnia z wyjściem na taras o pow. 8,3m2,aneks kuchenny,łazienka z oknem z wanną, sypialnia 21,7m2,sypiania 2 o pow. 14,8m2
Na podłodze w salonie ,sypialniach podłoga drewniana w aneksie kuchennym,jadalni ,korytarzu i klatce schodowej glazura, ściany pomalowane emulsją, standard bdb ,okna PCV.
piętro wyposażone w szafy pod wymiar w sypialniach, korytarzu i łazienc.e
Ogrzewanie : piec gazowym 2 funkcyjny Vaillanta ,w salonie dodatkowo klimatyczna koza,w oknach rolety wewnętrzne na klatce schodowej roleta zewnętrzna.
Świetna propozycja na prowadzenie działalności z f. mieszkania.
Świetna lokalizacja,ścisłe centrum ciągi handlowe ,szkoła,urząd gminy....
Ogród w cichym miejscu, części wspólne elewacja tynk i izolacaja: stryropian 15cm.
cena 980 000zł
Wjazd na posesje z pozbruku ,możliwość parkowania na posesji .
Stan prawny :własność : lokal mieszkalny stanowiący odrębną nieruchomość wraz z przynaleznosciami: strychem i pom. gospodarczym o pow. łącznej  131,23m2 wraz z udziałem 1/2 w częściach wspólnych w tym działce o pow. 1300m2
Nieruchomość wolna od zaraz 
Piętro z klimatyzacją ciekawie zaprojektowane ,bardzo słoneczne ,ekspozycja : wschód-zachód, możliwość wydzielenia dodatkowego pokoju lub adaptacji strychu.
Polecam
Ewa Kalińska ,nr.lic pośrednik w obr. nieruch. 7919
nr.lic. zarządca nieruch.27051: 607-575-575
KALIŃSKA EWA-NIERUCHOMOŚCI
ul.Szamotulska 40,Chyby 
</t>
  </si>
  <si>
    <t>https://www.otodom.pl/pl/oferta/sprzedam-pietro-domu-w-tarnowie-podgornym-ID4nyq5</t>
  </si>
  <si>
    <t>4nyq5</t>
  </si>
  <si>
    <t>Mieszkanie, 4 pok., świetny rozkład</t>
  </si>
  <si>
    <t>Dzień dobry,
(osoba kupująca nie płaci prowizji)
Zapraszamy do zapoznania się z ofertą sprzedaży lokalu mieszkalnego położonego w Szczytnikach. 
Mieszkanie zlokalizowane jest na II piętrze budynku wielorodzinnego. Atutem osiedla jest:
- bliskość terenów zielonych, 
- spokojne sąsiedztwo domów jednorodzinnych,
- bardzo dobry dojazd do Poznania,
- przystanek autobusowy przy inwestycji,
Nieruchomość składa się z:
- salonu z aneksem kuchennym,
- sypialni,
- sypialni,
- sypialni, 
- holu,
- łazienki,
Łączna powierzchnia mieszkania to 65,68 m2.
Z uwagi na optymalne rozmieszczenie pomieszczeń mieszkanie charakteryzuje się przestronnością, plusem lokalu są bardzo duże okna.
Idealna wystawa okien.
W ofercie posiadamy również inne lokale na tej inwestycji.
W przypadku pytań proszę o kontakt telefoniczny.
Zapraszam na prezentację lokalu.
Magdalena</t>
  </si>
  <si>
    <t>https://www.otodom.pl/pl/oferta/mieszkanie-4-pok-swietny-rozklad-ID4oogY</t>
  </si>
  <si>
    <t>4oogY</t>
  </si>
  <si>
    <t>Apartament przy Forum</t>
  </si>
  <si>
    <t>UWAGA! OFERTA W PROGRAMIE "0% PROWIZJI". KOSZTY UMOWY POŚREDNICTWA PONOSI WŁAŚCICIEL NIERUCHOMOŚCI.Nowy inwestycja Kraków DębnikiTermin realizacji: IV kw 20233 pokoje z dwoma balkonami * pokój dzienny z aneksem kuchennym* 2 sypialnie* dwie łazienki Budynek zlokalizowany jest  w dzielnicy Ludwinów - Stare Dębniki w Krakowie. Bliskość Wawelu oraz Bulwarów Wiślanych jest ogromnym atutem. W odległości ok. 1 km znajduje się największy węzeł komunikacyjny Krakowa (Rondo Grunwaldzkie) skąd można się dostać do każdej części Krakowa.Inwestycja siedmiokondygnacyjna z garażem podziemnym.​ Ekspozycja: południowy-wschód Zapraszamy do zapoznania się z naszą ofertą kredytową oraz wykończenia wnętrz.Opiekun oferty: Magdalena WitkowskaNumer oferty: 32823/6342/OMS______________Powyższa oferta ma charakter informacyjny i nie stanowi oferty handlowej w rozumieniu art. 66 par. 1 Kodeksu Cywilnego oraz innych właściwych przepisów prawnych.Oferta wysłana z programu dla biur nieruchomości ASARI CRM ()</t>
  </si>
  <si>
    <t>https://www.otodom.pl/pl/oferta/apartament-przy-forum-ID4ol6B</t>
  </si>
  <si>
    <t>4ol6B</t>
  </si>
  <si>
    <t>Poniatowskiego, komfortowe 3 pokojowe z loggia</t>
  </si>
  <si>
    <t>Pilchów, Zaleszany, stalowowolski, podkarpackie</t>
  </si>
  <si>
    <t>Biuro Nieruchomości DOMINO poleca  na sprzedaż mieszkanie położone w bloku na IV piętrze,  o powierzchni 58 m kw przy ul. Poniatowskiego na osiedlu Poręby.
Lokal składa się: 2 sypialni, salonu z aneksem kuchennym, łazienki, toalety i przedpokoju. Do mieszkania przynależy piwnica i duży balkon typu loggia.
Standard:
Mieszkanie jest ciekawie zaaranżowane z myślą o zapewnieniu wygodnej przestrzeni dla rodziny, podzielone na strefę dzienną i nocną, co zapewni przestrzeń i komfort użytkowania.
Salon z aneksem kuchennym stanowi odrębną przestrzeń w której znalazło się miejsce do przygotowywania posiłków oraz do wspólnego wypoczynku. W części nocnej zaprojektowano 2 przestronne sypialnie.
Ponadto:
Lokal nie ma termy, ciepła i zimna woda dostarczane bezpośrednio z sieci miejskiej. Przed blokiem wygospodarowano liczne miejsca postojowe dedykowane dla mieszkańców bloku i ich gości.
W najbliższym otoczeniu:
Do dyspozycji nowych właścicieli pozostaje pełna infrastruktura osiedlowa, w pobliżu jest galeria Vivo, liczne sklepy, markety, puby, restauracje, ścieżki pieszo-rowerowe, bezpieczne place zabaw dla maluszków, a także szkoły, żłobki i przedszkola.
Zapraszamy do kontaktu w celu poznania szczegółów oferty. Istnieje możliwość obejrzenia lokalu po wcześniejszym uzgodnieniu.
Cena 410.000 zł</t>
  </si>
  <si>
    <t>https://www.otodom.pl/pl/oferta/poniatowskiego-komfortowe-3-pokojowe-z-loggia-ID4oxi2</t>
  </si>
  <si>
    <t>4oxi2</t>
  </si>
  <si>
    <t>Mieszkanie 80 m2, kojące widoki</t>
  </si>
  <si>
    <t>Dzień dobry, proszę się zatrzymać na chwilę. Mieszkanie pod Śremem szuka nowego właściciela - może to właśnie Ty nim będziesz :)LOKALIZACJA:Nochowo koło Śremu - niewielka wioska, kameralne osiedle - tylko 3 niskie bloki (po termomodernizacji). Wszyscy się znają, klimaty iście sielankowe.OPIS: Mieszkanie położone na 1 pietrze (z dwóch) pośrodku bloku. Kuchnia i dwa pokoje skierowane w kierunku północno zachodnim, salon i trzeci pokój na południowy wschód. Jak jesteśmy przy wschodzie - z balkonu kawa o poranku smakuje wybornie, słońce dodaje energii ;). Do mieszkania przynależna jest jeszcze piwnica - około 25 m2!! W księdze wieczystej mamy 105,3 m2. Spory salon, duża kuchnia, 3 średnie pokoje. Łazienka i osobne WC. Bardzo ergonomiczny układ mieszkania, idealny dla każdego.Ogrzewane jest z własnego pieca CO - gazowego. Opłaty do administracji niewielkie - około 400 zł, z czego za kilka lat zejdzie połowa (finansowanie termomodernizacji).Mieszkanie sprzedawane z częściowym wyposażeniem - szafa w salonie, szafa na korytarzu, biurko oraz cała kuchnia poza lodówką zostaje. Stan mieszkania pozwala na wprowadzenie się od ręki, kilka/kilkanaście lat temu przeprowadzono kapitalny remont - między innymi położono nowe tynki gipsowe. Łazienka i WC również po generalce. PODSUMOWANIE:Ciekawa pozycja i zarazem propozycja na mapie lokali mieszkalnych.Zapraszam do kontaktu, znajdziemy dogodny termin prezentacji.Andrzej KarlakOferta wysłana z programu dla biur nieruchomości ASARI CRM ()</t>
  </si>
  <si>
    <t>https://www.otodom.pl/pl/oferta/mieszkanie-80-m2-kojace-widoki-ID4ortR</t>
  </si>
  <si>
    <t>4ortR</t>
  </si>
  <si>
    <t>Apartamenty Piastów | SPRZEDANE| A02</t>
  </si>
  <si>
    <t>ul. Królowej Jadwigi, Lubań, lubański, dolnośląskie</t>
  </si>
  <si>
    <t>SPRZEDANE
NIERUCHOMOŚCI PAWLIŃSKI DEWELOPER ZIELONA GÓRA - Sprawdź wszystkie inwestycje na naszej stronie WWW
NOWA INWESTYCJA
„Apartamenty Piastów” przy ul. Królowej Jadwigi to zespół dwóch nowoczesnych budynków wielorodzinnych, trzykondygnacyjnych z komfortowymi windami. Dodatkowo zaplanowanoponad 100 miejsc parkingowych dla mieszkańców i gości.
I Etap obejmuje budowę budynku mieszkalnego, w którym zaprojektowano 51 przestronnych mieszkań o powierzchni od 24,02 m2 do 54,89 m2. Apartamenty posiadają przeszklone i ustawne balkony, natomiast dla lokali na parterze przewidziano tarasy z ogródkami, dające dodatkowe możliwości wykorzystania przestrzeni mieszkalnej. W ramach I etapu inwestycji oferujemy Państwu 31 prywatnych miejsc parkingowych oraz 20 miejsc ogólnodostępnych.
 „Apartamenty Piastów” są pierwszą inwestycją w Lubaniu o tak wysokim standardzie wykonania.
ATUTY:
Pierwsze osiedle w mieście Lubań, o tak wysokim standardzie wykonania.
Pełne zagospodarowanie osiedla w drogi, chodniki, podjazdy, parkingi i tereny zielone.
Funkcjonalny i przemyślany układ pomieszczeń dający duże możliwości aranżacji wnętrz.
Prywatne ogrody w cenie mieszkań na parterze.
Ponad 100 miejsc parkingowych, także przynależnych do mieszkań.
Przeszklone i ustawne balkony oraz cichobieżne windy.
Apartamenty w niedalekiej odległości od centrum miasta, szkoły i sklepów.
U nas dostaniesz rządowy kredyt 2 %!
,,Apartamenty Piastów” to wyjątkowa inwestycja w skali regionu i pierwsza w Lubaniu o tak wysokim standardzie wykonania.
NIERUCHOMOŚĆ BĘDZIE ODDANA DO UŻYTKU W STANIE DEWELOPERSKIM.
MEDIA:
prąd
woda
kanalizacja miejska
c.o. miejskie
światłowód
Zapraszamy do kontaktu !</t>
  </si>
  <si>
    <t>https://www.otodom.pl/pl/oferta/apartamenty-piastow-sprzedane-a02-ID4mkMH</t>
  </si>
  <si>
    <t>4mkMH</t>
  </si>
  <si>
    <t>Nowe narożne mieszkanie w Miasteczku Ożarów</t>
  </si>
  <si>
    <t>Inżynierska, Ożarów Mazowiecki, Ożarów Mazowiecki, warszawski zachodni, mazowieckie</t>
  </si>
  <si>
    <t>Prezentowane mieszkanie ma powierzchnię 63,07 m2, na którą składają się:- słoneczny salon z aneksem kuchennym (27,76 m2),- dwie sypialnie (12,61 m2 oraz 8,17 m2),- łazienka (5,67 m2),- WC (1,87 m2),- przedpokój z dużą szafą (6,99 m2),oraz balkon (2,38 m2), na który jest wyjście z salonu.Do mieszkania przynależy miejsce postojowe naziemne przed budynkiem - dodatkowo płatne 10 000 zł. Mieszkanie jest narożne i rozstawne z ekspozycją na północny wschód co pozwala cieszyć się nasłonecznionym mieszkaniem w pierwszą część dnia. Lokal nowy i gotowy do końcowego wykończenia.Mieszkanie zlokalizowane w Ożarowie Mazowieckim przy ul. Inżynierskiej, a więc na nowym osiedlu w miasteczku Ożarów. Lokal usytuowany na 1 piętrze w 3 piętrowym bloku z 2023 roku.W bliskiej odległości mieszkania znajdziemy sklepy spożywcze oraz w najbliższym czasie nowe lokale usługowe. Dojazd do ścisłego centrum Warszawy samochodem zajmuję 25 minut, a pociągami Kolei Mazowieckich 26 minuty ze stacji PKP Ożarów Mazowiecki.</t>
  </si>
  <si>
    <t>https://www.otodom.pl/pl/oferta/nowe-narozne-mieszkanie-w-miasteczku-ozarow-ID4ng7w</t>
  </si>
  <si>
    <t>4ng7w</t>
  </si>
  <si>
    <t>Mieszkanie 3 pokoje, ogródek, 2 miejsca postojowe</t>
  </si>
  <si>
    <t>ul. Ignacego Mościckiego 3, Pruszcz Gdański, gdański, pomorskie</t>
  </si>
  <si>
    <t xml:space="preserve">Biuro nieruchomości CNI prezentuje wyjątkowe mieszkanie o powierzchni 55,23 m2, zlokalizowane w Pruszczu Gdańskim przy ul. Ignacego Mościckiego. Nieruchomość stanowi doskonałą okazję dla osób, które marzą o własnym, spokojnym zakątku. W okolicy pełna infrastruktura: szkoły , przedszkola, sklepy , tereny rekreacyjne. To idealne miejsce zarówno dla par, które cenią sobie wygodę i komfort mieszkania na wysokim standardzie, jak i dla miłośników ogrodu, którzy chcą cieszyć się przestrzenią na świeżym powietrzu.
Atuty:
Wysoki standard wykończenia: Mieszkanie wyposażone jest z dbałością o każdy detal, co gwarantuje komfortowe i praktyczne życie. Jeśli szukasz mieszkania, które jest gotowe do zamieszkania i nie wymaga dodatkowych inwestycji, to ta nieruchomość jest idealnym rozwiązaniem.
Duży ogród: Mieszkanie posiada przylegający do niego ogród o powierzchni 122  m2 co stanowi prawdziwą perełkę dla miłośników przyrody. Ogród ten daje możliwość stworzenia swojego własnego rajskiego zakątka, idealnego na letnie grillowanie, relaks i zabawę na świeżym powietrzu. Ogród wyposażony jest w schowek na narzędzia ogrodowe. Przestronny taras: 20 mkw.
Miejsca postojowe naziemne : 2 teren zamknięty, pilot do otworzenia szlabanu, możliwość otworzenia szlabanu przez telefon.
Jeśli jesteś osobą, która marzy o własnym zakątku, gdzie możesz cieszyć się ciszą i spokojem, to to mieszkanie spełni Twoje oczekiwania. Idealnie nadaje się zarówno dla par, które chcą mieszkać na wygodnym standardzie, jak i dla miłośników ogrodów, którzy pragną czerpać radość z czasu spędzonym na świeżym powietrzu. Mieszkanie uwzględnia potrzeby dla osób starszych.
2 miejsca postojowe w łącznej cenie 30 000 zł. 
Cena mieszkania wraz z 2 miejscami postojowymi 680 000 zł.
Zapraszamy do kontaktu i umówienia się na prezentację tej unikalnej nieruchomości. To może być Twój nowy, komfortowy dom z urokliwym ogrodem.
</t>
  </si>
  <si>
    <t>https://www.otodom.pl/pl/oferta/mieszkanie-3-pokoje-ogrodek-2-miejsca-postojowe-ID4o2KU</t>
  </si>
  <si>
    <t>4o2KU</t>
  </si>
  <si>
    <t>Mieszkanie 2 pokoje, osiedle Bamberski Dwór</t>
  </si>
  <si>
    <t>Do sprzedania 2-pokojowe mieszkanie z balkonem przy ul. Kościelnej w kompleksie Bamberski Dwór w Poznaniu.Budynek z 2003 roku, wykonany z wysokiej klasy materiałów np. cegła, osiedle stylizowane na mur pruski.Mieszkanie jest przestronne, ciepłe i funkcjonalne, idealne pod inwestycję, do wynajmu lub jako wymarzone mieszkanie dla singla, pary, studentów lub rodziny. Lokalizacja:
Poznań – dzielnica Jeżyce – ulica Kościelna, osiedle Bamberski Dwór
Infrastruktura komunikacyjna:
przystanki autobusowe przy ul. Kościelnej (linie dzienne i nocne) oraz przy ul. Św. Wawrzyńca
bliskość Rynku Jeżyckiego i Parku Sołackiego, gdzie dostępnych jest kilka linii autobusowych i tramwajowych.
Na powierzchnię 45,3 m2 składają się:
salon (18m2)
sypialnia (12m2)
łazienka (4,5m2)
korytarz (5,5m2)
kuchnia (5,3m2)
oraz zadaszony balkon (przestrzeń dodatkowa ok. 2m2)Dodatkowo do mieszkania przynależy komórka lokatorska/piwnica (3,3m2) (wliczona w cenę).+ istnieje możliwość parkowania samochodu na terenie osiedla (możliwość wynajęcia miejsca w podziemnej, monitorowanej hali garażowej).Mieszkanie jest w pełni wykończone dobrej jakości materiałami, posiada praktycznie rozplanowaną przestrzeń, a jego funkcjonalność podnosi:
w pełni wyposażona kuchnia wykonana na wymiar oraz znajdujący się w niej sprzęt AGD wysokiej jakości (Bosch – płyta indukcyjna, piekarnik z termoobiegiem, lodówka z zamrażalnikiem Electrolux, zmywarka Bosch)
praktycznie urządzona łazienka z pralką, kabiną prysznicową i funkcjonalnymi meblami łazienkowymi
w salonie przestronna szafa typu Komandor oraz wygodny narożnik z funkcją spania i pojemnikiem na pościel
w sypialni dostępna bardzo pojemna, 3-drzwiowa szafa typu pax z wyposażeniem.
balkon z widokiem na skwer
Dodatkowym atutem jest:
zamknięty teren osiedla z ochroną 24H
otoczenie – bliskość komunikacji miejskiej, terenów zielonych np. Park Sołacki czy szerokiej gamy usług (poniżej)
w okolicy dostępne są:
sklepy: Lidl, Biedronka, Żabka
piekarnie/cukiernie
lodziarnie
restauracje
winiarnie i chmieloteka
salony fryzjerskie i barbershopy
gabinety lekarskie
targ ze świeżymi produktami usytuowany na Rynku Jeżyckim
kwiaciarnie
siłownia
paczkomaty
Serdecznie zapraszam do kontaktu.
Pośrednikom dziękuję!</t>
  </si>
  <si>
    <t>https://www.otodom.pl/pl/oferta/mieszkanie-2-pokoje-osiedle-bamberski-dwor-ID4ousO</t>
  </si>
  <si>
    <t>4ousO</t>
  </si>
  <si>
    <t>Nowe 4 pokoje + taras | Wysoki STANDARD | Promocja</t>
  </si>
  <si>
    <t xml:space="preserve">GURDNIOWE OKAZJE NA ZAKUP MIESZKANIA – OSTATNIA SZANSA NA KREDYT 2 % - UMÓW WIZYTĘ i zobacz na ŻYWO 
UMOWA REZERWACYJNA → GWARANTOWANA NISKA CENA !!!
Bezpośrednia sprzedaż od dewelopera
BEZ PROWIZJI - BRAK PODATKU PCC – 0 zł – RYNEK PIERWOTNY
Wyjątkowe OKAZJE na miejsca postojowe
Oferta dla klientów BEZPIECZNY KREDYT 2 %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3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</si>
  <si>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https://www.otodom.pl/pl/oferta/nowe-4-pokoje-taras-wysoki-standard-promocja-ID4orNZ</t>
  </si>
  <si>
    <t>4orNZ</t>
  </si>
  <si>
    <t>Mieszkanie 3pok. 54m2 os.Górczyn</t>
  </si>
  <si>
    <t>Oferujemy do sprzedania mieszkanie o pow.53,61m2 mieszczące  się na os.Górczyn w okolicy centrum handlowego Panorama.  Nieruchomość zlokalizowana jest na 4tym piętrze w 4ro piętrowym budynku z 1990 roku.  W skład nieruchomości składają się 3 osobne pokoje, oddzielna kuchnia,  łazienka z natryskiem i wc, balkon oraz przynależna piwnica.  Mieszkanie jest po generalnym remoncie w 2010 roku. Podczas remontu wymienione zostały wszystkie instalacje elektryczna, wodno-kanalizacyjna,  ściany zostały malowane i szpachlowane, sufity obniżone w salonie i sypialni. Mieszkanie posiada rolety zewnętrzne elektryczne, drzwi wejściowe antywłamaniowe, drzwi wewnętrzne drewniane. Ogrzewanie i ciepła woda miejska.  W pobliżu znajdują się liczne sklepy, centra handlowe, przystanki komunikacji miejskiej, szkoły.  Oferta wysłana z programu dla biur nieruchomości ASARI CRM ()</t>
  </si>
  <si>
    <t>https://www.otodom.pl/pl/oferta/mieszkanie-3pok-54m2-os-gorczyn-ID4nVDa</t>
  </si>
  <si>
    <t>4nVDa</t>
  </si>
  <si>
    <t>2 Pokoje-Klucze Do Odbioru!- Centrum-Wrocław</t>
  </si>
  <si>
    <t>ul. Gnieźnieńska, Szczepin, Stare Miasto, Wrocław, dolnośląskie</t>
  </si>
  <si>
    <t xml:space="preserve">Klucze do odbioru-!Inwestycja zrealizowana we Wrocławiu, w dzielnicy Stare Miasto - tuż przy Odrze (ul. Gnieźnieńska). Charakteryzująca się nowoczesną architekturą osiedla, w sąsiedztwie zieleni, a jednocześnie dobrze skomunikowana z resztą miasta.Oferuję do sprzedaży 2- pokojowe mieszkanie  o powierzchn 37,00mkw usytuowaną na 4 piętrze. Do mieszkania przynależą balkon.NA MIESZKANIE SKŁADA SIĘ:pokój dzienny z aneksem kuchennym sypialniałazienka przedpokójposiada balkon.TERMIN REALIZACJI: klucze do odbioru!  KOMUNIKACJA:autobus linii: 103, 104, 122, 127, C kolejowa: Wrocław Popowice, Wrocław Mikołajów W POBLIŻU ZNAJDUJĄ SIĘ:Parki: Popowicki, ZachodniLiczne punkty handlowo-usługoweSzkoły, Przedszkola, ŻłobkiObiekty sportowe &amp;ndash; Hala Widowiskowo-Sportowa Orbita z basenem, korty tenisoweCentrum Handlowego Magnolia ParkZapraszam na prezentację Inwestycji.Beata Babkiewicz,T: 535 004 852. </t>
  </si>
  <si>
    <t>https://www.otodom.pl/pl/oferta/2-pokoje-klucze-do-odbioru-centrum-wroclaw-ID4ov9Q</t>
  </si>
  <si>
    <t>4ov9Q</t>
  </si>
  <si>
    <t>Na sprzedaż dom jednorodzinny Jaworzno Pieczyska</t>
  </si>
  <si>
    <t>Jaworzno, śląskie</t>
  </si>
  <si>
    <t>Na sprzedaż dom zlokalizowany w dzielnicy Pieczyska o powierzchni użytkowej 70m2, na działce o powierzchni 821m2. Dom powstał w 1932 r., zbudowany z kamienia. Okna plastikowe, dachówka betonowa.
Na dom składają się (na parterze):
- Przedsionek
- Łazienka
- Kuchnia przechodnia
- 2 pokoje
Dom posiada małą piwnicę, w której umieszczony jest kocioł gazowy.
Dom posiada również częściowo użytkowe poddasze (1 pokój) oraz w pozostałej części strych.
Stan domu - do generalnego remontu.
Cicha i spokojna okolica, w niedalekiej odległości znajduje się zalew Sosina, szkoła podstawowa, sklep spożywczy, kościół i cmentarz. Do centrum miasta ok. 10 min jazdy samochodem.  Przystanek autobusowy oddalony o 500m.
Na terenie działki znajduje się również budynek - garaż z kanałem oraz schowek na narzędzia.
Za domem znajduje się niewielka przybudówka - stodoła.</t>
  </si>
  <si>
    <t>https://www.otodom.pl/pl/oferta/na-sprzedaz-dom-jednorodzinny-jaworzno-pieczyska-ID4nB5T</t>
  </si>
  <si>
    <t>4nB5T</t>
  </si>
  <si>
    <t>Kawalerka o pow. 26,38m2 ul. Długa!</t>
  </si>
  <si>
    <t xml:space="preserve">SZUKASZ MIESZKANIA POD INWESTYCJĘ? TO MIESZKANIE MOŻE BYĆ TWOJE!ATUTY LOKALIZACJI MIESZKANIA:BLISKO CENTRUM MIASTASUPERMARKETYSKLEPY SPOŻYWCZE I WIELOBRANŻOWEPRZEDSZKOLEPUNKTY GASTRONOMICZNEPrezentujemy Państwu kawalerkę  o pow. 26,38m2 położone na IV piętrze w IV piętrowym bloku z cegły na ul. Długiej.Mieszkanie składa się z:salonu o pow. 16,90m2kuchni o pow. 3,68m2łazienki z WC o pow. 3,10m2p.pokoju o pow. 2,70m2Mieszkanie do adaptacji według własnego uznania. W mieszkaniu okna PCV. Nowa instalacja elektryczna. Drzwi wejściowe metalowe.Wszystkie meble widoczne na zdjęciach w cenie mieszkania.Administratorem bloku jest Spółdzielnia Mieszkaniowa TTBS. Czynsz administracyjny wynosi 300zł na 1 osobę i obejmuje zryczałtowaną wodę, ogrzewanie oraz wywóz nieczystości. Dodatkowo z licznika płatny prąd.Mieszkanie z ekspozycją okien od zachodu, komórka lokatorska o pow. 2m2. Miejsce parkingowe przed blokiem. Za blokiem dużo zieleni.Mieszkanie ustawne w bardzo dobrym miejscu lokalizacyjnym.Mieszkanie do aranżacji wg. własnego uznania. Idealne mieszkanie dla Pary, Singla bądź pod inwestycję na wynajem.Nie czekaj i już dziś zadzwoń aby umówić się na prezentację mieszkania tel. 784-559-816.UWAGA!KUPUJĄCY NIE PONOSZĄ KOSZTÓW OBSŁUGI NASZEGO BIURAPOMAGAMY W UZYSKANIU KREDYTU NA ZAKUP NIERUCHOMOŚCIGWARANCJA BEZPIECZNEJ TRANSAKCJIOFERTA DOSTĘPNA TYLKO W NASZYM BIURZESTREFA NIERUCHOMOŚCI - TWOJĄ STREFĄ KOMFORTU I BEZPIECZEŃSTWA!ZAPRASZAMY! </t>
  </si>
  <si>
    <t>https://www.otodom.pl/pl/oferta/kawalerka-o-pow-26-38m2-ul-dluga-ID4kk9F</t>
  </si>
  <si>
    <t>4kk9F</t>
  </si>
  <si>
    <t>Rezerwacja*3 Pokoje* Balkon*świetna inwestycja</t>
  </si>
  <si>
    <t>ul. Obornicka, Różanka, Psie Pole, Wrocław, dolnośląskie</t>
  </si>
  <si>
    <t>Zapraszam do zakupu ładnego mieszkania o pow 59,41 m2 , mieszczącego się w budynku przy ul. Obornickiej.* Idealne dla Rodziny* na start*inwestycyjnieMieszkanie z dużym potencjałem. Trzy oddzielne pokoje i oddzielna kuchnia tworzą  super przestrzeń.Rozkład:- duży przedpokój z miejscem na szafę w zabudowie - oddzielna, jasna kuchnia - pokój z balkonem - pokój- pokój- łazienka z wanną- oddzielne wcDo mieszkania przynależy piwnica.Lokal do zamieszkania lub do remontu według potrzeb.Okna plastikowe, budynek zadbany, ocieplony, wodociąg miejski , ogrzewanie miejskie.Widok z balkonu na piękną panoramę miasta i korony drzew.Dookoła wszechobecna zieleń, ścieżki rowerowe.Wokół świetnie rozwinięta infrastruktura i bardzo dobre połączenia komunikacyjne z pozostałymi częściami miasta .*Zadzwoń* zobacz* kup*zainwestuj*Serdecznie zapraszam na prezentacjęIwona Ciemierzewskatel :730 170 222Nasze biuro współpracuje ze wszystkimi pośrednikami.Jako strona kupująca otrzymasz wsparcie .Nota prawna :Opis oferty zawarty na stronie internetowej sporządzany jest na podstawie oględzin nieruchomości, oraz informacji uzyskanych od właściciela,może podlegać aktualizacji i nie stanowi oferty handlowej określonej w art 66 i następnych KOferta wysłana z programu dla biur nieruchomości ASARI CRM ()Oferta wysłana z programu dla biur nieruchomości ASARI CRM ()</t>
  </si>
  <si>
    <t>https://www.otodom.pl/pl/oferta/rezerwacja3-pokoje-balkonswietna-inwestycja-ID4nbfR</t>
  </si>
  <si>
    <t>4nbfR</t>
  </si>
  <si>
    <t>3-pokojowe mieszkanie + 2 garaże + piwnica</t>
  </si>
  <si>
    <t>Laski, Laski, Złoty Stok, ząbkowicki, dolnośląskie</t>
  </si>
  <si>
    <t>3-pokojowe mieszkanie + 2 garaże + piwnica.Główne atuty nieruchomości: • rozkład pomieszczeń• w pełni wykończony lokal • bliskość terenów zielonychNieruchomość złożona z: • pokój dzienny 19,4 m.kw• pokój 14,7 m.kw• pokój 13,2 m.kw• kuchnia zamykana z oknem 12 m.kw• łazienka 5 m.kw• przedpokój 9,1 m.kw W skład nieruchomości wchodzą też:• balkon• piwnica• garaż• ogródekTyp ogrzewania: ogrzewanie miejskie. Typ własności: własność. Mieszkanie o powierzchni 73,4 mkw położone jest na 1. piętrze w niedużym bloku w bardzo cichej okolicy. Na to dwustronne mieszkanie składają się 3 bardzo ustawne pokoje, kuchnia, łazienka i przedpokój. Dzięki dużym oknom wszystkie pomieszczenia są bardzo dobrze doświetlone, a z każdej strony rozpościera się piękny widok na góry. Duży balkon otoczony zielenią to idealne miejsce na poranną kawę.Ogrzewanie centralna z lokalnej kotłowni, obsługiwanej przez palacza. Ciepła woda z bojlera. Mieszkanie jest po generalnym remoncie i nie było zamieszkiwane. Do dyspozycji mieszkańców jest wspólny ogród, a do mieszkania przynależą dwa garaże (jeden z kanałem) i duża piwnica. Jeden z garaży znajduje się w budynku i ma wejście bezpośrednio na klatkę schodową, W klatce jest tylko 6 mieszkań.Oferta dostępna tylko w Metrohouse. ZADZWOŃ: 668 862 520.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</si>
  <si>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https://www.otodom.pl/pl/oferta/3-pokojowe-mieszkanie-2-garaze-piwnica-ID4lpjE</t>
  </si>
  <si>
    <t>4lpjE</t>
  </si>
  <si>
    <t>Zakątek Ozdobna M11 B6 - 3 pokoje</t>
  </si>
  <si>
    <t>ul. Ozdobna, Radom, mazowieckie</t>
  </si>
  <si>
    <t>Przedmiotem ogłoszenia jest 3-pokojowe mieszkanie numer M11 w budynku nr B6 zlokalizowane na 2 piętrze inwestycji ZAKĄTEK OZDOBNA.
Mieszkanie o powierzchni projektowej 58,37 mkw składa się z: salonu z aneksem kuchennym, dwóch sypialni, łazienki, WC, przedpokoju, balkonu.
O inwestycji:
NOWE MIESZKANIA W RADOMIU – „ZAKĄTEK OZDOBNA”
Nowa inwestycja „ZAKĄTEK OZDOBNA” to projekt polegający na budowie kameralnego osiedla zlokalizowanego przy ul. Ozdobnej w Radomiu w ramach którego powstanie sześć nowoczesnych 3 piętrowych budynków mieszkalnych wielorodzinnych każdy z garażem podziemnym.
Łącznie wybudowanych zostanie 103 mieszkania o powierzchni od 29,64m² do 83,63m² wraz z zaprojektowaną infrastrukturą oraz terenami zielonymi.
Mieszkania na parterze będą miały dostęp do ogródków, natomiast na wyższych  kondygnacjach lokale posiadać będą przestronne balkony lub tarasy. Do mieszkania będzie przynależeć komórka lokatorska, miejsce postojowe w hali garażowej lub na parkingu zewnętrznym.
Lokalizacja inwestycji „Zakątek Ozdobna” jest niezwykle atrakcyjna z powodu dużej ilości terenów zielonych, idealne na spacery i różne formy aktywności fizycznej.
Oferta kierowana jest do Osób ceniących sobie spokój i kameralność mieszkania.
Całość osiedla stanowić będzie wyjątkową enklawę, której Mieszkańcy docenią harmonijne połączenie bliskości miasta z bliskością natury.
Poza atutami lokalizacji, Zakątek Ozdobna zwraca uwagę nowoczesną stylistyką architektury. Ciekawie zaprojektowana elewacja, szklane balustrady balkonów i stonowana kolorystyka nadają budynkowi niepowtarzalny charakter.
 W okolicy inwestycji Zakątek Ozdobna znajduje się wszystko co jest niezbędne do codziennego życia: przychodnia, szkoły, przedszkola, centra handlowe itp.
Więcej informacji można uzyskać w naszym biurze sprzedaży lub na stronie:
602 798 888 lub 666 018 707
Planowane rozpoczęcie inwestycji IV kwartał 2023 r.
Zakończenie procesu budowlanego IV kwartał 2025r.
Przekazanie kluczy do mieszkań planowane jest na II kwartał 2026 r.
 </t>
  </si>
  <si>
    <t>https://www.otodom.pl/pl/oferta/zakatek-ozdobna-m11-b6-3-pokoje-ID4n16C</t>
  </si>
  <si>
    <t>4n16C</t>
  </si>
  <si>
    <t>Duże mieszkanie w spokojnej okolicy Sadlinki</t>
  </si>
  <si>
    <t>Sadlinki, Sadlinki, kwidzyński, pomorskie</t>
  </si>
  <si>
    <t>Biuro H4U Kredyty i Nieruchomości Paweł Lech ma przyjemność zaprezentować Państwu dosprzedaży mieszkanie w Sadlinkach, 82-522
- 81m2
- 4 Pokoje
- Kuchnia
- Łazienka
- Toaleta
- Piwnica
Mieszkanie znajduję się w spokojnej i cichej okolicy w otoczeniu lasów. Na przeciwko bloku znajduje się sklep osiedlowy ABC około 50m o klatki schodowej.Nie dalej jak 15min dogi pieszo znajduje się szkoła podstawowa w Sadlinkach.
Nasi eksperci od Kredytów Hipotecznych przeprowadzą darmową analizę finansową zuwzględnieniem wszystkich kosztów około kredytowych takich jak np. podatek czy taksanotarialna.</t>
  </si>
  <si>
    <t>https://www.otodom.pl/pl/oferta/duze-mieszkanie-w-spokojnej-okolicy-sadlinki-ID4nl0M</t>
  </si>
  <si>
    <t>4nl0M</t>
  </si>
  <si>
    <t>Apartament Przy Ul. Mickiewicza, 4 Pokoje, 70 Mkw.</t>
  </si>
  <si>
    <t>Dolne Przedmieście, Bielsko-Biała, śląskie</t>
  </si>
  <si>
    <t>&amp;bdquo;Apartamenty Mickiewicza&amp;rdquo; to kameralny wolnostojący budynek mieszkalny (oddany do użytkowania) w otoczeniu ogrodu,  położony w zabytkowym centrum Bielska-Białej, w pobliżu najbardziej  reprezentacyjnych  ulic miasta.WYJĄTKOWA LOKALIZACJA - Apartamenty Mickiewicza pod względem lokalizacji są najlepszym wyborem, dla każdego kto szuka bezpiecznej inwestycji lub miejsca do zamieszkania na wiele lat. W otoczeniu budynku znajdują się jedne z najpiękniejszych i najbardziej reprezentacyjnych budowli miasta wybudowane na wzór wielkomiejskich obiektów Wiednia, Paryża czy Berlina. Kamienice mieszczańskie, wille, budynki użyteczności publicznej budowane były  przez najlepszych Bielskich architektów i budowniczych. Wpisane do rejestru zabytków okoliczne budynki stanowią gwarancję niezmienności otoczenia, a wybudowane przez Karola Korna, Alexandra Neumanna Emanuela Rosta perły Bielskiej architektury pozwalają na obcowanie z kunsztem i sztuką budowlaną najwyższej kategorii.Doskonale skomunikowana lokalizacja w zabytkowej części miasta przy &amp;bdquo;ślepej ulicy&amp;rdquo; w sąsiedztwie &amp;bdquo;deptaka&amp;rdquo; zapewnia szybką komunikację pieszą, rowerową i samochodową. To wyjątkowe miejsce do zamieszkania jest propozycją dla tych, którzy kochają miejski styl życia. W bliskiej odległości  znajdują się restauracje, hotele (Hotel Prezydent), kawiarnie, centrum handlowe &amp;ndash; CH Sfera, parki (Park Słowackiego), BCK z salą koncertową, poczta oraz szkoły i przedszkola, dworzec oraz liczne przystanki autobusowe znajdują się jedynie kilkadziesiąt metrów od inwestycji.Teren Apartamentów będzie ogrodzony i wyposażony w kontrolę dostępu. Dla mieszkańców  przewidziane są 38 miejsca parkingowe - miejsca postojowe sprzedawane w cenie 45.000,00 zł. Zapraszamy do zapoznania się z ofertą jednego z ostatnich dostępnych apartamentów  -    4 pokojowy apartament nr 10 usytuowany na 2 piętrze o powierzchni 70,79 mkw. ROZKŁAD POMIESZCZEŃ:Lokal mieszkalny nr &amp;bdquo;10&amp;rdquo; o pow. 70,79 mkw., składa się z:Przedpokój Salon z aneksemPokójPokójPokójŁazienkataras STANDARD WYKOŃCZENIAInwestycja została zaprojektowana zgodnie z najwyższymi standardami  przy użyciu nowoczesnych, solidnych materiałów budowlanych od renomowanych producentów. W budynku zaprojektowano eleganckie części wspólne wykończone m.in. gresem, elementami fornirowanymi i szklanymi. Apartamenty znajdujące się na piętrach posiadają przestronne balkony oraz  loggie.  Obiekt zostanie wyposażony  także w nowoczesną cichobieżną windę. STANDARD WYKOŃCZENIA BUDYNKU  MIESZKALNEGO WIELORODZINNEGO PRZY UL. MICKIEWICZA  W BIELSKU-BIAŁEJ  TECHNOLOGIA WYKONANIA BUDYNKU:fundamenty &amp;ndash; żelbetowe monolityczne;ściany zewnętrzne - kondygnacji garażowej  i na parterze &amp;ndash; żelbetowe monolityczne, na pozostałych kondygnacjach -  pustaki ceramiczne + tynk  cementowo &amp;ndash; wapienny lub gipsowy;ściany wewnętrzne -  murowane:  międzylokalowe &amp;ndash; pustak ceramiczny AKU, ściany działowe &amp;ndash; pustak ceramiczny ;stropodach - żelbetowy typu filigran, pokryty -  membraną dachową PVC, ocieplony styropianem &amp;ndash; zgodnie z dokumentacją budowlanąstropy &amp;ndash; żelbetowe typu filigran, wygłuszony styropianem  &amp;ndash; zgodnie z dokumentacją budowlaną.schody żelbetowe;rynny PCV  lub metalowe;elewacja: ocieplenie styropianem lub wełną zgodnie z dokumentacją projektową, tynk akrylowy lub silikonowy; WYKOŃCZENIE  CZĘŚCI WSPÓLNYCH &amp;ndash; KORYTARZE I KLATKA SCHODOWA: winda osobowa &amp;ndash; wejście z każdej kondygnacji (również  z garażu podziemnego);na posadzkach i schodach płytki gresowe lub granitowe;ściany i sufity pomalowane i wykończone elementami ozdobnymi;stolarka drzwiowa do budynku &amp;ndash; aluminiowa z przeszkleniami;na korytarzach indywidualne liczniki zużycia mediów.zamontowane oświetlenie z oprawami. WYKOŃCZENIE LOKALI: ściany w lokalu  &amp;ndash; pustak ceramiczny + tynk gipsowy lub cementowo-wapiennywykończenie posadzki &amp;ndash; wylewka betonowa zbrojona przeciwskurczowo zacierana, na warstwie wygłuszenia akustycznego stolarka okienna: PCV z pakietem trójszybowym, nawiewniki ;drzwi: wejściowe do lokali &amp;ndash; drewniane, do budynku &amp;ndash; aluminiowe z przeszkleniami; brak drzwi wewnętrznych w lokalu; balkon &amp;ndash; barierka wypełniona szkłem lub murek balkonowy z pustaków ceramicznych obłożony tynkiem akrylowym; na posadzce ryflowane drewniane lub kompozytowe deski tarasowe;ogrzewanie: zasilane z węzła cieplnego w budynku ( wymiennikownia ), grzejniki typu PURMO ( brak grzejnika w łazience);instalacja elektryczna  - podtynkowa - po 3 punkty elektryczne w pomieszczeniu, w kuchni i w salonie większa ilość pkt. &amp;ndash; zgodnie z projektem; brak tzw. białego montażu.instalacja domofonowa &amp;ndash; 1 pkt.instalacja telefoniczna i internetowa &amp;ndash;  1 pkt.instalacja anteny TV, SAT &amp;ndash; 1 pkt do łazienki wszystkie instalacje doprowadzone i rozprowadzone, wykonane podejścia zgodnie z projektem architektonicznym, wykonana wylewka, brak tzw. białego montażu.instalacje :Wodna -  z sieci miejskiej AQUA,Kanalizacyjna sanitarna i deszczowa&amp;ndash; miejska AQUA,Instalacja C.O. i CWU &amp;ndash; z sieci firmy THERMAInstalacja antenowa TV, SAT Instalacja domofonowa;Instalacja światłowodowa  WYKOŃCZENIE LOKALU GARAŻOWEGO ściany, słupy, sufit &amp;ndash; żelbetowe z naturalną powierzchnią betonu;posadzka betonowa zatarta na gładko;brama wjazdowa segmentowa, sterowana pilotem;drzwi do pomieszczeń w garażu &amp;ndash; stalowe;zamontowane wymagane oświetlenie;zamontowane niezbędne wyposażenie i instalacje &amp;ndash; zgodne z dokumentacją techniczną;wykonane oznakowanie poziome i pionowe garażu. INFRASTRUKTURA WOKÓŁ BUDYNKU teren ogrodzony, bramy wjazdowe do garaży sterowane pilotem, dojście do budynku, drogi wewnętrzne oraz parkingi wyłożone kostką brukową,oświetlenie zewnętrzne budynku,urządzone wspólne tereny zielone,* załączone do umowy oraz oferty  wizualizacje mogą różnić się od rzeczywistego wykonania budynku, zmiany te mogą dotyczyć kolorów,, zastosowanych materiałów wykończeniowych, a także innych rozwiązań, które należało na roboczo wykonać podczas budowy. Budynek może również nieznacznie różnić się od projektu budowlanego, jednak są to zmiany  nieznaczne z punktu widzenia prawa budowlanego.     Zapraszamy na prezentację. Nasi doradcy chętnie pomogą w wyborze wymarzonego mieszkania i szczegółowo przedstawią Państwu wszystkie warianty wyboru i wykończenia lokali. Powyższy opis nie stanowi oferty handlowej w rozumieniu art. 66 Kodeksu Cywilnego, a dane w nim zawarte mają charakter informacyjny. Pośrednik odpowiedzialny zawodowo za wykonanie umowy pośrednictwa: Krzysztof Makuch (licencja nr: 2663)</t>
  </si>
  <si>
    <t>https://www.otodom.pl/pl/oferta/apartament-przy-ul-mickiewicza-4-pokoje-70-mkw-ID4ewOV</t>
  </si>
  <si>
    <t>4ewOV</t>
  </si>
  <si>
    <t>Nowy i funkcjonalny segment w Legionowie</t>
  </si>
  <si>
    <t>ul. Olszankowa, Legionowo, legionowski, mazowieckie</t>
  </si>
  <si>
    <t>Do sprzedaży nowy segment w Legionowie(bezczynszowy) Ul Olszankowa. Nieruchomość została oddana do użytku w czerwcu bieżącego roku.Budynek składa się z:- Parteru (wiatrołap 2,16m2, łazienka 3,28m2, kuchnia 5,97m2, salon 24,74m2).- Piętro, łącznie trzy pokoje, łazienka, korytarz:(pokój/sypialnia 8,16m2, pokój/sypialnia 9,35m2, pokój/sypialnia 10,52m2, łazienka 6,24m2, korytarz 8,76m2).- Poddasze (powierzchnia podłogi 39,30m2, powierzchnia użytkowa 27,76m2)- Na zewnątrz ogródek, wyjście na ogródek z salonu.Łącznie 118,47m2 powierzchni po podłodze, 106,94m2 powierzchni użytkowej. Dodatkowe zalety:- miejsca parkingowe przed budynkiem, maksymalnie na dwa samochody.- ogrzewanie podłogowe na parterze.- ogrzewanie podłogowe w łazience na piętrze.- elektrycznie sterowana temperatura domu.- instalacja pod kominek w salonie.- światłowód (szybki internet).- salon, pokoje i poddasze mają wbudowany/bezpośredni dostęp do gniazd rtv / internet.- ogródek z wyłożoną trawą, ogrodzony, wyjście do podłączenia węża ogrodowego.Budynek w stanie developerskim z piecem i grzejnikami. Suma powierzchni podana w ogłoszeniu dotyczy łącznie wszystkich trzech kondygnacji.Lokalizacja segmentu  oferuje mieszkańcom dogodne położenie, umożliwiające łatwy dostęp do sklepów, komunikacji publicznej oraz szybki dojazd samochodem do ważnych punktów miasta. To może być atrakcyjna oferta zarówno dla rodzin, jak i osób pracujących w okolicy jak i w dalszej odległości. DODATKOWE INFORMACJE Budynek jest przygotowany do sprzedaży . KLUCZE DO DYSPOZYVJI BIURA. Udostępniamy nieruchomość bez obecności właściciela. Zapraszamy do umówienia się na spotkanie. Przy zakupie ofert naszego biura Kupujący nie ponosi żadnych kosztów pośrednika, wynagrodzenie pośrednika jest rozliczane wyłącznie z właścicielem nieruchomości. Lokalne biuro nieruchomości Geometr, nr licencji 5694. Zapraszamy do oglądania w terenie. Tel. 22 774 11 11, kom. 604 930 022 / 692 811 022. Nr oferty w biurze 1209</t>
  </si>
  <si>
    <t>https://www.otodom.pl/pl/oferta/nowy-i-funkcjonalny-segment-w-legionowie-ID4nY4K</t>
  </si>
  <si>
    <t>4nY4K</t>
  </si>
  <si>
    <t>Mieszkanie dwupoziomowe 74 m² w Piasecznie</t>
  </si>
  <si>
    <t>ul. Stanisława Staszica, Piaseczno, Piaseczno, piaseczyński, mazowieckie</t>
  </si>
  <si>
    <t xml:space="preserve">
Cena do negocjacji!
Oferuję na sprzedaż przestronne 3 pokojowe, dwupoziomowe mieszkanie o powierzchni 73,63 m² zlokalizowane w spokojnej i cichej części podwarszawskiego Piaseczna przy ulicy Staszica. 3 pokojowe funkcjonalne mieszkanie znajduje się na drugim oraz trzecim (poddasze) piętrze, w dwupiętrowym, zadbanym budynku z 2016 r. Mieszkanie znajduje się na zamkniętym, ogrodzonym osiedlu z bogatą infrastrukturą - plac zabaw dla dzieci, miejsce do grillowania i na ognisko, zielone tereny rekreacyjne, dostęp do rzeki Jeziorki. Na terenie osiedla oraz przed budynkiem ogólnodostępne miejsca parkingowe.Mieszkanie składa się:Poziom I- Salonu 25,00 m²- Kuchni 6,65 m²- Toalety 1,02 m²- Balkonu 2,10 m²Poziom II- Pokoju 18,10 m²- Pokoju 17,10 m²- Holu 2,06 m²- Łazienki 3,90 m²
Do mieszkania przynależy miejsce postojowe w garażu podziemnym płatne dodatkowo 30000 zł (zakup obligatoryjny).
Ekspozycja mieszkania wschód - zachód.Czynsz 700 zł. Mieszkanie własnościowe, jest Księga Wieczysta.
W najbliższej okolicy- Przystanek komunikacji miejskiej 850m- Stacja PKP Piaseczna 1,8 km- Park Miejski 1 km- Centrum Piaseczna 1,4 km- Liczne przedszkola i żłobki, szkoły- Liczne sklepy i punkty usługowe oraz gastronomiczne.- W niedalekiej odległości wiele ścieżek pieszych i rowerowych - Chojnowski Park Krajobrazowy
Zapraszam do kontaktu.</t>
  </si>
  <si>
    <t>https://www.otodom.pl/pl/oferta/mieszkanie-dwupoziomowe-74-m-w-piasecznie-ID4nwwE</t>
  </si>
  <si>
    <t>4nwwE</t>
  </si>
  <si>
    <t>Mieszkanie - Rumia</t>
  </si>
  <si>
    <t>ul. Tysiąclecia, Rumia, wejherowski, pomorskie</t>
  </si>
  <si>
    <t xml:space="preserve">U nas klient kupujący nie płaci prowizji ! Szczegółowe informacje na temat nieruchomości pod nr tel. +4████████████9 Do sprzedania piękne słoneczne mieszkanie w spokojnej części Rumi na ul. Tysiąclecia . Mieszkanie wyremontowane w 2020 roku w bardzo wysokim standarcie. Blisko sklepy a do Port Rumia ok. 3 km. Łaczny metraż nieruchomości to 147m.kw. Na parterze 2 sypialnie w jednej szafa komandor z lustrami 4 m.dł. , salon , kuchnia i łazienka łącznie 87 m.kw. . Podłogi dębowe a w kuchniach i łazienkach gres . W podpiwniczeniu sala bankietowa , pokój muzyczny , kuchnia wraz z meblami i AGD oraz piec c.o. Beretta i łazienka z wanną łącznie 60 m.kw. Wszystkie podłogi wyłożone gresem . Obie kuchnie w pełni wyposażone w meble na wymiar i wysokiej jakości sprzęt. Wszystkich zainteresowanych zapraszam do kontaktu podanego w ogłoszeniu. Chętnie odpowiem na każde pytania odnoście mieszkania.Pomożemy w uzyskaniu kredytu na kupno tej nieruchomości oraz przeprowadzimy przez cały proces związany z zakupem. Z nami ochronisz zadatek. Zapraszam do kontaktu . Tadeusz Czapa tel. +4████████5 969email: </t>
  </si>
  <si>
    <t>https://www.otodom.pl/pl/oferta/mieszkanie-rumia-ID4nRUn</t>
  </si>
  <si>
    <t>4nRUn</t>
  </si>
  <si>
    <t>4-pokoje + OGRÓD 76 m2 || ul. Płochocińska || 2025</t>
  </si>
  <si>
    <t>ul. Płochocińska, Szamocin, Białołęka, Warszawa, mazowieckie</t>
  </si>
  <si>
    <t>ZAKĄTEK HARMONIA II 
Zakątek Harmonia jest idealną propozycją zarówno dla osób młodych oraz rodzin, ceniących komfort, spokój jak i przestrzeń. Inwestycja znajduje się na Białołęce, urokliwej, a także wyjątkowo prężnie rozwijającej się dzielnicy Warszawy. Stale rozbudowywana infrastruktura oraz komunikacja zapewnią wygodę i niezależność.
Pierwszy etap obejmuje dwa budynki o trzech kondygnacjach, w których zaprojektowano łącznie 60 mieszkań. W drugim etapie znajdzie się łącznie 276 mieszkań umiejscowionych w siedmiu czterokondygnacyjnych budynkach. W pierwszej części w sprzedaży są trzy budynki, w których zlokalizowanych będzie 96 mieszkań. Dla wygody mieszkańców zaprojektowano oddzielną przestrzeń handlowo-usługową, w której znajdą się cztery lokale.
Termin oddania: IV kw. 2025 r.
Pełna własność gruntu. 
Mała siłownia na powietrzu i plac zabaw dla mieszkańców.
ATAL DESING - Istnieje możliwość wykończenia mieszkania pod klucz.
~ A T R A K C Y J N E     C E N Y      W Y K O Ń C Z E Ń ~
PROGRAM WYKOŃCZEŃ STWORZONY DLA KLIENTÓW ATAL S.A.
Przygotowana przez nas oferta umożliwia dostarczenie wygodnego i kompleksowego rozwiązania, które pozwoli zaoszczędzić Państwu czas i pieniądze. Do wyboru oferujemy jeden z trzech standardów, które obejmują:
konsultacje ze Specjalistą ds. Wykończeń Mieszkań i pomoc przy dobraniu materiałów wykończeniowych;
projekt wraz z wizualizacjami łazienek;
montaż drzwi rozwieranych i ościeżnic;
montaż podłóg (panele/deski/gresy);
malowanie ścian i sufitów;
montaż płytek, ceramiki i armatury łazienkowej wraz z oświetleniem i lustrem;
Zapraszamy do kontaktu z Biurem Sprzedaży Mieszkań
Tel.: 723 480 137
Tel.: 603 253 276
Powyższa oferta ma charakter informacyjny i nie stanowi oferty handlowej w rozumieniu art. 66 1 Kodeksu Cywilnego. 
Wszelkie prawa do zdjęć, filmów i tekstów znajdujących się w niniejszym ogłoszeniu zostały zastrzeżone. Jakiekolwiek użycie bez zgody ATAL S.A. jest zabronione.</t>
  </si>
  <si>
    <t>https://www.otodom.pl/pl/oferta/4-pokoje-ogrod-76-m2-ul-plochocinska-2025-ID4ov4j</t>
  </si>
  <si>
    <t>4ov4j</t>
  </si>
  <si>
    <t>Wola Tower/ Dwa pokoje z balkonem/ 2 garażami</t>
  </si>
  <si>
    <t>Młynów, Wola, Warszawa, mazowieckie</t>
  </si>
  <si>
    <t>Bardzo ładne, rozkładowe mieszkanie na najwyższym piętrze z pięknym widokiem na panoramę miasta.Dwa niezależne pokoje, z każdego wyjście na balkon, oddzielna widna kuchnia kompletnie wyposażona w sprzęty AGD, umeblowana.Mieszkanie jest umeblowane, urządzone w dobrym standardzie z dbałością o każdy szczegół, dobrze doświetlone.Gotowe do wprowadzenia od już.Wraz z mieszkaniem za dodatkową opłatą istnieje możliwość zakupienia 2 miejsc postojowych w garażu podziemnym pod budynkiem oraz komórki lokatorskiej na poziomie &amp;quot;0&amp;quot; (pow. 3.73m2). Komórka i garaż są na oddzielnych księgach.Bardzo dobra lokalizacje.Wokół liczne sklepy i punkty usługowe.Bardzo dobrze skomunikowane, obok przystanki autobusowe i tramwajowe, blisko metro.Serdecznie polecam i zapraszam na prezentację. ::DODATKOWE INFORMACJE Rodzaj budynku: nowe budownictwoDozór budynku: Ochroniarz - osiedle strzeżoneGłośność: cichePlac zabaw: TAKWidok: panorama miastaLinie telefoniczne: TAKInternet: TAKTelewizja kablowa: TAKKomunikacja publ.: tramwaj, autobus miejskiWinda: TAKRozkład: Bez amfilady -rozkładoweUsytuowanie: środkowePrzystosowania dla niepełnosprawnych: TAKTeren ogrodzony: TAKRodzaj mieszkania: jednopoziomoweGaraż: 2 autaPiwnica [m2]: 3,7300Wystawa okien: Pd-WschStan lokalu: bardzo dobryOkna: PCVBalkon: balkonRok budowy: 2010  Ilość pokoi   : 2Typ kuchni: oddzielnaRodzaj kuchni: z zabudową kuchennąTyp łazienki: razem z wc</t>
  </si>
  <si>
    <t>https://www.otodom.pl/pl/oferta/wola-tower-dwa-pokoje-z-balkonem-2-garazami-ID4oEhM</t>
  </si>
  <si>
    <t>4oEhM</t>
  </si>
  <si>
    <t>48,5 m2 na czwartym piętrze w centrum Ostrołęki</t>
  </si>
  <si>
    <t>Ostrołęka, mazowieckie</t>
  </si>
  <si>
    <t>Na sprzedaż mieszkanie po remoncie w Ostrołęce przy ul. SienkiewiczaGłówne atuty nieruchomości: • dobra ekspozycja na strony świata• w pełni wykończony lokal • po remoncie generalnymNieruchomość złożona z: • salon 25 m.kw• pokój 8 m.kw• kuchnia otwarta z oknem 6,5 m.kw• łazienka 2,5 m.kw• wc 1 m.kw• przedpokój 5,5 m.kw W skład nieruchomości wchodzą też:• balkon• garażTyp ogrzewania: ogrzewanie miejskie. Typ własności: własność. Nieruchomość znajduję się na czwartym piętrze w czteropiętrowym bloku.Powierzchnia użytkowa wynosi 48,5 m2 i składa się na nią: duży salon, pokój, kuchnia, łazienka, wc oraz przedpokój.Do mieszkania przynależy również balkon i piwnica.W mieszkaniu został przeprowadzony gruntowny remont, zostały wymienione wszystkie okna oraz również cała instalacja elektryczna.W ostatnim czasie została też wyremontowana klatka schodowa.Lokal znajduje się w bardzo dobrej lokalizacji.Zapraszam do kontaktu telefonicznego i umówienia na prezentację.Oferta dostępna tylko w Metrohouse. ZADZWOŃ: 575 301 101.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</si>
  <si>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https://www.otodom.pl/pl/oferta/48-5-m2-na-czwartym-pietrze-w-centrum-ostroleki-ID4ohbp</t>
  </si>
  <si>
    <t>4ohbp</t>
  </si>
  <si>
    <t>REZERWACJA! 2 pok. mieszkanie, ul. Cypryjska</t>
  </si>
  <si>
    <t xml:space="preserve">TYLKO U NAS!
OFERTA NA WYŁĄCZNOŚĆ!
Na sprzedaż 2 pokojowe mieszkanie o powierzchni 51,00 m² usytuowane na I piętrze. W trzypiętrowym budynku z windą zlokalizowanym przy ul. Cypryjskiej  w Koszalinie (Osiedle Unii Europejskiej).
Nieruchomość składa się z salonu z aneksem kuchennym z wyjściem na balkon, sypialni, łazienki z wanną i przedpokoju. Do mieszkania przynależy komórka lokatorska.
Mieszkanie przestronne, jednostronne, wystawa okien na północny – zachód. Okna PCV.
W mieszkaniu zamontowana jest logoterma.
W cenie mieszkania meble kuchenne ze sprzętem AGD: mikrofala oraz okap, w sypialni szafa.
Koszty utrzymania to czynsz w wysokości ok. 500 zł w tym fundusz remontowy, zaliczka na ogrzewanie lokalu, wywóz śmieci itd. Dodatkowy płatny prąd.
Bardzo atrakcyjna lokalizacja!  Osiedle zlokalizowane jest blisko drogi wyjazdowej na trasę S6, którą szybko dojedziemy do nadmorskich miejscowości takich jak Kołobrzeg czy Sarbinowo. Nieopodal znajduje się centrum handlowe Vendo Park. W pobliżu również żłobek, przedszkole, Bar Qura oraz punkty usługowe. Miejsca parkingowe ogólnodostępne pod budynkiem.
Pełna właśność z KW!
Zapraszamy na prezentację!
Pomagamy w uzyskaniu kredytu hipotecznego!
WYKONUJEMY RÓWNIEŻ REMONTY MIESZKAŃ I DOMÓW W WYSOKIM STANDARDZIE NA ŻYCZENIE KLIENTA!PONADTO DLA NASZYCH KLIENTÓW PRZY PRZEPROWADZKACH OFERUJEMY TANI TRANSPORT!
</t>
  </si>
  <si>
    <t>https://www.otodom.pl/pl/oferta/rezerwacja-2-pok-mieszkanie-ul-cypryjska-ID4lYkS</t>
  </si>
  <si>
    <t>4lYkS</t>
  </si>
  <si>
    <t>2 pokojowe , 38m2, os. Hutnicze, balkon, winda</t>
  </si>
  <si>
    <t>Zdjęcia należą do właściciela oferty.Do sprzedania mieszanie 37,64m2 na osiedlu Hutniczym w Nowej Hucie.Lokalizacja blisko zabytkowej części Nowej Huty, blisko Placu Centralnego. W pobliżu Parki Szwecki, Zalew Nowohucki, szkoły, sklepy punkty usługowe.Komunikacja tramwajowa i autobusowa.Oferowana nieruchomość jest na 5 piętrze w 7 piętrowym budynku z windą. Blok ocieplony z odnowioną elewacją, w środku wymieniona instalacja elektryczna a na przyszły rok planowane przyłączenie ciepłej wody miejskiej.Mieszkanie składa się:- pokoju 21m2 (5,7x3,7) z dwoma oknami i balkonem kt&amp;oacute;rego można podzielić na dwa- oddzielnej jasnej kuchni 9,4m2 z kt&amp;oacute;rej można zrobić sypialnie- przedpokoju- łazienki z WC Do mieszkania przynależy piwnica około 4m2.W 2020 roku łazienka przeszła generalny remont wraz z wymiana instalacji elektrycznej i wod-kan.Ekspozycja okienna balkon ma wsch&amp;oacute;d, reszta okien na południe.Ogrzewanie miejskie, czynsz 450zł.Kontakt:Michał + 48 518 810 080  ::DODATKOWE INFORMACJE Rodzaj budynku: blokDozór budynku: monitoringGłośność: cicheWidok: na osiedleGaz: jestWoda: ciepła - piecyk gazowyDojazd: asfaltOtoczenie: działki zabudowaneOgrzewanie: C.O. miejskieInternet: TAKTelewizja kablowa: TAKKomunikacja publ.: autobus miejski, tramwajWinda: TAKLiczba wind: 1Rozkład: dwustronne rozkładoweUsytuowanie: dwustronneOpłaty w czynszu: wywóz śmieci, woda, Winda, ogrzewanie, fundusz remontowy, Części wspólne, administracjaOpłaty wg liczników: prąd, gazRodzaj mieszkania: jednopoziomoweGaraż: brakPiwnica [m2]: 3,5000Piwnica: TAKStan lokalu: do remontuOkna: DREWNIANE STARY TYPInstalacje: częściowo wymienioneBalkon: jestLiczba balkonów: 1Powierzchnia balkonów/tarasów [m2]: 1,5000Powierzchnia użytkowa [m2]: 37,6400Rok budowy: 1965Liczba pokoi: 2Wysokość pomieszczeń [m]: 2,8500Liczba sypialni: 1Powierzchnia pokoi [m2]: 21m2Podłogi pokoi: parkietŚciany pokoi: gładzie gipsoweWystawa okien - pokoje : Pd, WschTyp kuchni: jasna z oknemRodzaj kuchni: oddzielnaPowierzchnia kuchni [m2]: 9,4Podłoga kuchni: płytki PCVWystawa okien - kuchnia: PdTyp łazienki: razem z wcLiczba łazienek: 1Powierzchnia łazienki [m2]: 3Glazura łazienki: nowego typuPodłoga łazienki: płytkiWyposażenie łazienki: WC, umywalka, prysznic, pralka, lustroŚciany łazienki: glazuraLiczba przedpokoi: 1Powierzchnia przedpokoi [m2]: 4,2Podłoga przedpokoi: parkietŚciany przedpokoi: zwykłe::KONTAKT DO AGENTA Michał Dzięcioł+48 518-810-080::DANE BIURA Oddział BS4, KrólewskaKrólewska 6730-081 Kraków12 633-90-20Pośrednik odpowiedzialny zawodowo za wykonanie umowy pośrednictwa: Dariusz Sadurski (licencja nr: 803)</t>
  </si>
  <si>
    <t>https://www.otodom.pl/pl/oferta/2-pokojowe-38m2-os-hutnicze-balkon-winda-ID4otSU</t>
  </si>
  <si>
    <t>4otSU</t>
  </si>
  <si>
    <t>Wałbrzyska 21 - Nowa Inwestycja - 36 M2</t>
  </si>
  <si>
    <t>ul. Wałbrzyska, Służew, Mokotów, Warszawa, mazowieckie</t>
  </si>
  <si>
    <t>AurumREH - prezentujeNowe mieszkanie dwupokojowe 36,20 m2 w stanie deweloperskim Warszawa, Mokotów, Służew, ulica Wałbrzyska 21.Mieszkanie położone jest w inwestycji Wałbrzyska 21, znajdującej się u zbiegu ulic Puławskiej i Wałbrzyskiej i składa się z : - hall – 3,20 m2 - łazienka – 3,33 m2 - sypialnia 9,07 m2 - salon + kuchnia – 20,60 m2  wraz z loggią o powierzchni 4,43 m2 .Do mieszkania przynależy komórka lokatorska o powierzchni 3,28 m2 oraz miejsce postojowe w garażu podziemnym.Mieszkanie w doskonałym punkcie komunikacyjnym, 2 minuty pieszo do Stacji Metro Służew.Jest to ostatnie mieszkanie o takim metrażu w tej nowoczesnej, a zarazem eleganckiej inwestycji – Wałbrzyska 21.Kaskadowa bryła, komfortowe, przestronne mieszkania z balkonami, tarasami i loggiami, a także części wspólne o podwyższonym standardzie to tylko niektóre atuty nowego projektu Spółdzielni Mieszkaniowej Służew nad Dolinką.Planowane oddanie inwestycji to marzec 2026 roku. Do ceny należy doliczyć 50 tyś zł za garaż oraz 20 tyś za komórkę lokatorskąZapraszam na prezentację Oferta wysłana z programu dla biur nieruchomości ASARI CRM ()</t>
  </si>
  <si>
    <t>https://www.otodom.pl/pl/oferta/walbrzyska-21-nowa-inwestycja-36-m2-ID4nx45</t>
  </si>
  <si>
    <t>4nx45</t>
  </si>
  <si>
    <t>Postindustrialna Inwestycja w spokojnej okolicy!!</t>
  </si>
  <si>
    <t>Bocianowo, Bydgoszcz, kujawsko-pomorskie</t>
  </si>
  <si>
    <t xml:space="preserve">Biuro Makler poleca:  Szukasz NOWEGO DEVELOPERSKIEGO mieszkania?Zależy Ci na cichej, spokojnej okolicy, a jednocześnie z dostępem do Centrum miasta?Potrzebujesz bezpieczeństwa w postaci zamkniętego osiedla?  Jeśli TAK to ta oferta jest właśnie dla Ciebie !!  Kupujący nie płaci podatku PCC!! oraz prowizji do biura!!  Przedstawiamy 2 pokojowe, mieszkanie o powierzchni 40,84m2 na parterze nowoczesnego bloku z windą!!Opis Inwestycji Postindustrialny budynek wielorodzinny zlokalizowany na bydgoskim Bocianowie to ciekawa propozycja dla szerokiego grona odbiorców. Cicha i spokojna okolica, a jednocześnie dostęp do pełnej infrastruktury sprawiają, że mieszkania w tej lokalizacji skierowane są do szerokiego grona odbiorców. Zainteresować się nimi powinni zarówno ludzie młodzi, którzy kupują swoje pierwsze mieszkanie, ale także rodziny z dziećmi oraz osoby starsze, które chciałyby uciec od miejskiego zgiełku, zachowując przy tym możliwość korzystania z wszelkich zalet mieszkania w mieście. W ramach całej inwestycji przewidziano wybudowanie około 1500 mieszkań zaprojektowanych w 7 budynkach, które stworzy nowoczesne i unikatowe osiedle na mapie Bydgoszczy! Pierwsze dwa budynki zostały w całości sprzedane przed zakończeniem budowy! Aktualnie w ofercie jest trzeci budynek z 3 klatkami schodowymi wyposażonymi w cichobieżne windy. Na 5 piętrach zaprojektowano mieszkania z przestronnymi balkonami lub ogródkami w układach dwu-, trzy- i czteropokojowych. Przestronne wnętrza oraz dopracowane ekspozycje mieszkań umożliwiają swobodną aranżację wnętrz. Budynki zostaną wykończone w wysokim standardzie z zastosowaniem najnowocześniejszych materiałów minimalizujących straty ciepła, dzięki czemu przyszli mieszkańcy mogą spodziewać się niskich kosztów utrzymania swoich lokali. W obrębie działki zaprojektowana została zieleń oraz tereny rekreacyjne, a całość inwestycji wraz z wydzielonym dla wszystkich mieszkańców patio zostanie ogrodzona i wyposażona w monitoring.  Udogodnienia:Osiedle Industria to loftowy desing, panele fotowoltaiczne, wygoda, bliskość komunikacji miejskiej (pętla tramwajowa i autobusowa), usług i handlu. W pobliżu mieszczą się także placówki eduacyjne. Na osiedlu znajdzie się wspólna przestrzeń rekreacyjna w tym plac zabaw, miejsce dla rowerów i mini warsztat.Przynależności:Mieszkania będą posiadać własne ogródki, tarasy lub balkony.Bezpieczeństwo:Domofon, System Smart Home.Wielkość Projektu:W pierwszym etapie inwestycji powstanie 5 pięciopiętrowych budynków wielorodzinnych, zanjdować się w nich będą lokale mieszkalne oraz lokale użytkowe.Garaże:W inwestycji dostępna będzie podziemna hala garażowa.Komunikacja:Tramwaj 85 metrów, Autobus 100 metrów. </t>
  </si>
  <si>
    <t>https://www.otodom.pl/pl/oferta/postindustrialna-inwestycja-w-spokojnej-okolicy-ID4opW0</t>
  </si>
  <si>
    <t>4opW0</t>
  </si>
  <si>
    <t>DWUPAK | Politechnika | C.O miejskie | ROI 11%</t>
  </si>
  <si>
    <t>Centrum Południe, Zabrze, śląskie</t>
  </si>
  <si>
    <t>Świetna inwestycja pod wynajem! Blisko Politechniki oraz Uniwersytetu Medycznego!
Na sprzedaż dwupak inwestycyjny znajdujący się w bardzo dobrej lokalizacji Zabrza - Centrum okolice Politechniki.
Mieszkania po generalnym remoncie, który obejmował : - wymianę solarki okiennej oraz drzwiowej, - nową instalcję wod-kan oraz elektryczną, - położenie nowych podłóg oraz nałożenie gładzi, - nowe łazienki z WC oraz kabinami prysznicowymi, Każde z mieszkań posiada osobne kanalizacje oraz wentylacje. Osobne wejścia z klatki schodowej.
Nieruchomości wyposażone w niezbędne sprzęty AGD oraz meble. Mieszkania gotowe do wynajmu. (możliwa pomoc w znalezieniu najemcy) Czynsz wraz z funduszem remontowym oraz zaliczką na C.O wynosi okolice 450 zł ( już na dwa mieszkania)
Budynek, w którym znajdują się dwupaki jest po rewitalizacji! Odświeżona elewacja oraz klatka po generalnym remoncie.
Budynek monitorowany. Zachęcam do kontaktu w celu uzyskania większej ilości informacji :)
Mieszkanie bardzo dobrze zlokalizowane! W okolicy Lidl, Biedronka, szkoła, przedszkole, arena Zabrze, wjazd na DTś oraz drogę 88, Politechnika Śląska, dworzec kolejowy, dworzec autobusowy.
W pobliżu przystanki komunikacji miejskiej. Numer Kontaktowy : 500 193 211
Powyższa oferta ma charakter informacyjny i nie stanowi oferty handlowej w rozumieniu przepisów KC.</t>
  </si>
  <si>
    <t>https://www.otodom.pl/pl/oferta/dwupak-politechnika-c-o-miejskie-roi-11-ID4oxiE</t>
  </si>
  <si>
    <t>4oxiE</t>
  </si>
  <si>
    <t>Olsza: 4-pok. z ogromnym potencjałem !!</t>
  </si>
  <si>
    <t>Oferujemy na sprzedaż przestronne czteropokojowe mieszkanie (71,60 m2) w doskonałej lokalizacji: na Olszy, nieopodal Ronda Młyńskiego.Mieszkanie usytuowane jest na 3 piętrze dziesięciopiętrowego budynku z lat 80-tych, przy ulicy Młyńskiej. Składa się z:- czterech niezależnych pokoi (19,5 m2 + 10 m2 + 9,5 m2 + 9,5 m2),- oddzielnej jasnej kuchni (7 m2),- łazienki z wanną (3,5 m2),- osobnego WC,- przedpokoju (12 m2);- dodatkowo: salon posiada wyjście na duży balkon z widokiem na okolicę.Ponadto do lokalu przynależy spora piwnica (4,2 m2).Budynek jest ocieplony, klatki schodowe są czyste i zadbane, a przed blokiem znajduje się rozległy parking dla mieszkańców, zamykany szlabanem.Mieszkanie wymaga remontu. Na podłogach pokoi znajduje się parkiet, w kuchni - wykładzina, a w przedpokoju - panele. Okna drewniane, starszego typu.Czynsz wraz z funduszem remontowym, wodą, ogrzewaniem i wywozem śmieci (przy 1 osobie) wynosi 750 zł. Do tego dochodzi jedynie prąd i gaz, płatne według zużycia. Ogrzewanie i ciepła woda - MPEC.Mieszkanie jest ustawne i bardzo funkcjonalne. Posiada dwustronną ekspozycję, jest jasne i ciepłe.Świetna lokalizacja, dobry i szybki dojazd do centrum i na większość krakowskich uczelni. W najbliższej okolicy znajdują się liczne sklepy, plac targowy, szkoła, przedszkole, place zabaw, a także tereny spacerowe. Blisko jest też do przystanków komunikacji miejskiej. Idealne mieszkanie dla rodziny z dziećmi, ale doskonale sprawdzi się też jako inwestycja pod wynajem.Cena: 929.000 zł.Wyjątkowo atrakcyjna oferta. ZAPRASZAM NA PREZENTACJĘ!!!Kontakt w sprawie oferty: Aleksandra Pudełko +4████████████7 ::DODATKOWE INFORMACJE Rodzaj budynku: blokDozór budynku: monitoringGłośność: cichePlac zabaw: TAKWidok: na osiedleGaz: jestWoda: ciepła - miejskaDojazd: asfaltOtoczenie: osiedleOgrzewanie: C.O. miejskieLinie telefoniczne: TAKInternet: TAKTelewizja kablowa: TAKKomunikacja publ.: bus, tramwaj, autobusWinda: TAKLiczba wind: 2Rozkład: rozkładoweUsytuowanie: dwustronneOpłaty w czynszu: wywóz śmieci, woda, ogrzewanie, fundusz remontowy, administracjaOpłaty wg liczników: prąd, gazRodzaj mieszkania: jednopoziomoweGaraż: brakPiwnica [m2]: 4,2000Piwnica: TAKStan lokalu: do remontuOkna: stare drewnianeInstalacje: niewymienioneBalkon: loggiaLiczba balkonów: 1Powierzchnia balkonów/tarasów [m2]: 6Powierzchnia użytkowa [m2]: 72Rok budowy: 1984Liczba pokoi: 4Wysokość pomieszczeń [m]: 2,5000Liczba sypialni: 4Powierzchnia pokoi [m2]: 19,5 + 10 + 9,5 + 9,5Podłogi pokoi: parkietWystawa okien - pokoje : Pn, WschTyp kuchni: oddzielnaRodzaj kuchni: jasna z oknemPowierzchnia kuchni [m2]: 7Podłoga kuchni: wykładzinaWystawa okien - kuchnia: PnTyp łazienki: z wannąLiczba łazienek: 1Powierzchnia łazienki [m2]: 3,5Glazura łazienki: starszego typuPodłoga łazienki: płytki PCVWyposażenie łazienki: wanna, umywalkaŚciany łazienki: glazuraLiczba WC: 1Glazura WC: starszego typuPodłoga WC: płytki PCVŚciany WC: glazuraLiczba przedpokoi: 1Powierzchnia przedpokoi [m2]: 12Podłoga przedpokoi: panele::KONTAKT DO AGENTA Sabina Pająk+48 514-738-628::DANE BIURA Oddział BS4, KrólewskaKrólewska 6730-081 Kraków12 633-90-20Pośrednik odpowiedzialny zawodowo za wykonanie umowy pośrednictwa: Dariusz Sadurski (licencja nr: 803)</t>
  </si>
  <si>
    <t>https://www.otodom.pl/pl/oferta/olsza-4-pok-z-ogromnym-potencjalem-ID4num8</t>
  </si>
  <si>
    <t>4num8</t>
  </si>
  <si>
    <t>Bez pośredników nowe mieszkanie ul. Solec 18</t>
  </si>
  <si>
    <t>ul. Solec 18, Solec, Śródmieście, Warszawa, mazowieckie</t>
  </si>
  <si>
    <t xml:space="preserve">
Z przyjemnością prezentuje Państwu wyjątkową ofertę zakupu nowego mieszkania w apartamentowcu Solec Residence z przepięknym widokiem na rzekę Wisłę.
Szczegóły mieszkania:
Piętro: 5
Widok na rzekę Wisłę
Klimatyzacja
Miejsce parkingowe w podziemnym parkingu w cenie mieszkania
Powierzchnia całkowita: 60,9m
Ilość pokoi: 3
Kuchnia: aneks
Łazienka: 1
Wc : 1
Loggia: 3 m
Winda
Mieszkanie w stanie developerskim.
Pośrednikom dziękuję za współpracę.</t>
  </si>
  <si>
    <t>https://www.otodom.pl/pl/oferta/bez-posrednikow-nowe-mieszkanie-ul-solec-18-ID4nDaH</t>
  </si>
  <si>
    <t>4nDaH</t>
  </si>
  <si>
    <t>Mieszkania 4 pokojowe z balkonem-Super lokalizacja</t>
  </si>
  <si>
    <t>ul. Krakowska, Przybyszówka, Rzeszów, podkarpackie</t>
  </si>
  <si>
    <t>Aleja Krakowska – Komfort w nowoczesnym wydaniuwww.alejakrakowska.plIII etap 12 mieszkań, charakteryzujący się niską zabudową w doskonałej lokalizacji jaką jest ul. Krakowska w Rzeszowie. OPIS NIERUCHOMOŚCI:- powierzchnia: 61,65m2 – 4 pokoje z balkonem- piętro 1- niska szeregowa zabudowa,stonowana i nowoczesna kolorystyka - ogrzewanie energooszczędnym piecem 2-funkcyjnym gazowym- ogrzewanie podłogowe w całym mieszkaniu- mieszkania oddawane w stanie deweloperskim- osiedle monitorowane- termin realizacji inwestycji z przekazaniem kluczy Lipiec 2024Powierzchnia poszczególnych pomieszczeń:- wiatrołap – 2,21m2- komunikacja – 5,87m2- pokój – 11,24m2- salon z aneksem kuchennym – 18,81m2- pokój – 9,67m2- łazienka – 4,92m2- pokój - 8,93m2oraz - balkon - 5,49m2CENA: 465 000 zł – stan deweloperskiDODATKOWE opłaty za 1 miejsce postojowe: 10 000 zł MOŻLIWOŚĆ ZAKUPU 2-go miejsca postojowego w cenie 15 000 złPotrzebujesz kredytu? Nasi specjaliści finansowi sprawnie przeprowadzą Cię przez cały proces kredytowy i pomogą uzyskać najkorzystniejszą ofertę kredytu hipotecznego dla Twojej nieruchomości. Możesz nam zaufać, ponad 1000 zadowolonych Klientów potwierdza nasze doświadczenie! Skontaktuj się z nami:Biuro sprzedaży inwestycji Aleja Krakowska tel. 576-114-101ul. Dąbrowskiego 67 ( 1 piętro ) , Rzeszów[email title="kontakt"]www.alejakrakowska.pl</t>
  </si>
  <si>
    <t>https://www.otodom.pl/pl/oferta/mieszkania-4-pokojowe-z-balkonem-super-lokalizacja-ID4o1BC</t>
  </si>
  <si>
    <t>4o1BC</t>
  </si>
  <si>
    <t>Mieszkanie 3 pokoje 55 m kw w centrum Puław.</t>
  </si>
  <si>
    <t>ul. Polna, Puławy, puławski, lubelskie</t>
  </si>
  <si>
    <t xml:space="preserve">Mieszkanie trzypokojowe 55 m kw. na pierwszym piętrze w wieżowcu  w centrum Puław dostępne od zaraz.Mieszkanie:-powierzchnia 55 m kw.-pierwsze piętro, -blok  dziesięcio-piętrowy-położenie szczytoweDostępne media:-prąd-gaz-woda-kanalizacja-ogrzewanie miejskieLokalizacja:-Puławy-pow. puławski-woj. lubelskieInformacje dodatkowe:-mieszkanie trzypokojowe na pierwszym piętrze w   wieżowcu do drobnego remontu.-osiedle w centrum miasta, spokojnej okolicy.-trzy oddzielne pokoje 14,5 m kw, 12 m kw, 12 m  kw, oddzielna kuchnia 6 m kw, przedpokój 2,2 m kw,   łazienka -w mieszkaniu jest duży balkon 4 m kw wychodzący   na  część osiedla między blokami oraz piwnica.-rozmieszczenie pomieszczeń pozwala na   rozważenie zakupu dla siebie jak również  pod   inwestycję np. wynajem. -okna plastikowe -klatka schodowa czysta i zadbana.-mieszkanie w centrum miasta - wszędzie   blisko, kilka minut pieszo do galerii "Zielona",   sklepów, szkoły.Leszek Derlatkatel: 668 154 561e-mail: 
Oferta wysłana z programu dla biur nieruchomości ASARI CRM ()
</t>
  </si>
  <si>
    <t>https://www.otodom.pl/pl/oferta/mieszkanie-3-pokoje-55-m-kw-w-centrum-pulaw-ID4nhP2</t>
  </si>
  <si>
    <t>4nhP2</t>
  </si>
  <si>
    <t>Nowe Kapuściska!! Cisza, i pełna infrastruktura!!</t>
  </si>
  <si>
    <t>Kapuściska, Bydgoszcz, kujawsko-pomorskie</t>
  </si>
  <si>
    <t xml:space="preserve">Biuro Makler poleca:  Szukasz NOWEGO DEVELOPERSKIEGO mieszkania?Zależy Ci na cichej okolicy, oraz bliskości terenów zielonych?Potrzebujesz bezpieczeństwa w postaci zamkniętego osiedla, oraz pełnej infrastruktury wokół? Jeśli TAK to ta oferta jest właśnie dla Ciebie !!  Kupujący nie płaci podatku PCC!! oraz prowizji do biura!!  Przedstawiamy 4 pokojowe mieszkanie o powierzchni 69,5 m2 na 4 piętrze w bloku z cichą windą.  Opis inwestycjiNOWE KAPUŚCISKA to dwa pięciopiętrowe budynki mieszkalne z podziemną halą parkingową oraz windą zapewniającą szybką i wygodną komunikację pomiędzy poszczególnymi kondygnacjami a podziemnym parkingiem. Śmiała geometryczna koncepcja przyciąga wzrok nowoczesnymi podziałami i kolorami. Podziemna hala garażowa zapewnia komfort użytkowania, a funkcjonalna winda podnosi standard mieszkania. Ponadto minimalistyczne klatki schodowe zwiększają powierzchnię mieszkań, a umiejscowienie windy w środku biegu zapewnia większy komfort akustyczny w lokalach. Mieszkania wyposażone są w nowoczesny system ogrzewania i wentylacji. Dzięki zastosowaniu Logoterm ciepła woda przygotowywana jest w bezpośrednim sąsiedztwie każdego mieszkania zamiast w pomieszczeniu węzła, które znajduje się w piwnicy i może być oddalone od mieszkania nawet o kilkadziesiąt metrów. Wentylacja hybrydowa zapewnia natomiast stałą, niezakłóconą wymianę powietrza w mieszkaniu. System reaguje na poziom wilgotności powietrza wewnątrz mieszkania i reguluje automatycznie strumień napływającego świeżego powietrza. &amp;quot;Nowe Kapuściska&amp;quot; to pierwsza tego typu inwestycja na Kapuściskach od wielu lat! Nowoczesne budownictwo, windy, przemyślane układy mieszkań to tylko kilka z atutów Nowych Kapuścisk. Teren wokół budynku jest ogrodzony i zaprojektowany w awangardowy i geometryczny sposób pasujący do elewacji. Sąsiedztwo jest estetyczne i zadbane. Zgodnie z dawną sztuką projektowania urbanistycznego odległości pomiędzy pozostałymi osiedlowymi budynkami są znaczne i wydzielane zielenią, co zwiększa komfort mieszkania. W niewielkiej odległości od inwestycji znajdują się rozległe tereny zielone. Dobrze skomunikowana dzielnica z kompletną infrastrukturą ułatwiającą mieszkanie. Zapraszam na prezentację!! </t>
  </si>
  <si>
    <t>https://www.otodom.pl/pl/oferta/nowe-kapusciska-cisza-i-pelna-infrastruktura-ID4og2x</t>
  </si>
  <si>
    <t>4og2x</t>
  </si>
  <si>
    <t>Wykończone | Klimatyzacja | Nowoczesne Osiedle</t>
  </si>
  <si>
    <t xml:space="preserve">
KUPUJĄCY NIE PŁACI PODATKU PCC 2%
Na sprzedaż piękne mieszkanie na nowoczesnym, zamkniętym osiedlu na granicy Krakowa z Wieliczką. 
Mieszkanie ma powierzchnię 30 m2 i w jego skład wchodzą:
-Przedpokój
-Łazienka
-Salon z aneksem kuchennym
-Sypialnia
Do mieszkania należy również balkon.
W mieszkaniu zamontowana klimatyzacja.
W budynku znajduję się winda
Ekspozycja: Południe-Wschód
Mieszkanie jest wykończone w wysokim standardzie, umeblowane i wyposażone we wszystkie sprzęty.
Wszystkie meble robione na wymiar przez stolarza.
W mieszkaniu są zamontowane drzwi przesuwne które oddzielają salon od sypialni.
Istnieje możliwość wstawienia na stałe ścianki działowej.
Mieszkanie idealnie nadaję się zarówno do zamieszkania jak i pod inwestycję na wynajem.
Pełna własność - Jest założona Księga Wieczysta
Istnieje możliwość zakupu miejsca postojowego (nie obligatoryjnie, płatne dodatkowo):
- miejsce postojowe zewnętrzne (30 000 złotych),
- miejsce postojowe w garażu podziemnym (50 000złotych).
OPIS INWESTYCJI:
Inwestycja zlokalizowana jest w otoczeniu istniejącego lasu, w bliskiej odległości od centrum Wieliczki na granicy Bieżanowa, doskonale skomunikowana z Krakowem. Na terenie osiedla znajdziemy przedszkole sportowo-językowe, żłobek, boisko, siłownia zewnętrzna i liczne place zabaw, do tego alejki i strefa rekreacyjna dla wygody mieszkańców, w dalszych etapach rozbudowy osiedla planowany jest również kort tenisowy. Tuż przy osiedlu znajduje się mini-galeria handlowa Q-Park ze sklepami ogólnospożywczymi,  restauracją czy gabinetem.
Zapraszam do kontaktu oraz na prezentacje .
Kamil Nowak
660 410 628</t>
  </si>
  <si>
    <t>https://www.otodom.pl/pl/oferta/wykonczone-klimatyzacja-nowoczesne-osiedle-ID4ow1x</t>
  </si>
  <si>
    <t>4ow1x</t>
  </si>
  <si>
    <t>Duży rodzinny dom, szybki dojazd do Warszawy S7!</t>
  </si>
  <si>
    <t>Głosków, Piaseczno, piaseczyński, mazowieckie</t>
  </si>
  <si>
    <t>Dom 180m2 w zabudowie bliźniaczej na 600m2 działce położonej w bliskim sąsiedztwie terenów zielonych, w cichej, spokojnej , jak i pełnej zieleni Baszkówce.ZAKUP BEZPOŚREDNI BEZ PCC I PROWIZJI!Doskonała lokalizacja zapewniająca szybki dojazd do Warszawy dzięki nowo powstałej trasie S7.Dom budowany jest z wysokiej jakości materiałów, a jego ustawne wnętrze dzięki: 4 sporym sypialniom, 2 łazienkom, widnej kuchni jak i garażowi w bryle budynku zapewni pełen komfort życia jego przyszłym mieszkańcom. Dom dodatkowo posiada spore poddasze do własnej aranżacji.W budynku wszystkie media miejskie: woda, prąd, gaz, kanalizacja.Udogodnienia:- ogrzewanie podłogowe w całym domu (poza garażem)- instalacja wentylacji mechanicznej- instalacja alarmowa- przygotowanie pod instalację fotowoltaiczną- przygotowanie pod zmiękczacz wody- możliwość podłączenia kominka- dylatacja pomiędzy domami- duże poddasze do własnej aranżacji Budynek jest już oddany do użytkowania!W otoczeniu:- przystanek autobusowy linii podmiejskiej (900m)- najbliższy sklep (1600m)- najbliższe przedszkole, żłobek (850 m)- najbliższa szkoła podstawowa (1700m)Zachęcam do spotkania i obejrzenia domu!Opiekun inwestycji.Olimpia Kazberuk</t>
  </si>
  <si>
    <t>https://www.otodom.pl/pl/oferta/duzy-rodzinny-dom-szybki-dojazd-do-warszawy-s7-ID4oCjZ</t>
  </si>
  <si>
    <t>4oCjZ</t>
  </si>
  <si>
    <t>Siemianowice śląskie, ul. Szeflera</t>
  </si>
  <si>
    <t>ul. Antoniego Szeflera, Centrum, Siemianowice Śląskie, śląskie</t>
  </si>
  <si>
    <t xml:space="preserve">Ze względu na niski czynsz (Ok 120 zł) mieszkanie jest rewelacyjną lokatą kapitału oraz poszerzenia dochodu pasywnego w postaci wynajmu.
Zapraszam do zakupu nieruchomości mieszczącej się w Centrum Siemianowic Śląskich. 
Mieszkanie położone jest na 4 kondygnacji budynku mieszkalnego (3 piętro). 
Kamienica jest w trakcie modernizacji.
Nieruchomość składa się z salonu z kuchnią, przedpokoju oraz łazienki z WC w pełni wyposażonej. 
Nieruchomość również znajdzie idealne przeznaczenie do zamieszkania na stałe.
W mieszkaniu został przeprowadzony generalny remont :
wymienione piony wodno-kanalizacyjne
wymiana instalacji elektrycznej oraz wod-kan
łazienka w całości w gresie w odcieniu szarości
podłoga przedpokój w gresie w odcieniu szarości
salon z kuchnia panel dębowy orzech 4 klasa ścieralności
oświetlenie i osprzęt elektryczny dobrany w loftowym klimacie
listwy przypodłogowe black modern slim (nowość na rynku)
drzwi antywłamaniowe
mieszkanie w całości w gładzi gipsowej marki ATKAS GTA oraz pomalowane farba Tikkurila OPTIVA WHITE
Nieruchomość została wykonana z materiałów budowlanych wysokiej klasy oraz urządzona w części stałe klasy premium
Zachęcamy do kontaktu , nim ktoś Państwa ubiegnie .
Posiadamy także bardzo sprawnego z wieloletnim doświadczeniem pośrednika finansowego, który jest do państwa usług. Konsultacje są całkowite bezpłatne i nie wiążące.  
*zdjęcia poglądowe 
*Informacje dotyczące nieruchomości zostały sporządzone na podstawie oświadczeń i nie są ofertą w rozumieniu przepisów prawa, mają charakter wyłącznie informacyjny i mogą podlegać aktualizacji, zalecamy ich osobistą weryfikację. Przedstawiona propozycja nie jest ofertą handlową w rozumieniu przepisów Art.66 par.1 Kodeksu cywilnego, lecz ma charakter informacyjny.
Nie współpracujemy z klientami, którym obca jest zasada płacenia agentowi prowizji za pośrednictwo w obrocie nieruchomościami i nie chcą podpisać umowy o pośrednictwo.
</t>
  </si>
  <si>
    <t>https://www.otodom.pl/pl/oferta/siemianowice-slaskie-ul-szeflera-ID4nRpN</t>
  </si>
  <si>
    <t>4nRpN</t>
  </si>
  <si>
    <t>Osiedle Miodowe | M11 - 42,29m²</t>
  </si>
  <si>
    <t>ul. Wojska Polskiego, Gomunice, Gomunice, radomszczański, łódzkie</t>
  </si>
  <si>
    <t>Inwestycja:
Inwestycja Osiedle Miodowe to wyjątkowy budynek, zlokalizowany w Gomunicach (koło Radomska). Wyposażony w instalacje fotowoltaiczną oraz pompę ciepła zapewnia niski czynsz oraz energooszczędność budynku. Najnowsze technologie zastosowane w budynku zapewniają dużą trwałość oraz wysoką funkcjonalność mieszkań. Wszystkie mieszkania posiadają swój własny balkon, duże przeszklenia oraz ogrzewanie podłogowe. Cały teren działki ogrodzony, brama sterowana na pilot, furtka na kod oraz monitoring w terenie zapewnia bezpieczeństwo dla przyszłych mieszkańców.
Okna w mieszkaniach usytuowane na wschód oraz zachód, dzięki czemu zapewniają najlepsze możliwe doświetlenie pomieszczeń. Do każdego mieszkania dołączona jest (dodatkowo płatna) komórka lokatorska (doliczona do metrażu mieszkania) oraz miejsce postojowe do wyboru w cenie 8 500zł.
Mieszkanie:
Powierzchnia zaprojektowanego mieszkania wynosi 42,29m2. Posiada balkon o powierzchni ok. 5m2. Okna usytuowane na wschód. Do każdego mieszkania dołączona jest również komórka lokatorska o powierzchni ok. 0,5m2 (w poziomie 0). 
Prezentowane mieszkanie składa się z:
- Salonu z aneksem kuchennym - 20,00m2
- Sypialni - 13,18m2
- Łazienki - 4,80m2
- Korytarza - 4,31m2
Lokalizacja:
Budynek zlokalizowany jest przy ul. Wojska Polskiego w Gomunicach. Jest to teren świetnie skomunikowany ze strefą oraz oddalony 1km od drogi DK91. W najbliższej odległości zlokalizowane są również:
Sala bankietowa Millenium – 150m
Szkoła podstawowa – po sąsiedzku
Biedronka – 250m
Klub muzyczny Bogart – 900m
Urząd Gminy Gomunice – 1,2km
Radomsko – 12km
O nas:
Vitaro Sp. z o.o. to doświadczony deweloper realizujący inwestycje od 2017 roku na terenie Radomska, województwa łódzkiego i dolnośląskiego. Zapewniamy również profesjonalną obsługę zarządzania  nieruchomością. 100% kapitał polski.
Firma VAH Nieruchomości zajmuje się sprzedażą mieszkań głównie z rynku pierwotnego. Profesjonalnie przeprowadza przez cały proces zakupu mieszkania. To nie pierwsza inwestycja, którą się zajmujemy.
ZAPRASZAMY DO KONTAKTU:
VAH Nieruchomości
Hubert Kom. 600799020
Najlepsza cena na rynku! Świetna inwestycja w przyszłość!
Planowany termin oddania budynku do użytkowania: Zapraszam do kontaktu telefonicznego
Informacje dotyczące nieruchomości nie są ofertą w rozumieniu przepisów prawa, mają charakter wyłącznie informacyjny i mogą podlegać aktualizacji, zalecamy ich osobistą weryfikację.</t>
  </si>
  <si>
    <t>https://www.otodom.pl/pl/oferta/osiedle-miodowe-m11-42-29m-ID4nJOd</t>
  </si>
  <si>
    <t>4nJOd</t>
  </si>
  <si>
    <t>Piękne mieszkanie po generalnym remoncie Chełm!</t>
  </si>
  <si>
    <t>Aleja Żołnierzy I Armii Wojska Polskiego, Chełm, lubelskie</t>
  </si>
  <si>
    <t xml:space="preserve">Szukasz mieszkania  do 50m2 w Chełmie? Ta oferta powinna Cię zainteresować! Nieruchomość rekomenduję dla pary na tzw. "start", dla dwóch osób, bądź pod inwestycję, ze względu na świetną lokalizację. Prezentowana nieruchomość usytuowana w Chełmie, przy Alei Żołnierzy I AWP , zlokalizowana na drugim piętrze w "punktowcu" czteropiętrowym.Lokal w stanie idealnym po generalnym remoncie. W skład którego wchodzi: kuchnia, przestronny salon z jadalnią, sypialnia, łazienka z WC i korytarz. Do mieszkania przynależy balkon i piwnica (3,10m2). Okna drewniane nowego typu, skierowane na południe i zachód. Na ścianach gładzie, na podłogach nowoczesne panele i gres, w łazience gres szkliwiony.Całość wykonana w stylowym i bardzo efektownym stylu, dzięki czemu nie ma potrzeby dodatkowego inwestowania. WCHODZISZ I MIESZKASZ!!! Dodatkową informacją, która daje nam inne możliwości aranżacyjne jest to, że mieszkanie w pierwowzorze było trzypokojowe. Dzięki temu można wrócić do poprzednich ustawień. Niewątpliwym atutem nieruchomości jest bliskość pełnej infrastruktury usługowo-handlowej oraz licznych placówek edukacyjnych. Do centrum miasta mamy zaledwie 6 minut spacerem, co daje nam dużą oszczędność czasu i pieniędzy. Od mieszkania do przystanków autobusowych dzieli nas zaledwie parę kroków. Najważniejsze informacje:*II piętro*mieszkanie jasne i ciche*dogodna lokalizacja*idealne pod inwestycję*pełna infrastruktura "w zasięgu ręki"*dużo zieleni*opłaty: czynsz 500zł + prąd(wg zużycia)Zapraszamy na prezentację nieruchomości położonej w świetnej lokalizacji.Bezpieczna transakcja za pośrednictwem biura nieruchomości Gold'n'Home- 0% prowizji od kupującego- darmowa pomoc przy uzyskaniu najkorzystniejszego kredytu hipotecznego na rynku- preferencyjne warunki opłat i terminy u notariusza,UMÓW SIĘ JUŻ DZIŚ!!!
Gold'n'Home Edyta Złotnik ul. Powstańców Warszawy 4a, 22-100 Chełmwięcej informacji Katarzyna Sobinek 735532376
Oferta wysłana z programu dla biur nieruchomości ASARI CRM ()
</t>
  </si>
  <si>
    <t>https://www.otodom.pl/pl/oferta/piekne-mieszkanie-po-generalnym-remoncie-chelm-ID4mB0Y</t>
  </si>
  <si>
    <t>4mB0Y</t>
  </si>
  <si>
    <t>Trzypokojowe mieszkanie (64 mkw) w centrum Łodzi</t>
  </si>
  <si>
    <t>ul. Juliana Tuwima, Centrum, Śródmieście, Łódź, łódzkie</t>
  </si>
  <si>
    <t>Oferuję na sprzedaż trzypokojowe mieszkanie przy ulicy J.Tuwima o łacznej powierzchni 64 mkw. Mieszkanie składa się z salonu, sypialni, pokoju, łazienki z wanną, oraz dużego korytarza. W salonie znajduję się klimatyczny kominek. Lokal znajduję się na parterze. Mieszkanie jest do remontu lub do odświeżenia według własnych potrzeb, mieszkanie również można przerobić na inwestycje na kilka mniejszych pokoji, lub na kawalerki.Mieszkanie położone jest w ścisłym centrum miasta. Do najbliższych przystanków autobusowych jak i tramwajowych mamy zaledwie 200m. Do Galerii Łódzkiej jest 1000 m, a do manufaktury zaledwie 1500 m. Najbliższe Parki są w odległości do 300 mi.n park im. Henryka Sienkiewicza w Łodzi. W pobliżu znajdziemy również: supermarkety (np. Biedronka 200m), sklepy spożywcze, restauracje, bary, banki, apteki, przychodnie medyczne i wiele innych Cena: 330.000 zł (5156 zł/mkw.).Średnia wysokość czynszu to 460 zł.Do mieszkania przynależy piwnica wewnątrz kamienicy jest parking dostępny dla mieszkańców kamienicy. Zapraszam na prezentację nieruchomości.</t>
  </si>
  <si>
    <t>https://www.otodom.pl/pl/oferta/trzypokojowe-mieszkanie-64-mkw-w-centrum-lodzi-ID4nhfq</t>
  </si>
  <si>
    <t>4nhfq</t>
  </si>
  <si>
    <t>Dwupoziomowe mieszkanie wolne od zaraz</t>
  </si>
  <si>
    <t>ul. Odkryta, Nowodwory, Białołęka, Warszawa, mazowieckie</t>
  </si>
  <si>
    <t>Na sprzedaż dwupoziomowe 4/5 pokojowe mieszkanie 92,6m z otwartą przestrzenią na dole- ul. OdkrytaPrzedstawiam Państwu niezwykły dwupoziomowy apartament (3 i 4 piętro) na sprzedaż mieszczący się na zadbanym, strzeżonym i monitorowanym osiedlu na zielonej Białołęce.
Mieszkanie o powierzchni 92,6m2 składa się z dwóch poziomów. Na pierwszym wita nas od wejścia ogromna otwarta przestrzeń hallu, salonu, jadalni oraz kuchni. Na tym samym parterze znajduję się, również mniejsza łazienka wyposażona w kabinę prysznicową. W niedużej wnęce usytuowano pralkę, jest także miejsce na suszarkę i dodatkowe półki. Na górę prowadzą nas piękne i dobrze oświetlone drewniane schody, pod którymi, również ulokowano dodatkowy schowek.
Na drugim poziomie znajduję się sypiania z łożem małżeńskim i ogromną szafą z lustrami w zabudowie. Niezwykłym atutem sypialni jest urocze okno, które dzięki swojemu usytuowaniu zapewnia dużo światła w pomieszczeniu, nie zakłócając wypoczynku na łóżku w nocy.Po przeciwnej stronie hallu znajduję się idealny pokój dla dzieci, oraz duża i pojemna garderoba.
UWAGA W BUDYNKU NIEMA WINDY. 
Serdecznie zapraszam na prezentację.</t>
  </si>
  <si>
    <t>https://www.otodom.pl/pl/oferta/dwupoziomowe-mieszkanie-wolne-od-zaraz-ID4oB4Z</t>
  </si>
  <si>
    <t>4oB4Z</t>
  </si>
  <si>
    <t>Komfortowe 3 pokoje - dwa balkony - Iq2024</t>
  </si>
  <si>
    <t>Wyjątkowe mieszkanie 3-pokojowe w nowym bloku na poznańskich Naramowicach..Zakup bez PCC i prowizji!Co zyskujesz?- Rabaty na wybrane mieszkania i miejsca postojowe- Pakiet Home Smart - Pakiet antysmogowyDodatkowo oferujemy:- Ubezpieczenie od utraty stałego źródła dochodu - GRATIS- Bezpłatne konsultacje z ekspertem kredytowym- Wykończenie mieszkania w korzystnych cenach - kilka wariantówDogodna lokalizacja:- sklepy i punkty usługowe w bliskiej okolicy,- szybki dojazd tramwajem do centrum miasta,- szkoły, przedszkola oraz Kampus Morasko,- blisko tereny rekreacyjne Żurawiniec.Miejsca postojowe - dodatkowa płatność.W ofercie mieszkania o różnych metrażach i układach pomieszczeń.Kontakt do biura sprzedaży: Barbara Moszczyńska tel. 797 606 457Zapraszam na spotkanielokal numer 2.A.1.13Zainteresowany? Zadzwoń teraz i umów się na spotkanie online</t>
  </si>
  <si>
    <t>https://www.otodom.pl/pl/oferta/komfortowe-3-pokoje-dwa-balkony-iq2024-ID4oyF9</t>
  </si>
  <si>
    <t>4oyF9</t>
  </si>
  <si>
    <t>Mieszkanie, 1p, 2 pokoje - 300m od jeziora, Olecko</t>
  </si>
  <si>
    <t>Olecko, Olecko, olecki, warmińsko-mazurskie</t>
  </si>
  <si>
    <t xml:space="preserve">Na sprzedaż 2 pokojowe mieszkanie o powierzchni 35.43 m2, położone w Olecku, przy ulicy Gołdapskiej - 300 metrów od Jeziora Oleckie Wielkie.
Mieszkanie usytuowane jest na pierwszym piętrze w trzypiętrowym bloku. Składa się dwóch pokoi (13.28 m2, 10.46 m2), kuchni (8.59 m2), łazienki (1.92 m2), wc (1.18 m2), balkonu (5.44 m2). Do mieszkania przynależy piwnica (11.50 m2).
Okolica jest zadbana i ładnie zagospodarowana. W pobliżu znajdują się Zespół Szkół Licealnych i Zawodowych, Biedronka, sklep spożywczy, hotel, Hala Lega, stadion, Jezioro Oleckie Wielkie, wokół którego przebiega 12 kilometrowa Wiewiórcza Ścieżka zaprojektowana z myślą o amatorach aktywnego wypoczynku. Odległość do centrum miasta wynosi 1.5 km.
Podłogi wyłożone panelami i terakotą. Wszystkie okna w mieszkaniu drewniane dwuszybowe. Instalacja gazowa doprowadzona jest do mieszkania. Miejsca parkingowe znajduję się bezpośrednio przed blokiem.
Czynsz do spółdzielni mieszkaniowej wynosi 400,36 zł + 24 zł (wywóz śmieci za 1 osobę) (ogrzewanie, fundusz remontowy, eksploatacja, administracja, sprzątanie klatek) do czynszu należy doliczyć opłaty za zużycie energii elektrycznej, gazu, ciepłej i zimnej wody.
Cena mieszkania: 150 000 zł
Jako eksperci kredytowi bezpłatnie sprawdzimy Państwa zdolność kredytową i pomożemy w uzyskaniu najkorzystniejszego kredytu hipotecznego lub gotówkowego na rynku.
Współpracujemy z 14 renomowanymi bankami.
Kontakt – Piotr Sosnowski tel. 720 859 859
DOM POLSKI Nieruchomości Kredyty Ubezpieczenia
19-400 Olecko
Plac Wolności 26
tel. 720 859 859, 87 307 07 07
Zainteresowanych zapraszam do obejrzenia nieruchomości.
Prezentowana oferta ma charakter informacyjny. Oferta ta nie stanowi oferty handlowej w rozumieniu Kodeksu Cywilnego ale ma związek z umową pośrednictwa w rozumieniu Ustawy o gospodarce nieruchomościami. Oferta niniejsza prezentowana jest wyłącznie za zgodą właściciela nieruchomości wyrażonej w formie pisemnej.
Wszystkie transakcje pośrednictwa w obrocie nieruchomościami i prezentacje wszystkich nieruchomości klientom odbywają się wyłącznie na podstawie Umów Pośrednictwa zgodnie z Ustawą o gospodarce nieruchomościami i prowadzone są przez Licencjonowanych Pośredników w Obrocie Nieruchomościami - Wojciecha Zackiewicza (nr licencji 11243) i Piotra Sosnowskiego (nr licencji 23818).
Pośrednik odpowiedzialny zawodowo za wykonanie umowy pośrednictwa: Piotr Sosnowski (licencja nr: 23818)
</t>
  </si>
  <si>
    <t>https://www.otodom.pl/pl/oferta/mieszkanie-1p-2-pokoje-300m-od-jeziora-olecko-ID4oA9B</t>
  </si>
  <si>
    <t>4oA9B</t>
  </si>
  <si>
    <t>Mysłowice- Centrum/Ustawne M3/Umeblowane/Kredyt 2%</t>
  </si>
  <si>
    <t>MYSŁOWICE, CENTRUM! DWUPOKOJOWE, USTAWNE Z UMEBLOWANIEM 511514673
OFERUJEMY POMOC W UZYSKANIU KREDYTU ORAZ USŁUGI NOTARIALNE ZE ZNIŻKĄ!
SKORZYSTAJ Z KREDYTU 2%
Oferujemy atrakcyjne dwupokojowe mieszkanie
- STOLARKA OKIENNA Z OKNAMI PLASTIKOWYMI
-PODŁOGI:PANELE, PŁYTKI
- PODWIESZONE SUFITY W POKOJACH, NA PRZEDPOKOJU
Mieszkanie o powierzchni 49 m na parterze
W skład mieszkania wchodzi salon, ustawna, duża sypialnia, kuchnia, przedpokój, łazienka z toaletą.
W cenie może pozostać większość mebli widocznych na zdjęciach
Mieszkanie w dobrym standardzie, remontowane na bieżąco w ostatnich latach.
Mieszkanie znajduje się w Mysłowicach w Centrum z dostępem do placówek oświaty, szkoły, przedszkola, żłobki, sklepy. W pobliżu parki, Park Promenada
Bazarek, sklepy spożywcze, galeria handlowa Quick Park.
Przystanki komunikacji miejskiej, łatwy i szybki wyjazd komunikacyjny przy autostradzie A4, drodze S86.  
Mieszkanie sprawdzi się idealnie do zamieszkania dla rodziny
W najbliższej okolicy bloku sporo miejsc parkingowych.
Doskonała lokalizacja. Szybki i wygodny dojazd do pozostałych części Katowic, Mysłowic, Tychów, Sosnowca, Jaworzna i innych miast ościennych.
Więcej informacji pod numerem telefonu: 511 514 673
Agent odpowiedzialny zawodowo: Martyna Gabryszewska (lic. nr 16071)
AGENCJA NIERUCHOMOŚCI MG BROKER, Pl. Wolności 1, Mysłowice, 41-400</t>
  </si>
  <si>
    <t>https://www.otodom.pl/pl/oferta/myslowice-centrum-ustawne-m3-umeblowane-kredyt-2-ID4npAK</t>
  </si>
  <si>
    <t>4npAK</t>
  </si>
  <si>
    <t>Sprzedam mieszkanie 3pok70m-W-wa-Ochota-Akademicka</t>
  </si>
  <si>
    <t>ul. Akademicka, Stara Ochota, Ochota, Warszawa, mazowieckie</t>
  </si>
  <si>
    <t>Mieszkanie 3-pokojowe o powierzchni 69,3 m2 położone na parterze w IV-piętrowej, zabytkowej kamienicy z 1928 r na Starej Ochocie przy ul. Akademickiej, na Placu Narutowicza. 
Cicha, zielona okolica. W pobliżu sklepy, kawiarnie i restauracje (Warzywniak u Chłopaków, piekarnia Żywiciel, Haritage, Waffle Bar, etc.). Pola Mokotowskie, Stadion Skry czy Skwer Sue Ryder są 10 minut piechotą.
W otoczeniu zabytkowe kamienice, ciche uliczki. 
Pl. Narutowicza to także doskonały punkt komunikacyjny. Dojazd do Centrum zajmuje tramwajem ok. 10 minut. Przystanki autobusowe są w odległości 100 m od kamienicy. 
Mieszkanie mieści się w  reprezentacyjnej, zadbanej kamienicy z wpisem do ewidencji zabytków, należącej do spółdzielni mieszkaniowej jednego domu. 
W 2010 r. wymieniono w budynku piony wodno – kanalizacyjne, c.o. i gazowe. Jest nowy dach i rynny. 
W 2023 r. dokończono remont elewacji zewnętrznej. 
Kamienica jest bezpieczna, posiada bramofon, domofon oraz monitoring.  
Mieszkanie jest ciche, dwustronne – okna drewniane skrzynkowe jednego pokoju wychodzą na zachód, na zadbane i tonące w zieleni patio.
Okna w dwóch pozostałych pokojach wychodzą  z kolei na wschód, na zielony teren oddzielający od sąsiedniej kamienicy. 
Mieszkanie jest ustawne. Z holu – 16 m2 prowadzą niezależne wejścia do wszystkich pomieszczeń - pokoju dziennego z wydzieloną częścią kuchenną – 20 m 2 + 2 sypialni: 15 m2 i 13 m2 oraz łazienki z wc – 5 m2 (jest wanna). Na podłogach wszędzie oryginalny parkiet dębowy, w łazience terakota.
Wysokość mieszkania to 3,20 m. 
Lokal wymaga remontu,  odrestaurowania istniejącej, oryginalnej stolarki okiennej i drzwiowej lub wymiany na nowoczesną. 
Właściciel lokalu korzysta z piwnicy – 8 m2. Jest to spółdzielcze własnościowe prawo do lokalu – spółdzielnia ma uregulowany tytuł do gruntu więc nie ma żadnego problemu z założeniem księgi wieczystej. 
Czynsz wynosi ok. 1000.-zł wraz z zaliczką na wodę i ogrzewanie.
Mieszkanie doskonale nadaje się także na cele biznesowe (np. kancelarię czy gabinet). 
Cena ofertowa sprzedaży wynosi – 1.500.000.-zł. Bohdan Grochowski – Nieruchomości. Licencja nr 717. </t>
  </si>
  <si>
    <t>https://www.otodom.pl/pl/oferta/sprzedam-mieszkanie-3pok70m-w-wa-ochota-akademicka-ID4njOk</t>
  </si>
  <si>
    <t>4njOk</t>
  </si>
  <si>
    <t>Apartament na ostatnim piętrze w centrum Wrocławia</t>
  </si>
  <si>
    <t>Plac Kościuszki, Przedmieście Świdnickie, Stare Miasto, Wrocław, dolnośląskie</t>
  </si>
  <si>
    <t>Opiekun oferty:Wiktoria Czaplińskatel. 602 101 6024 pokoje w nowej inwestycji w centrum Wrocławia z widokiem na panoramę miasta.Układ pomieszczeń:- Salon z aneksem kuchennym ok. 26,75 m2- Łazienka ok. 6,96 m2- Łazienka ok. 3,59 m2- Pokój ok. 15,39 m2- Pokój ok. 11,57 m2- Pokój ok. 11,46 m2- Przedpokój ok. 11,95 m2- Balkon ok. 31,49 m2Najważniejsze informację:- Inwestycja w centrum miasta- Rolety antywłamaniowe- Energooszczędne i cichobieżne windy na wszystkich piętrach- Grzejniki kanałowe- Wideodomofon, kontrola dostępu, ochrona i monitoring- Balustrady ze szkła bezpiecznego i duże okna o podwyższonej izolacji akustycznej- Drewniana stolarka okienna- Taras widokowy na dachu- Strefa coworkingowa z aneksem kuchennym - doskonałe rozwiązanie dla osób pracujących zdalnie- Rowerownia i warsztat dla miłośników dwóch kółekOtoczenie nieruchomości:Budynek powstaje w samym sercu Wrocławia. Bliskość rynku we Wrocławiu ok 600 m. Świetne połączenie komunikacyjne (650 m do PKP Wrocław Główny, 980 m do dworca autobusowego, 7,7 km do obwodnicy Wrocławskiej, 11,2 km do Portu Lotniczego Wrocław), Bogata oferta kulturalna (280 m do Galerii Renoma, 400 m do Opery Wrocławskiej, 450 m do Wrocławskiego Teatru Komedia, 500 m do Teatru Muzycznego Capitol, 700 m do Narodowego Forum Muzyki, 750 m do CH Arkady Wrocławskie), Przyjemne tereny zielone w okolicy (500 m do Parku Mikołaja Kopernika, 650 m do Promenady Staromiejskiej, 1,6 km do Wzgórza Partyzantów, 1,8 km do Parku Juliusza Słowackiego, 2,1 km do Wyspy Słodowej, 2,1 km do Ogrodu Botanicznego, 3,6 km do Ostrowa Tumskiego, 3,6 km do Ogrodu Zoologicznego).Niewystarczające środki? To nie problem.Pomagamy w uzyskaniu finansowania na tę i inne nieruchomości.Opiekun oferty:Wiktoria Czaplińskatel. 602 101 602</t>
  </si>
  <si>
    <t>https://www.otodom.pl/pl/oferta/apartament-na-ostatnim-pietrze-w-centrum-wroclawia-ID4oF81</t>
  </si>
  <si>
    <t>4oF81</t>
  </si>
  <si>
    <t>3 pokojowe. Duży parking ogólnodostępny.</t>
  </si>
  <si>
    <t>Zielona Przystań Nad Wartą to nowo powstająca inwestycja składająca się z 2 kameralnych budynków wielorodzinnych. Osiedle położone w Luboniu ul. Kajakowa 9 i 11, w odległości 100 m od Rzeki Warty.
Ceny od 7.990 zł/m2 – 9.090 zł/m2
 Nasze osiedle to komfort współgrający z otaczającą przyrodą, gdzie bliska relacja z naturą jest niezwykłą wartością miejsca. Inwestycja zaprojektowana w cichej i doskonale skomunikowanej części Lubonia zaledwie 3  km jazdy do granic Poznania.   W ofercie znajdują się dwu- i trzypokojowe mieszkania o powierzchni od 41m2 do 62 m2. Uwagę zwracają także funkcjonalne rozkłady mieszkań jak również fakt, że każde z mieszkań posiada prywatny ogródek z tarasem lub balkon.
Mieszkania 2 pokojowe (pow. 41,5 m2 – 52 m2)
Mieszkania 3 pokojowe (pow. 57,5 m2- 62 m2)
 Oferujemy mieszkania o podwyższonym standardzie deweloperskim. Wszystkie mieszkania zostaną wyposażone w podtynkowe skrzynki na rolety elektryczne oraz ogrzewanie podłogowe (rozłożone w łazience). Dodatkowo zamontowane zostaną nowoczesne ekonomiczne piece gazowe renomowanego producenta, a także wideodomofony podnoszące bezpieczeństwo mieszkańców.  Na terenie osiedla oprócz bujnej i zróżnicowanej zieleni, zlokalizujemy 224 naziemne miejsca postojowe (w tym 176 bezpłatnych miejsc postojowych). Dodatkowo zaprojektowaliśmy przyjazny dzieciom plac zabaw, wiatę rowerowa dla cyklistów, ławki i lampy.
Możliwość zakupu zewnętrznego miejsca postojowego.
 Dodatkowe opcje:  - Pomagamy z sfinansowaniu zakupu przy udziale kredytu bankowego (także w ramach rządowego programu 2%) – sprawdzony partner Notus S.A. - Możliwość wykończenia mieszkania „Pod Klucz” już od 1000 zł/m2 - Możliwość wyposażenia mieszkania ze sprawdzonym partnerem  Zapraszamy do naszego biura w Poznaniu przy ul. Kopanina 30A lok. 304.
Aktualna oferta na stronie: Przystan – warta . pl</t>
  </si>
  <si>
    <t>https://www.otodom.pl/pl/oferta/3-pokojowe-duzy-parking-ogolnodostepny-ID4nUOZ</t>
  </si>
  <si>
    <t>4nUOZ</t>
  </si>
  <si>
    <t>Apartament 51m2, 3 pokoje, Bezpośrednio, 0% PCC</t>
  </si>
  <si>
    <t>Stare Bielsko, Bielsko-Biała, śląskie</t>
  </si>
  <si>
    <t>BEZPOŚREDNIO OD DEWELOPERA, BEZ PCC I PROWIZJI
W naszej ofercie znajdują się również inne mieszkania i apartamenty na tej, jak i innych inwestycjach, dlatego zachęcamy do bezpośredniego kontaktu, gwarantując tym samym znalezienie dla Państwa idealnej nieruchomości w najniższej cenie.
ZAKOŃCZENIE BUDOWY IV KWARTAŁ 2024 r.
Lokalizacja:
Inwestycja leży kilka minut od drogi wylotowej z Bielska-Białej. Trasy S1, S52 pozwalają zarówno szybko i łatwo dotrzeć do Krakowa, jak i Katowic
Do centrum Bielska-Białej (pl. Chrobrego) można dojechać autem zaledwie w 7 minut (3 km)
Najbliższy przystanek autobusowy znajduje się na osiedlu Sarni Stok (500 m) – obsługiwane linie to 22 i 25
Nieopodal znajdują się również dwie stacje kolejowe – Bielsko-Biała Północ (2,1 km) oraz Bielsko-Biała Główna (2,6 km)
Centrum handlowe Sarni Stok znajduje się w odległości 1 km od inwestycji (15 minut pieszo)
Galeria Sfera, czyli największe centrum handlowe Podbeskidzia z 250 sklepami, restauracjami czy kawiarniami, jest oddalona zaledwie o 7 minut jazdy autem
Najbliższe osiedlowe sklepy spożywcze znajdują się w odległości 700 m (9 minut pieszo)
Inwestycja została zaprojektowana na wschodnim zboczu wzgórza Trzy Lipki, które jest ulubionym miejscem spotkań, spacerów i spędzania wolnego czasu przez bielszczan. Wzgórze zachwyca widokiem na górskie pasma Beskidu Małego, Beskidu Śląskiego, a nawet Tatr. Inwestycja jest również położona w świetnym punkcie komunikacyjnym, w rejonie Sarniego Stoku, jednocześnie blisko drogi wylotowej z miasta, jak i centrum Bielska-Białej.
W ramach inwestycji powstanie łącznie 279 lokali mieszkalnych w czterech 3-piętrowych budynkach wraz z ponad 400 miejscami postojowymi. W ofercie dostępne są zróżnicowane układy od jedno- do nawet pięciopokojowych mieszkań, wyposażonych w nowoczesne rozwiązania umożliwiające zastosowanie urządzeń typu Smart Home oraz filtry antysmogowy eliminujące zanieczyszczenia, alergeny czy nawet owady. Mieszkania na parterze będą posiadać zielone ogródki i tarasy wybrukowane kostką, natomiast do lokali na piętrze będą przynależeć balkony z przejrzystymi, szklanymi albo stalowymi balustradami. Balkony zostaną wykonane w technologii Isokorb, co zapobiegnie utracie ciepła z mieszkania i pozwoli zaoszczędzić na kosztach ogrzewania.
W częściach wspólnych uwzględniono oświetlenie LED, ciche i szybkie windy, stojaki rowerowe, stację ładowania samochodów elektrycznych oraz plac zabaw. Nie zabraknie także zieleni i elementów małej architektury. W trosce o bezpieczeństwo mieszkańców, osiedle zostanie ogrodzone.
Jesteśmy dla Państwa dostępni również w weekendy!   Do Państwa dyspozycji pozostają nasi profesjonalni doradcy finansowi, którzy ZA DARMO pomogą w dopasowaniu najlepszej oferty kredytu hipotecznego dopasowanego do Państwa potrzeb.   Dodatkowo oferujemy usługi naszej firmy wykończeniowej, która przygotuje dla Państwa mieszkanie pod klucz! Przy zakupie mieszkania DARMOWA konsultacja z architektem!   Więcej informacji pod numerem telefonu 882 059 982
Niniejsza oferta nie stanowi oferty w rozumieniu Kodeksu cywilnego.</t>
  </si>
  <si>
    <t>https://www.otodom.pl/pl/oferta/apartament-51m2-3-pokoje-bezposrednio-0-pcc-ID4oDY8</t>
  </si>
  <si>
    <t>4oDY8</t>
  </si>
  <si>
    <t>Urokliwe Mieszkanie z Dużym Ogródem</t>
  </si>
  <si>
    <t>Podjuchy, Prawobrzeże, Szczecin, zachodniopomorskie</t>
  </si>
  <si>
    <t>Urokliwe Mieszkanie z Tarasami i Dużym Ogródem w Spokojnej OkolicyCena: 715 400 złPowierzchnia mieszkania: 96.2 m²Liczba pokoi: 4Wyposażenie: Kominek, 2 tarasyDodatki: Duży ogród, strych, 2 piwnice, 2 garaże, komórka lokatorska To mieszkanie o powierzchni 96,2 m² położone na dzielnicy Podjuchy w Szczecinie  stanowi wyjątkową ofertę dla tych, którzy cenią sobie spokojne otoczenie oraz bliskość natury. Wnętrza:Ten uroczy dom w kamienicy oferuje cztery przestronne pokoje, kuchnię oraz łazienkę. W jednym z pokoi znajduje się przytulny kominek, który tworzy idealną atmosferę do relaksu i spotkań rodzinnych. Dodatkowym atutem są dwa tarasy, z których można cieszyć się pięknym widokiem na okolicę.Na Zewnątrz:Do mieszkania przynależy duży ogród, który stanowi idealne miejsce do grillowania, pikników i rekreacji na świeżym powietrzu. Dodatkowo, do dyspozycji mieszkańców są strych, dwie piwnice z podłączeniem do wody oraz kanalizacji, jedna piwnica z wyjściem do ogrodu oraz dwa garaże, co zapewnia dużo miejsca na przechowywanie i parking.W kamienicy mieszka tylko jeden sąsiad "złota rączka".Lokalizacja:Dzielnica Podjuchy jest znana z swojego spokojnego charakteru i dostępu do terenów zielonych. Pobliskie puszcze i parki zapewniają liczne możliwości na spacery, bieganie i kontakt z naturą.To mieszkanie to doskonała okazja dla tych, którzy marzą o połączeniu wygody miejskiego życia z bliskością natury. Nie przegap tej okazji, skontaktuj się z nami już dziś, aby umówić się na prezentacje tej wyjątkowej nieruchomości! Oferta wysłana z programu dla biur nieruchomości ASARI CRM ()</t>
  </si>
  <si>
    <t>https://www.otodom.pl/pl/oferta/urokliwe-mieszkanie-z-duzym-ogrodem-ID4ntPF</t>
  </si>
  <si>
    <t>4ntPF</t>
  </si>
  <si>
    <t>Mieszkanie dwustronne z balkonem</t>
  </si>
  <si>
    <t>ul. Śniadeckich, Grudziądz, kujawsko-pomorskie</t>
  </si>
  <si>
    <t>Prezentuje do sprzedaży dwupokojowe mieszkanie o powierzchni 39m2 położone na drugim piętrze w bloku przy ulicy Śniadeckich. Nieruchomość to dwa pokoje, kuchnia, łazienka z WC i przedpokój. Mieszkanie słoneczne, z ogromnym potencjałem !. Ogrzewanie, woda ciepła i zimna dostarczana przez sieć miejską. Blok ocieplony i odnowiony - położony w bardzo dobrym miejscu - osiedle Strzemięcin - blisko szkoła, przedszkole, przystanek autobusowy, sklepy i inne udogodnienia. </t>
  </si>
  <si>
    <t>https://www.otodom.pl/pl/oferta/mieszkanie-dwustronne-z-balkonem-ID4l9Ol</t>
  </si>
  <si>
    <t>4l9Ol</t>
  </si>
  <si>
    <t>NAJNOWSZA OFERTA! Świetne domy w Czekanowie!</t>
  </si>
  <si>
    <t>ul. Kolejowa, Czekanów, Zbrosławice, tarnogórski, śląskie</t>
  </si>
  <si>
    <t>NAJNOWSZA OFERTA! NAJNOWSZA OFERTA! NAJNOWSZA OFERTA!
KUPUJĄCY NIE PŁACI PROWIZJI! PROWIZJĘ POKRYWA SPRZEDAJĄCY!
Poszukujemy właścicieli trzech nowobudowanych, świetnych domów jednorodzinnych w Czekanowie przy ulicy Kolejowej. Wszystkie trzy budowane są według tego samego projektu (Dom w Klematisach 19B firmy archon), przy czym dwa spośród nich to połówki bliźniaka, a jeden to dom wolnostojący.
Oferowane budynki to budynki bardzo wygodne, dwukondygnacyjne, pięciopokojowe, z dwiema łazienkami, balkonem oraz garażem w bryle. Powierzchnia użytkowa wraz z garażem, to 135,04 m2, zaś powierzchnia całkowita 184,74 m2. Domy posadowione na sporych działkach, tj. 651 m2, 546 m2 oraz 518m2.
Budynki budowane metodą tradycyjną, murowane z bloczka z betonu komórkowego, strop nad parterem monolityczny żelbetowy, schody na piętro żelbetowe, dach dwuspadowy kryty grafitową blachodachówką, ogrzewanie podłogowe z pompy ciepła.
Oferowana cena budynku obejmuje szeroki zakres wykonanych prac i zawiera w sobie: ocieplenie domu wraz z otynkowaniem, przyłącza: wody, prądu, kanalizacji, kompletną stolarkę okienną grafitową PVC 3-szybową, drzwi zewnętrzne, bramę wjazdową do garażu, wykostkowany wjazd na posesję, ogrodzony, uporządkowany i zasiany trawą terenem, w środku rozprowadzone wszystkie instalacje, położone tynki na ścianach oraz wykonane wylewki na podłogach, zamontowaną pompę ciepła, zbudowany kanał pod kominek. TERMIN REALIZACJI-WIOSNA/LATO 2024 R.
UKŁAD POMIESZCZEŃ DOMU:
PARTER o pow. 72.9 m2:
1. Salon 25.72 m2
2. Kuchnia 7.94 m2
3. Łazienka 6.76 m2
4. Hol 3.15 m2
5. Przedpokój 3.79 m2
6. Schody 4.64 m2
7. Wiatrołap 3.24 m2
8. Garaż 17.66 m2
PODDASZE o pow. 62.14 m2 (po podłodze 65.81 m2)
1. Pokój I 13.31 m2 (po podłodze 14.28 m2)
2. Pokój II 13.16 m2 (po podłodze 14.13 m2)
3. Łazienka 6.78 m2
4. Pokój III 12.90 m (po podłodze 13.77 m2)
5. Pokój IV 11.59 m2 (po podłodze 12.45 m2)
6. Hol 4.4 m2
Bardzo dobra lokalizacja, której nie trzeba zachwalać. Usytuowanie wśród zabudowy jednorodzinnej (najnowszej i nieco starszej), w oddaleniu od zgiełku miasta, a jednak z łatwym dostępem do niezbędnej infrastruktury, w tym drogowej poprzez bezpośrednią bliskość autostrady A1, czy trasy DK 78. Z uwagi na bliskie sąsiedztwo szkoły i przedszkola, oferta skierowana także do rodzin z dziećmi.
CENA POŁÓWKI BLIŹNIAKA: 840 000 PLN.
CENA DOMU WOLNOSTOJĄCEGO: 890 000 PLN.
POLECAM SERDECZNIE! Aleksandra Kaiser telefon: 602 729 752 (licencja FPPRN nr 22282).
* Opis oferty może podlegać aktualizacji i nie stanowi oferty określonej w art. 66 i następnych K.C.</t>
  </si>
  <si>
    <t>https://www.otodom.pl/pl/oferta/najnowsza-oferta-swietne-domy-w-czekanowie-ID4ormP</t>
  </si>
  <si>
    <t>4ormP</t>
  </si>
  <si>
    <t>69,59 m2 Na Granicy Morena/Jasień - piętro 3/3</t>
  </si>
  <si>
    <t>Jasień, Gdańsk, pomorskie</t>
  </si>
  <si>
    <t>ŚWIETNA LOKALIZACJA!!! ATRAKCYJNA CENA!!! 9283 ZŁ/M2 - MIESZKANIE NA GRANICY MORENY I JASIENIA!!! OSTATNIE - 3 PIĘTRO!!!Inwestycja znajduje się na granicy Moreny i Jasienia. Wokół pełno naturalnej zieleni dającej możliwość wypoczynku oraz małe jeziorko. Lokalizacja jest idealnie skomunikowana z centrum Gdańska i Wrzeszczem. Regularnie kursują tu autobusy miejskie i pociągi PKM. W niedalekiej odległości przebiega obwodnica łącząca aglomerację trójmiejską. W niedalekiej przyszłości utworzone zostanie połączenie tramwajowe (przystanek 200 m od inwestycji).W pigułce - atuty stanowiące o atrakcyjności oferty:✔ bardzo atrakcyjna cena✔ tereny rekreacyjne✔ na terenie osiedla punkty usługowe, idealna lokalizacja✔ bliskość Obwodnicy Trójmiasta✔ balkon 11 m2Termin oddania inwestycji: II kw 2025Serdecznie zapraszam do prezentacji inwestycji oraz kontaktu!Oferta wysłana z programu dla biur nieruchomości ASARI CRM ()</t>
  </si>
  <si>
    <t>https://www.otodom.pl/pl/oferta/69-59-m2-na-granicy-morena-jasien-pietro-3-3-ID4oute</t>
  </si>
  <si>
    <t>4oute</t>
  </si>
  <si>
    <t>kawalerka po remoncie z klimatyzacją</t>
  </si>
  <si>
    <t>ul. Kaszubska, Jastrzębie-Zdrój, śląskie</t>
  </si>
  <si>
    <t>M-2 po generalnym remoncie ul. Kaszubska Jastrzębie-Zdrój
OFERTA TYLKO W NASZYM BIURZE-nie szukaj dalej 
Pomagamy w uzyskaniu kredytu w programie "BEZPIECZNY KREDYT 2%"
Polecamy Państwu piękna kawalerkę  o pow. 33,50 m2, położona na 10 piętrze w bloku z dwiema windami. Do mieszkania przynależy piwnica. Nieruchomość jest po generalnym remoncie. Wymienione instalacje elektryczna, gazowa, wodna, co-nowe kaloryfery. Założone rolety zewnętrzne, klimatyzacja  rolety dzień/noc oraz moskitiery. Wymienione drzwi wewnętrzne i zewnętrzne razem z futrynami. Okna PCV.
Z okien rozpościera się piękny widok na panoramę miasta.
Rozkład pomieszczeń:
Pokój ściany gładź, podłoga deska barlinecka, klimatyzacja. Kuchnia z oknem w kafelkach nowoczesnego typu, zabudowana meblami na wymiar, która wraz ze sprzętami AGD (zmywarka, lodówka, płyta indukcyjna, okap) pozostaje w cenie. Łazienka w kafelkach nowoczesnego typu, kabina prysznicowa, pralka, szafka z umywalką lustro podświetlane, geberit.. Przedpokój ściany gładź, podłoga kafelki, szafa pod zabudowę.
Super lokalizacja w centrum miasta, blisko sklepy, galeria handlowa, przystanek autobusowy, przychodnia, szkoła, przedszkole, żłobek, bank, punktu usługowe, deptak spacerowy.
ZAPRASZAMY NA NIEZOBOWIĄZUJĄCĄ PREZENTACJĘ
Kupując nieruchomość za pośrednictwem naszego biura PENTHOUSE- nieruchomości mają Państwo zagwarantowane bezpieczeństwo transakcji objętej ochroną ubezpieczeniową. Oferujemy bezpłatną pomoc w uzyskaniu kredytu hipotecznego lub gotówkowego, oferujemy Państwu wiele banków do wyboru, dobierzemy najlepszą ofertę.
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
 </t>
  </si>
  <si>
    <t>https://www.otodom.pl/pl/oferta/kawalerka-po-remoncie-z-klimatyzacja-ID4nH16</t>
  </si>
  <si>
    <t>4nH16</t>
  </si>
  <si>
    <t>Nowe, gotowe do zamieszkania, pięknie urządzone</t>
  </si>
  <si>
    <t>Jest to oferta bezpośrednio od właściciela.
Wysoki standard wykończenia, prestiżowe, bezpieczne osiedle, nowoczesny blok oddany do użytku we wrześniu 2023! Metraż mieszkania wynosi 49,47 m2, na który składają się: 
- salon z aneksem kuchennym. Kuchnia w zabudowie w kolorze jasny beż/kaszmir, w pełni wyposażona (lodówka i zamrażarka, płyta indukcyjna, piekarnik, stylowy złoty okap), wysokiej jakości. Z salonu mamy wyjście na przestronny taras (16,74 m2), który jest bardzo ustawny - zmieści się tam wypoczynek oraz stół z krzesłami. Po długim dniu w pracy będzie to idealne miejsce na odprężenie i relaks,
- przytulna sypialnia/pokój dla dzieci,
- sypialnia z miejscem na szafę, na jednej ścianie jest tapeta z delikatnym wzorem, dzięki której pomieszczenie jest przytulne, 
- jasna łazienka wykończona w dużych marmurowych kaflach ze stylowymi złotymi dodatkami, 
- przestronny przedpokój z miejscem na 2 szafy
Mieszkanie idealnie trafi w gust osób ceniących sobie nowoczesne, przytulne i ciepłe wnętrza. Wystarczy dosłownie kilka mebli i można się wprowadzać. 
Możesz dokupić dodatkowo prywatne miejsce postojowe (12 tys.zł) i komórkę lokatorską (7 tys.zł). 
Osoba kupująca nie płaci podatku PCC 2%, czyli oszczędzasz ok.10 tys.zł. 
Zapraszam do obejrzenia nieruchomości. </t>
  </si>
  <si>
    <t>https://www.otodom.pl/pl/oferta/nowe-gotowe-do-zamieszkania-pieknie-urzadzone-ID4ou8G</t>
  </si>
  <si>
    <t>4ou8G</t>
  </si>
  <si>
    <t>Antoniuk 49 m2 do wejścia, 3 pokoje po remoncie</t>
  </si>
  <si>
    <t>Antoniuk, Białystok, podlaskie</t>
  </si>
  <si>
    <t>Komfortowe, świeżo wykończone, 3-pokojowe mieszkanie położone na 5 piętrze z windą, na osiedlu Antoniuk, oddalone 5 min pieszo od ścisłego centrum Białegostoku.Zdjęcia przedstawiają wizualizacje, cena obejmuje pełne wyposażenie kuchni (piekarnik, zmywarka, lodówka), i łazienki z możliwością umeblowania mieszkania w całości za dodatkową opłatą. Nowoczesny salon  z wyjściem na balkon, oddzielna kuchnia, 2 sypianie, łazienka połączona z WC oraz strefa wejścia. Do mieszkania przynależy także piwnica. W najbliższej odległości przystanki komunikacji miejskiej, sklepy spożywcze, szkoła, żłobek, przedszkole. Wiele bezpłatnych miejsc parkingowych wokół budynku.Cena 485 000 PLN.Kontakt 796 888 924 Katarzyna Bujnowska MCKWADRAT Nieruchomości.Prezentowana oferta ma charakter informacyjny, nie stanowi oferty handlowej w rozumieniu Art. 66 par. 1 Kodeksu Cywilnego. Dokładamy starań, aby nasze oferty były rzetelnie sprawdzone i aktualne.Niniejsze materiały stanowią własność przedsiębiorstwa MCKWADRAT Nieruchomości w rozumieniu ustawy z dnia 16 kwietnia 1993 r. o zwalczaniu nieuczciwej konkurencji (Dz. U. z 2003 r., Nr 153, poz. 1503 z późn. zm.).</t>
  </si>
  <si>
    <t>https://www.otodom.pl/pl/oferta/antoniuk-49-m2-do-wejscia-3-pokoje-po-remoncie-ID4ofIe</t>
  </si>
  <si>
    <t>4ofIe</t>
  </si>
  <si>
    <t>Mieszanie do remontu</t>
  </si>
  <si>
    <t>Przedstawiamy ofertę mieszkania do remontu na parterze w dzielnicy Grotowice w Opolu.Nieruchomość jest aktualnie przeznaczona na lokal usługowy jest możliwość adaptacji na lokal mieszkalny. Mieszkanie znajduje się na parterze w zadbanym niskim bloku.  Do nieruchomości przynależy piwnica oraz dwa balkony.  Powierzchnia użytkowa to 40,51 mkw. Ogrzewanie miejskie. Lokal jest doskonały pod cele inwestycyjne, remont oraz sprzedaż z zyskiem czy też pod wynajem. Zapraszamy do kontaktu w celu uzyskania szczegółowych informacji lub umówienia się na bezpłatną prezentację. Szczegóły oferty: INVESTOR NIERUCHOMOŚCI II Oddział w Opolu ul. Sosnkowskiego 6 (Pawilon Skaut) – Fatima Sowa, tel. 787 649 771lub 77 453 70 53.Nota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</si>
  <si>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https://www.otodom.pl/pl/oferta/mieszanie-do-remontu-ID4okkg</t>
  </si>
  <si>
    <t>4okkg</t>
  </si>
  <si>
    <t>Okazja! Apartament blisko morza ul. Zdrojowa</t>
  </si>
  <si>
    <t>ul. Zdrojowa, Świnoujście, zachodniopomorskie</t>
  </si>
  <si>
    <t>Nieruchomość, którą Państwu prezentuje zlokalizowana jest  bardzo blisko plaży ,otoczona zielenią zrewitalizowanego, ponad 100-letniego Parku Zdrojowego ,na terenie zamkniętego , monitorowanego osiedla przy Ul. Zdrojowej. Apartament znajduję się na 5 piętrze w pięciopiętrowym budynku z windą wybudowanym w 2010 roku. Dodatkowym atutem jest tu ogólnodostępny parking dla samochodów. W skład Apartamentu 28,21m2 wchodzą:Salon o powierzchni 21,35m2 w pełni umeblowany: 2 sofy rozkładane dwuosobowe ,komoda ,stoliki ,szafki nocne ,stół z czterema krzesłami oraz telewizorem widoczne na zdjęcia. Aneks kuchenny z płytą indukcyjną i lodówką  ,urządzony w funkcjonalny sposób .Przedpokój o powierzchni 3,35m2 z  pojemną szafą w zabudowie.Jasna łazienka o powierzchni 3,51m2  wyposażona w kabinę prysznicową , umywalkę i toaletę.Apartament posiada również balkon o powierzchni 7,5 m2 skierowany w kierunku wschodnich.Przy budynku znajduje się parking ogólnodostępny Comiesięczny czynsz do wspólnoty wynosi 350zł.Osiedle na , który znajduje się nieruchomość jest cichym i spokojnym  miejscem . Całodobowa ochrona oraz to że teren jest monitorowany i ogrodzony zapewni Państwu poczucie bezpieczeństwa. Przestrzeń wspólna budynków jest wspaniale zagospodarowana i zadbana- duża ilość zieleni, kwiatów, pergoli oraz krzewów . Znajduje się tam strefa relaksu dla mieszkańców ,w której znajdziemy fontannę , ławeczki i plac zabaw dla dzieci.Dostępny jest także bezpłatny parking przy budynkach.Nieruchomość znajduje się w bezpośrednim sąsiedztwie parku,  promenady oraz cudownej szerokiej świnoujskiej plaży   . W pobliżu położony jest również hotel Interferie Medical  SPA oferujący zabiegi , basen , sauny, groty solne oraz kawiarnia.Apartament jest idealną inwestycją zarówno na własne potrzeby jak i w celu wynajmu krótkoterminowego ,z którego można czerpać przychody w kwocie nawet do kilkudziesięciu tysięcy złotych rocznie.Lokal stanowiący odrębną własność.Na życzenie klienta pomożemy w uzyskaniu bezpiecznego kredytu 2% na zakup nieruchomości.Zapraszam na prezentację nieruchomości.Kontakt:Karolina WilczyńskaAgentka Nieruchomościtel. 885 050 815e-mail: Jeśli posiadacie Państwo nieruchomość w okolicy, to serdecznie zapraszam z przyjemnością podpowiem co warto zrobić, aby transakcja sprzedaży lub zakupu przebiegła, bezpiecznie, szybko i korzystnie.Serdecznie pozdrawiam.Właścicielem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informacyjny.Das Anwesen, das ich Ihnen vorstelle, befindet sich ganz in der Nähe des Strandes, umgeben vom Grün des revitalisierten, über 100 Jahre alten Kurparks, in einer geschlossenen, überwachten Wohnsiedlung in der ul. Zdrojowa. Die Wohnung befindet sich im 5. Stock eines fünfstöckigen Gebäudes mit Aufzug aus dem Jahr 2010. Ein weiterer Vorteil ist der öffentliche Parkplatz.Die 28,21m2 große Wohnung besteht aus:Wohnzimmer mit einer Fläche von 21,35 m2 komplett eingerichtet: 2 Doppelschlafsofas, Kommode, Tische, Nachttische, Tisch mit vier Stühlen und TVEine Küchenzeile mit Induktionskochfeld und Kühlschrank, die funktional eingerichtet ist.Ein Flur mit einer Fläche von 3,35 m2 mit einem geräumigen Einbauschrank.Helles Badezimmer mit einer Fläche von 3,51 m2 mit Duschkabine, Waschbecken und WC.Die Wohnung verfügt auch über einen Balkon von 7,50m2 mit Blick auf Östlich.Unter dem Gebäude befindet sich ein öffentlicher Parkplatz.Die monatliche Miete für die Gemeinschaft beträgt 350 PLN. Das Anwesen, auf dem sich das Anwesen befindet, ist ein ruhiger und friedlicher Ort. Der Sicherheitsdienst rund um die Uhr und die Tatsache, dass das Gelände überwacht und eingezäunt ist, geben Ihnen ein Gefühl der Sicherheit. Der Gemeinschaftsraum der Gebäude ist wunderbar erschlossen und gepflegt – viel Grün, Blumen, Pergolen und Sträucher. Für die Bewohner gibt es eine Entspannungszone, in der Sie einen Brunnen, Bänke und einen Spielplatz für Kinder finden.Kostenfreie Parkplätze stehen ebenfalls an den Gebäuden zur Verfügung.Das Anwesen befindet sich in unmittelbarer Nähe eines Parks, einer Promenade und eines wunderschönen breiten Strandes in Świnoujście. In der Nähe befindet sich auch das Hotel Interferie Medical SPA mit Behandlungen, einem Schwimmbad, Saunen, Salzgrotten und einem Café.Die Wohnung ist eine ideale Investition sowohl für den Eigenbedarf als auch für die kurzfristige Vermietung, aus der Sie Einnahmen in Höhe von bis zu zehntausend Zloty pro Jahr erzielen können.Räumlichkeiten, die getrenntes Eigentum bilden.The property I am presenting to you is located very close to the beach, surrounded by the greenery of the revitalized over 100-year-old Spa Park, in a closed, monitored housing estate at ul. Zdrojowa. The apartment is located on the 5th floor of a five-story building with an elevator, built in 2010. An additional advantage is a public parking lot. The 28.21 m2 apartment includes: A living room with an area of 21.35 m2, fully furnished: 2 double sofa beds, a chest of drawers, tables, bedside tables, a table with four chairs and a TV. A kitchenette with an induction hob and a fridge, functionally furnished. Hallway with an area of 3.35 m2 with a spacious built-in wardrobe. A bright bathroom with an area of 3.51 m2 equipped with a shower, washbasin and toilet. The apartment also has a balcony with an area of 7.50 m2 facing east. There is a public parking lot under the building. The monthly rent for the community is PLN 350. The estate where the property is located is a quiet and peaceful place. 24/7 security and the fact that the area is monitored and fenced will provide you with a sense of security. The common space of the buildings is wonderfully developed and well-kept - a lot of greenery, flowers, pergolas and shrubs. There is a relaxation zone for residents, with a fountain, benches and a playground for children. Free parking is also available near the buildings. The property is located in the immediate vicinity of the park, promenade and the wonderful wide beach in Świnoujście. Nearby, there is also the Interferie Medical SPA hotel offering treatments, a swimming pool, saunas, salt caves and a cafe. The apartment is an ideal investment both for your own needs and for short-term rental, from which you can derive income of up to several dozen thousand zlotys per year. Premises under separate ownership."Właścicielem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</si>
  <si>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https://www.otodom.pl/pl/oferta/okazja-apartament-blisko-morza-ul-zdrojowa-ID4nXbi</t>
  </si>
  <si>
    <t>4nXbi</t>
  </si>
  <si>
    <t>44,70m2 - Gdańsk Suchanino - Gotowe Do Odbioru</t>
  </si>
  <si>
    <t>Orunia-Św. Wojciech-Lipce, Gdańsk, pomorskie</t>
  </si>
  <si>
    <t>PIĘKNE MIESZKANIE - PIĘTRO 2/2 - DWA BALKONY - W CENTRUM GDAŃSKA</t>
  </si>
  <si>
    <t>https://www.otodom.pl/pl/oferta/44-70m2-gdansk-suchanino-gotowe-do-odbioru-ID4onvi</t>
  </si>
  <si>
    <t>4onvi</t>
  </si>
  <si>
    <t>Nowoczesna architektura | wyjątkowy design, 237 m2</t>
  </si>
  <si>
    <t>ul. Bielawska, Konstancin-Jeziorna, Konstancin-Jeziorna, piaseczyński, mazowieckie</t>
  </si>
  <si>
    <t xml:space="preserve">Inwestycja New Edge to kameralne osiedle luksusowych willi zlokalizowanych na ponad hektarowej działce, w otoczeniu zieleni i kameralnej zabudowy jednorodzinnej.New Edge to koncepcja głęboko przemyślana, oferująca mieszkańcom szereg udogodnień.·         Pompa ciepła oraz ogrzewanie podłogowe zapewniają energooszczędność·         Rekuperacja z odzyskiwaniem ciepła to czyste powietrze oraz uzupełnienie systemu ekologicznego źródła ciepła·         Instalacja do ładowania aut elektrycznych to wygoda i ekologia·         Rozprowadzona instalacja do klimatyzacji·         Zaawansowany system domu inteligentnego AMPIO zintegrowanego ze wszystkimi urządzeniami w domu, zagwarantuje wygodę użytkowania, bezpieczeństwo oraz realne oszczędności·         Termoizolacyjne szyby na elewacjach południowych i zachodnich·         Konstrukcja dachu przygotowana pod instalację fotowoltaiczną·         Elewacja pokryta spiekiem kwarcowym w odcieniu i fakturze betonu architektonicznego to trwałość na lata·         Wygodny dwustanowiskowy garaż w bryle budynku·         Ponadprzeciętna wysokość kondygnacji do 650 cm oraz duże przeszklenia dają poczucie przestrzeni z jednoczesnym zachowaniem prywatności i osi widokowych W inwestycji New Edge z wyjątkową starannością dopracowano nowoczesne rozwiązania technologiczne wpływające na poziom bezpieczeństwa oraz koszty utrzymania. :: Krótko:Konstancin-Jeziorna. Luksusowy dom o powierzchni 237 m2 o unikatowym designie z ogrodem.Designerskie, lekkie schody na tle surowego betonu - to element charakterystyczny tego domu, który dostrzegasz od razu po przekroczeniu progu. Plastyczne i wyjątkowo funkcjonalne oraz doskonale doświetlone wnętrze. Południowy ogród i taras szybko mogą stać się ulubionym miejscem relaksu.:: Dla kogo?Wyszukany design osiedla skierowany jest do osób poszukujących rodzinnego domu o nowoczesnej i niebanalnej architekturze utrzymanej w modernistycznym stylu.Naturalne materiały najwyższej jakości oraz dbałość o detale, to propozycja dla ludzi z wysokimi oczekiwaniami.:: Rozkład:Na partnerze została wydzielona strefa dzienna, w której znajdziemy: kuchnię z jadalnią, salon, spiżarnia, garderoba, wc, garaż, pom. techniczne, hol.Piętro to strefa prywatna składająca się z: korytarza, 3 pokoi, łazienki, głównej sypialni z prywatną łazienką oraz garderobą.:: Co w okolicy?Inwestycja New Edge zlokalizowana jest w odległości zaledwie kilkuset metrów od ulicy Warszawskiej i bogatej infrastruktury Konstancina – Jeziorny. Bezpośrednie sąsiedztwo wielu szkół i przedszkoli, włącznie z renomowaną Szkołą Amerykańską (American School of Warsaw) oraz No Bell (żłobek, przedszkole, szkoła podstawowa oraz liceum). W promieniu kilku minut znajduje się m.in. Centrum Handlowe Stara Papiernia, Park Zdrojowy, lubiane przez mieszkańców Konstancina-Jeziorny kawiarnie i restauracje, Ogród Botaniczny w Powsinie, Las Kabacki oraz Chojnowski Park Krajobrazowy.::Jak z komunikacją:Świetna komunikacja autobusowa z Wilanowem oraz z Mokotowem (Metro Wilanowska). Przystanek autobusowy w odległości 10 minut spacerem. Dalej łatwo dojedziemy do Śródmieścia czy biznesowych części miasta. Samochodem do centrum Warszawy 30-40 minut.Dojazd do placówek edukacyjnych w Starym Wilanowie oraz na Sadybie zajmuje ok. 15 minut.::Samochody:W bryle budynku usytuowany został dwustanowiskowy garaż.:: Co więcej?Zakończenie budowy 30.11.2023 r.Bez PCC.Zapraszam do kontaktu. Z chęcią przedstawię szczegóły tej wyjątkowej inwestycji i opowiem o poszczególnych domach.Wizualizacje mają charakter poglądowy i przedstawiają ogólną koncepcję architektoniczną. Nie są wiążącym odzwierciedleniem wyglądu elementów zieleni, granic działek oraz przebiegu ciągów pieszo-jezdnych.
*******************Piotr Wilczyński +4████████████0*******************
The New Edge development is an intimate estate of luxury villas located on a plot of over a hectare, surrounded by greenery and intimate single-family housing.New Edge is a deeply thought-out concept, offering residents a range of amenities.- Heat pump and underfloor heating ensure energy efficiency- Recuperation with heat recovery means clean air and a complementary system for an ecological heat source- Installation for charging electric cars is convenience and ecology- Distributed installation for air conditioning- Advanced AMPIO smart home system integrated with all devices in the house, will guarantee convenience of use, safety and real savings- Thermal insulation glazing on the south and west elevations- Roof structure prepared for photovoltaic installation- Facade covered with quartz sinter in the shade and texture of architectural concrete means durability for years to come- Convenient two-car garage in the body of the building- Above-average storey height of up to 650 cm and large glazings give a sense of space while maintaining privacy and view axes In the New Edge development, modern technological solutions affecting the level of security and maintenance costs have been developed with exceptional care. :: Essentials:Konstancin-Jeziorna. Luxurious house of 237 m2 of unique design with a garden.Designer, light staircase against the background of raw concrete - this is the characteristic element of this house, which you notice immediately after crossing the threshold. The plastic and extremely functional and well-lit interior. Southern garden and terrace can quickly become a favorite place to relax.:: Perfect for?The sophisticated design of the estate is addressed to those looking for a family house with modern and original architecture maintained in a modernist style.Natural materials of the highest quality and attention to detail are an offer for people with high expectations.:: Layout:On the partner was separated the living zone, in which we find: kitchen with dining room, living room, pantry, dressing room, toilet, garage, technical room, hall.The first floor is a private area consisting of: corridor, 3 rooms, bathroom, master bedroom with a private bathroom and dressing room.:: What's nearby?New Edge investment is located just a few hundred meters from Warszawska Street and the rich infrastructure of Konstancin - Jeziorna. Direct vicinity of many schools and kindergartens, including the renowned American School of Warsaw and No Bell (nursery, kindergarten, primary and secondary school).Within a few minutes there is, among others, Stara Papiernia Shopping Centre, Spa Park, cafes and restaurants popular among Konstancin-Jeziorna residents, Botanical Garden in Powsin, Kabacki Forest and Chojnowski Landscape Park.::How about transport:Great bus communication with Wilanow and with Mokotow (Metro Wilanowska). Bus stop within 10 minutes walking distance. It is easy to get to the city center or business areas. By car to the center of Warsaw 30-40 minutes.Access to educational institutions in Old Wilanów and Sadyba takes about 15 minutes.::Cars:A two-car garage is located in the body of the building.:: What more?No PCC. Feel free to contact. I will be happy to present the details of this unique investment and tell you about the individual houses.
_
WE ARE ENGLISH SPEAKING AGENTS. DO NOT HESITATE TO CONTACT US. 
Treść niniejszego ogłoszenia ma charakter informacyjny i nie stanowi oferty handlowej w rozumieniu Kodeksu Cywilnego, ale jest zaproszeniem do współpracy z Państwem. 
Zawarte w ogłoszeniu informacje pochodzą przede wszystkim od właściciela nieruchomości. Zespół En Casa dokłada starań, aby każda z ofert była rzetelnie sprawdzona oraz aktualna.
Jako biuro nieruchomości pobieramy za usługę pośrednictwa wynagrodzenie w formie prowizji. Usługa jest wykonywana w profesjonalny sposób, w celu zapewnienia Państwu jak najpełniejszego bezpieczeństwa.
_____________
Oferta wysłana z programu dla biur nieruchomości ASARI CRM ()
</t>
  </si>
  <si>
    <t>https://www.otodom.pl/pl/oferta/nowoczesna-architektura-wyjatkowy-design-237-m2-ID4orZQ</t>
  </si>
  <si>
    <t>4orZQ</t>
  </si>
  <si>
    <t>Mieszkanie, 37 m², Kraków</t>
  </si>
  <si>
    <t xml:space="preserve">*zdjęcia należą do właściciela oferty. Mam przyjemność zaprezentować państwu 2 pokojowe mieszkanie o powierzchni 37 m2.Mieszkanie jest do remontu, składa się z 2 pokoi, kuchni, łazienki i przedpokoju, znajduje się na 5 piętrze w cichej okolicy.Do mieszkania przynależy piwnica.Wystawa okien pokoi wsch&amp;oacute;d.Blok jest ocieplony, okna wymienione na plastiki w 2019 r, instalacje wymienione w 2001 r.Rok budowy 1980.W pobliżu mieszkania znajduje się: przystanek autobusowy, centrum handlowe, bazarek, przedszkole, żłobek, szkoła podstawowa, szkoła średnia, apteka, przychodnia, szpital, park.Mieszkanie dostępne od 01.01.2024 r. W celu uzyskania bliższych informacji zapraszam do kontaktu:Maria ŚmiechTel: 500- 673-615e-mail:  ::DODATKOWE INFORMACJE Kategoria oferty: Pewny Partner, Mieszkania dla rodzin z dziećmiRodzaj budynku: blokDozór budynku: monitoringGłośność: cicheWidok: na inne budynkiGaz: jestWoda: ciepła - miejskaDojazd: ASFALTOWAOtoczenie: osiedleOgrzewanie: C.O. miejskieKomunikacja publ.: tramwaj, autobusOdległość do komunikacji publicznej [m]: 100Odl. do sklepu [m]: 50Winda: TAKRozkład: jednostronneUsytuowanie: jednostronneRodzaj mieszkania: jednopoziomoweGaraż: miejsce postojowe przed budynkiemPiwnica [m2]: 4Stan lokalu: do remontuOkna: PCVInstalacje: dobreBalkon: brakPowierzchnia użytkowa [m2]: 37Rok budowy: 1980Liczba pokoi: 2Wysokość pomieszczeń [m]: 2,5000Liczba sypialni: 1Podłogi pokoi: parkiet, gresŚciany pokoi: tynkWyposażenie pokoi: umeblowane, telewizor, stół, łóżko, krzesła, kanapa, fotel, dywan, biurkoWystawa okien - pokoje : WschTyp kuchni: aneks kuchennyRodzaj kuchni: otwarta na pokójPodłoga kuchni: terakotaWyposażenie kuchni: lodówko-zamrażarka,, szafki wiszące, zlewozmywak z baterią, sztućce, stół, sprzęt AGD, okap kuchenny, lodówka, kuchenka gazowa, kuchenka, krzesła, garnkiWystawa okien - kuchnia: WschTyp łazienki: do remontuLiczba łazienek: 1Glazura łazienki: glazuraWyposażenie łazienki: WC, umywalka, prysznic, pralka, natrysk, lustro, kabina prysznicowaŚciany łazienki: glazuraGlazura WC: glazuraWystawa okien WC: WschLiczba przedpokoi: 1Podłoga przedpokoi: terakotaŚciany przedpokoi: gładzie gipsoweWyposażenie przedpokoi: domofon::KONTAKT DO AGENTA Maria Śmiech::DANE BIURA Oddział BS2, Rynek PierwotnyKrólewska 6730-081 Kraków12 630-90-45-::GRATIS | Nasza prowizja zawiera: koszt przedwstępnej notarialnej umowy sprzedaży nieruchomości z rynku wtórnego.::GWARANCJA | Gwarancja zwrotu zadatku. Więcej informacji na </t>
  </si>
  <si>
    <t>https://www.otodom.pl/pl/oferta/mieszkanie-37-m-krakow-ID4nZhs</t>
  </si>
  <si>
    <t>4nZhs</t>
  </si>
  <si>
    <t>Kawalerka | Dobry standard | MPEC | Komunikacja !</t>
  </si>
  <si>
    <t>Przedstawiam Państwu garsonierę o powierzchni 19,53m2 zlokalizowaną na wysokim parterze w 4-piętrowym bloku w doskonale skomunikowanej dzielnicy Bieńczyce w Krakowie.
Na powierzchnię mieszkania składa się doskonale doświetlony salon o zachodniej ekspozycji okien, aneks kuchenny oraz łazienka wyposażona w zabudowaną wannę, umywalkę i toaletę.
Okna PCV o ekspozycji zachodniej, co gwarantuje doskonałe doświetlenie mieszkania w ciągu dnia.
Czynsz: 320 zł. Ogrzewanie i ciepła woda użytkowa : MPEC.
Do mieszkania przynależy duża piwnica. 
Instalacja elektryczna po wymianie, nowa instalacja gazowa.
Budynek, lata 70-te , zabezpieczony domofonem, wózkownia/rowerownia do dyspozycji mieszkańców wewnątrz.
Doskonała lokalizacja, w bardzo zielonej okolicy, na terenie której znajduje się plac zabaw, nieopodal park i tereny rekreacyjne m.in Planty Bieńczyckie a także obiekty kulturowe m.in Teatr Ludowy i liczne punkty handlowe i usługowe (DH Wanda, CH Czyżyny). Tylko 5 min. samochodem Galeria Serenada, CH Krokus, Multikino i Aquapark.
Dojazd do centrum zajmuje ok. 15 min samochodem. Do przystanku autobusowego oraz tramwajowego ok. 3 min pieszo. 
Obecnie mieszkanie jest wynajmowane. Dostępność mieszkania: 29 luty 2024.
Zapraszam do oglądania,
Ewelina,
Ogłoszenie nie stanowi oferty w myśl szczególnych przepisów kodeksu cywilnego.
Pokaż mniej</t>
  </si>
  <si>
    <t>https://www.otodom.pl/pl/oferta/kawalerka-dobry-standard-mpec-komunikacja-ID4ozj7</t>
  </si>
  <si>
    <t>4ozj7</t>
  </si>
  <si>
    <t>Lokal 2-poziomowy z ogródkiem, m.postojowe w cenie</t>
  </si>
  <si>
    <t>--- Oferta developerska --- Kredyt 2% --- Bez podatku i prowizji ---  Polecam do kupna lokal dwupoziomowy na małym kameralnym osiedlu na poznańskich Podolanach.  Lokal o pow. 64 m2 posiada na parterze pokój dzienny z aneksem kuchennym (27,89 m2), korytarz, WC, pomieszczenie gospodarcze oraz wiatrołap. Na piętrze znajdują się 2 pokoje (11,31 m2; 10,11 m2) i łazienka (3,76 m2).  Lokal jest oddawany w stanie deweloperskim plus (m.in. ogrzewanie podłogowe, wysokiej jakości pompa ciepła, rolety elektryczne we wszystkich oknach, idealnie gładkie ściany – tynk cementowo-wapienny + gładź szpachlowa).  Do każdego lokalu przynależy ogródek oraz miejsce postojowe na zamkniętym osiedlu.  Zakończenie budowy w IV kw. 2023 roku.  Osiedle powstaje na działce położonej w cichej, spokojnej okolicy z dala od ruchliwej ulicy i innego uciążliwego sąsiedztwa. W najbliższym otoczeniu znajduje się pełna infrastruktura potrzebna do życia na co dzień, w tym m. in. przystanek autobusowy (600 m), szkoła podstawowa (850 m), przedszkole (650 m).  Zainteresowanym osobom chętnie prześlę większą ilość wizualizacji, plany zagospodarowania działki, aktualne zdjęcia z budowy.  Oferujemy swoim klientom fachowe doradztwo kredytowe oraz pomoc w sprzedaży aktualnej nieruchomości.  Zapraszam do bliższego zapoznania się z ofertą, Jarosław Mazurek, GoldenHome Nieruchomości, Tel. 726-101-001</t>
  </si>
  <si>
    <t>https://www.otodom.pl/pl/oferta/lokal-2-poziomowy-z-ogrodkiem-m-postojowe-w-cenie-ID4nFBx</t>
  </si>
  <si>
    <t>4nFBx</t>
  </si>
  <si>
    <t>Mieszkanie/lokal w samym Rynku w Limanowej</t>
  </si>
  <si>
    <t>Sprzedam mieszkanie zlokalizowane w Rynku w Limanowej od razu gotowe do zamieszkania. Doskonałe miejsce na lokal użytkowy, punkt usługowy, gabinet stomatologiczny, kosmetyczny, biuro, kancelarię itp. Dwa duże pokoje, duża jasna kuchnia i oddzielna łazienka. Na podłogach parkiet. Z tyłu w podwórzu miejsce parkingowe, zamykane. Do mieszkania przynależy piwnica ok 6,5m.</t>
  </si>
  <si>
    <t>https://www.otodom.pl/pl/oferta/mieszkanie-lokal-w-samym-rynku-w-limanowej-ID4ozOK</t>
  </si>
  <si>
    <t>4ozOK</t>
  </si>
  <si>
    <t>Chrobrego 3 pokoje, 2 piętro dwustronne, słoneczne</t>
  </si>
  <si>
    <t>Piasta II, Białystok, podlaskie</t>
  </si>
  <si>
    <t>Zapraszamy do zapoznania się z ofertą mieszkania położonego na  lubianym osiedlu PIASTA. Nieruchomość położona w doskonałej lokalizacji przy ulicy Chrobrego. W pobliżu sklepy, uczelnie wyższe oraz galeria handlowa. Mieszkanie na dogodnym drugim piętrze niskiego bloku, mieszkanie posiada balkon oraz piwnicę.Mieszkanie posiada trzy pokoje, niezależną kuchnię, korytarz, łazienkę i wc.Do dwóch pokoi dostęp z przedpokoju, do jednego z salonu. Pomieszczenia jasne i słoneczne o kształcie zbliżonym do prostokąta, dzięki czemu są bardzo ustawne.Zapraszam do obejrzenia w dogodnym terminie.tel.531790134DOROTA ZDUNIEWICZCentrum Nieruchomosci</t>
  </si>
  <si>
    <t>https://www.otodom.pl/pl/oferta/chrobrego-3-pokoje-2-pietro-dwustronne-sloneczne-ID4omm6</t>
  </si>
  <si>
    <t>4omm6</t>
  </si>
  <si>
    <t>Mieszkanie w Rumi w otoczeniu zieleni i parku.</t>
  </si>
  <si>
    <t>ul. Mickiewicza, Rumia, wejherowski, pomorskie</t>
  </si>
  <si>
    <t>OFERTA WYŁĄCZNIE W BIURZE LOVE AT HOME..Cena 530 000 złmetraż 51,70 m2Opiekun ofertyKarolina Olczaktel.507 104 440Przedstawiam Państwu inwestycyjne  mieszkanie w Rumi, które położone jest w jednej z najbardziej atrakcyjnych lokalizacji.Wynajmuje się w moment.To doskonała oferta dla osób poszukujących wygodnego i funkcjonalnego miejsca do zamieszkania, z dostępem do wielu udogodnień oraz możliwością wynajmu przez cały rok.W mieszkaniu znajduje się piec dwufunkcyjny sam decydujesz o zużyciu.Mieszkanie znajduje się w pobliżu przepięknego parku, co daje doskonałą okazję do relaksu i aktywnego spędzania czasu na świeżym powietrzu.To szczególnie ważne dla osób, które cenią sobie bliskość natury i aktywności na świeżym powietrzu.Lokalizacja ta oferuje również dostęp do wielu udogodnień. W pobliżu znajdują się szkoły, baseny, sklepy oraz komunikacja publiczna, co sprawia, że codzienne życie jest wyjątkowo wygodne i komfortowe.Budynek, w którym znajduje się mieszkanie, został wybudowany w 2008 roku, co oznacza, że jest stosunkowo nowoczesny, znajduję się na zamkniętym osiedlu.Dodatkowym atutem jest obecność miejsc postojowych za bramą, co zapewnia wygodę dla mieszkańców.Klatki reguralnie sprzatąne,wejście do bloku zabezpieczone domofonemOkolica jest cicha i spokojna, co sprzyja relaksowi i odpoczynkowi po intensywnym dniu. To idealne miejsce dla osób, które pragną znaleźć harmonię między życiem miejskim a naturą.W skład mieszkania wchodzi:salon z aneksem kuchennym sypialniałazienkaprzedpokój duży słoneczny balkonpiwnicaOpłaty:Niskie opłaty przez cały rok do wspolnoty około 350 zł+ prąd+gazOferta również dla klientów kredytowych. Współpracuję z doradcą kredytowym, który nieodpłatnie przeanalizuje Państwa indywidualną sytuację pod kątem możliwości zrealizowania transakcji i uzyskania korzystnych warunków kredytowych.Niniejsze ogłoszenie wraz z jego elementami jest własnością biura LOVE AT HOME KAROLINA OLCZAK lub podmiotu współpracującego.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LOVE AT HOME KAROLINA OLCZAK lub podmiotów współpracujących jest zabronione i może stanowić podstawę odpowiedzialności cywilnej oraz karnej.Niniejsze materiały stanowią tajemnicę przedsiębiorstwa LOVE AT HOME KAROLINA OLCZAK w rozumieniu ustawy z dnia 16 kwietnia 1993 r. o zwalczaniu nieuczciwej konkurencji (Dz. U. z 2003 r., Nr 153, poz. 1503 z późn. zm.)</t>
  </si>
  <si>
    <t>https://www.otodom.pl/pl/oferta/mieszkanie-w-rumi-w-otoczeniu-zieleni-i-parku-ID4nzxJ</t>
  </si>
  <si>
    <t>4nzxJ</t>
  </si>
  <si>
    <t>Mieszkanie 300m od plaży w Ustce</t>
  </si>
  <si>
    <t>ul. Uroczysko, Ustka, słupski, pomorskie</t>
  </si>
  <si>
    <t>Na sprzedaż 4-pokojowe mieszkanie o powierzchni 71,63mkw w otulinie sosnowego lasu na Uroczysku.Główne atuty nieruchomości: • cicha i spokojna okolica• bliskość terenów zielonych• blisko morzaNieruchomość złożona z: • pokój dzienny 16,8 m.kw• sypialnia 16,7 m.kw• sypialnia 9 m.kw• kuchnia otwarta z oknem 7,3 m.kw• łazienka 3,7 m.kw• przedpokój 9,6 m.kw• piwnica z oknem 13,12 m.kw• sypialnia 8,9 m.kw W skład nieruchomości wchodzą też:• balkon• miejsce parkingowe• ogródekTyp ogrzewania: ogrzewanie olejowe. Typ własności: własność. Mieszkanie składa się z 4 pokoi: salonu z balkonem, trzech sypialni, wydzielonej widnej kuchni, łazienki oraz przedpokoju. Zlokalizowane jest tylko 5 minut spacerem przez las od piaszczystej i nieco mniej uczęszczanej przez turystów plaży po zachodniej stronie Ustki!Mniej niż 10 minut spacerem do stacji PKP.Mieszkanie znajduje się na pierwszym piętrze budynku z dwiema klatkami schodowymi i łącznieośmioma mieszkaniami. Budynek został w ostatnich latach odnowiony i docieplony. Domieszkania przynależy piwnica o powierzchni 13 mkw. Przed budynkiem parking dlamieszkańców. Z każdego okna w mieszkaniu widok na piękny sosnowy las. Wokół cisza, spokój, żadnych ruchliwychulic, a gdy wyjdziemy na zewnątrz – delikatnie dochodzi nas szum morza.Usteckie Uroczysko to część lasu o ciekawym ukształtowaniu geograficznym, gdzie w Bunkrach Bluchera znajduje się muzeum z czasów II wojny światowej oraz park historii i rozrywki.Oferta dostępna tylko w Metrohouse. ZADZWOŃ: 531 479 465.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</si>
  <si>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https://www.otodom.pl/pl/oferta/mieszkanie-300m-od-plazy-w-ustce-ID4nPPe</t>
  </si>
  <si>
    <t>4nPPe</t>
  </si>
  <si>
    <t>Apartament Z Tarasem Na Dachu| 0% Prowizji</t>
  </si>
  <si>
    <t>ul. Piękna, Tarnogaj, Krzyki, Wrocław, dolnośląskie</t>
  </si>
  <si>
    <t>OFERTA NA WYŁĄCZNOŚĆ | KUPUJĄCY NIE PŁACI PROWIZJI
Prezentujemy Państwu komfortowy i unikatowy apartament, położony w bardzo pożądanej lokalizacji we Wrocławiu dzielnic Krzyki, osiedle Tarnogaj.
LOKALIZACJA:Wrocław, ul. Piękna (Sempre dewelopART )Inwestycja zlokalizowana we wrocławskiej dzielnicy Krzyki posiada nowoczesną stylistykę i architekturę budynku oraz składa się z czterech pięter.
Na terenie inwestycji powstał dwupoziomowy garaż podziemny z miejscami postojowymi oraz komórkami lokatorskimi. Do dyspozycji Mieszkańców są stojaki rowerowe i samoobsługowa stacja naprawy rowerów. Na osiedlu usytuowano wygodne ławki, które mogą służyć do małej regeneracji.
W okolicy znajdują się liczne tereny rekreacyjne, jak np. Park Wschodni czy Park Tarnogajski. W pobliżu nie brakuje również przystanku tramwajowego i autobusowego. Lokalizacja inwestycji Sempre zapewnia także dostęp do licznych punktów rozrywkowych takich jak Aquapark Wrocław, do którego można dojechać samochodem w 6 minut.
STANDARD LOKALU:Lokal sprzedawany jest w stanie deweloperskim. Apartament usytuowany jest na 4 - ostatnim piętrze budynku cztero kondygnacyjnego z windą.
Mieszkanie o powierzchni 93,72m2 położone jest na dwóch poziomach, i składa się z następujących pomieszczeń :
I poziom:
przestronnego salonu z aneksem kuchennym oraz wyjściem na balkon ( 37,32m2) 
pokoju (9,83m2)
łazienki (11,75m2) 
przedpokoju (4,89m2)
balkonu (5,16m2)
II poziom:
otwarta przestrzeń do własnej aranżacji (29,93m2) 
taras (16,94m2)
Apartament posiada znaczną ilość okien, co sprawia, że mieszkanie jest bardzo jasne, i dobrze doświetlone o każdej porze dnia. Samo mieszkanie usytuowane jest narożnie co powoduje komfort użytkowania i brak sąsiedztwa z dwóch stron.
W lokalu zastosowano dla komfortu użytkowania:
drzwi antywłamaniowe 
okna plastikowe 3-szybowe
domofon 
taras wyłożony deską kompozytową
Widoki z kameralnego tarasu są imponujące, a odległość do sąsiednich budynków bardzo komfortowa. Dzięki projektowi budynku uniknięto skosów, a co za tym idzie powierzchnia obu poziomów mieszkania jest w pełni wykorzystywana.
Rozkład mieszkania daje ogrom możliwości aranżacyjnych, włącznie z możliwością wydzielenia pokoju na poziomie 1.
Istnieje możliwość zakupu miejsca postojowego w podziemnej hali garażowej w cenie 55 000zł
( nie jest to zakup obligatoryjny - miejsce posiada osobą Księgę Wieczystą)
DLA KOGO: Apartament z uwagi na swoje bliskie położenie względem centrum miasta (2,8km do wrocławskiego rynku) idealnie nadaje się młodych, aktywnie żyjących osób. Bliska dostępność licznych ścieżek rowerowych dodatkowo zwiększa możliwości komunikacyjne.
Z kolei młode rodziny z dziećmi mają dostęp do bogatego zaplecza edukacyjnego (przedszkole 30m, szkoła podstawowa 450m) oraz rekreacyjnego w postaci Parku Tarnogajskiego czy Wschodniego.
Zapraszamy na prezentacjęAnna Truchantel. +4████████████0
* Udzielamy wsparcia przy uzyskaniu kredytu hipotecznego
Informacje zawarte w ogłoszeniu nie stanowią oferty handlowej w rozumieniu art. 66 Kodeksu Cywilnego.</t>
  </si>
  <si>
    <t>https://www.otodom.pl/pl/oferta/apartament-z-tarasem-na-dachu-0-prowizji-ID4ncfc</t>
  </si>
  <si>
    <t>4ncfc</t>
  </si>
  <si>
    <t>Atrakcyjne mieszkanie z potencjałem inwestycyjnym</t>
  </si>
  <si>
    <t>ul. Zygmunta Modzelewskiego 26, Wyczółki, Ursynów, Warszawa, mazowieckie</t>
  </si>
  <si>
    <t xml:space="preserve">Zapraszam do zapoznania się z ofertą sprzedaży mieszkania, które znajduje się w Warszawie, w dzielnicy Mokotów. To doskonała opcja dla osób ceniących sobie dobrą lokalizację oraz wygodny rozkład pomieszczeń. Obecnie najbardziej poszukiwany metraż, rozkład i lokalizacja.
Mieszkanie znajduje się w budynku, którego budowa zakończyła się w 2013 roku. Teren wokół budynku jest ładnie zagospodarowanyi zamknięty, posiada miejsce do odpoczynku na świeżym powietrzu.
W mieszkaniu są wydzielone 4 osobne pokoje, aneks kuchenny i łazienka. Każdy pokój jest zamykany na klucz, drzwi nie posiadają przeszkleń.
Mieszkanie w tej chwili jest wynajmowane na 4 osobne pokoje. Cena wynajmu za jeden pokój wynosi 1450 zł. Istnieje możliwość cesji umów najmu. Mieszkanie wynajmowane od początku w podobnych cenach. W czasie tym były robione remonty, odświeżenia więc stan mieszkania jest bardzo dobry. Każdy pokój jest wyposażony w łożko, biurko, szafy, krzesła.
Mieszkanie może również służyć prywatnie. Można złączyć pokoje w salon lub salon z aneksem kuchennym.
Mieszkanie ma wysokie pomieszczenia – 2,9. Każdy pokój jest klimatyzowany i posiada roletę zewnętrzną zabezpieczającą przed słońcem. Okna duże, doświetlające drewniane w bardzo dobrym stanie. W każdym pokoju znajduje się odpowiednia ilość gniazdek. Pokoje są ustawne.
Kuchnia w pełni umeblowana i wyposażona. Łazienka również.
W budynku znajduje się recepcja.
Mieszkanie nie posiada miejsca garażowego ale w budynku znajduje się garaż podziemny.
Mieszkanie bez zadłużeń i obciążeń hipotecznych. Pierwszy właściciel.
Dane mieszkania:- powierzchnia 54,93 m2
- balkon o powierzchni 7,16 m2 - 4 oddzielne pokoje - łazienka z WC, - instalacje w bardzo dobrym stanie - na podłogach deska barlinecka i gres.- piętro4 z windą
-klimatyzacja serwisowana co pół roku
- rolety zewnętrzne
- zamki w systemie „jednego klucza”
- okna drewniane  Lokalizacja: Mieszkanie znajduje się przy ul. Modzelewskiego 26. Do metra 15 minut, do Galerii Wesfield Mokotów 15 minut. Okolica bardzo dobrze skomunikowana. Są sklepy, poczta, apteka, szkoła, przedszkola, restauracje. Zachęcam do kontaktu w celu uzyskania dodatkowych informacji oraz umówienia się na prezentację mieszkania.
</t>
  </si>
  <si>
    <t>https://www.otodom.pl/pl/oferta/atrakcyjne-mieszkanie-z-potencjalem-inwestycyjnym-ID4oel4</t>
  </si>
  <si>
    <t>4oel4</t>
  </si>
  <si>
    <t>Sprzedam mieszkanie Gdańsk Aniołki ul. Dębinki</t>
  </si>
  <si>
    <t>ul. Dębinki, Aniołki, Gdańsk, pomorskie</t>
  </si>
  <si>
    <t>Do sprzedaży proponujemy 2 pokojowe mieszkanie położne  bezpośrednio przy Gdańskim Uniwersytecie Medycznym, idealne do zamieszkania jak i inwestycyjnie dla studentów z indywidualnym miejscem parkingowym na ogrodzonym terenie !
LOKALIZACJA: Gdańsk Aniołki- dzielnica administracyjna w Gdańsku położona pomiędzy najważniejszymi dzielnicami Gdańska pomiędzy Centrum  i Wrzeszczem, a jednak na uboczu wśród zabytkowych budynków. Północna część dzielnicy ma charakter willowy, zaś południowa to bloki mieszkalne. W najbliższej okolicy pełne zaplecze handlowo – usługowe oraz doskonale rozwinięta infrastruktura. W sąsiedztwie przystanki autobusowe i tramwajowe  BUDYNEK:Budynek  w bardzo dobrym stanie technicznym, Nowa elewacja, zadbana klatka. Teren ogrodzony z indywidualnym miejscem parkingowym przypisanym do mieszkania.  Budynek zarządzany przez wspólnotę. Wejście do budynku zabezpieczone domofonem. MIESZKANIE:Położone na pierwszym piętrze w kameralnym budynku, o łącznej powierzchni ok. 58,5  m2
Składa się z dwóch niezależnych pokoi, oddzielnej kuchni, przedpokoju , łazienki i  wc.
Lokal wysoki, zadbany w pokojach pojemne szafy, biurka i rozkładane kanapy . Mieszkanie jasne, przestronne idealnie doświetlone, do dyspozycji przyszłego właściciela  piwnica.
Idealne rozwiązanie dla rodziny , a dzięki bliskości uczelni idealne dla studentów.
Jeżeli poszukujesz mieszkania w ładnej spokojnej okolicy, z dostępem do terenów zielonych jak i dobrej komunikacji, to ta nieruchomość jest właśnie dla Ciebie.
„Niniejsze ogłoszenie nie stanowi oferty w rozumieniu Kodeksu Cywilnego."
 </t>
  </si>
  <si>
    <t>https://www.otodom.pl/pl/oferta/sprzedam-mieszkanie-gdansk-aniolki-ul-debinki-ID4ood3</t>
  </si>
  <si>
    <t>4ood3</t>
  </si>
  <si>
    <t>3 pokoje w supercenie. Dobrze skomunikowane.</t>
  </si>
  <si>
    <t>ul. Tadeusza Kościuszki, Zacharzyce, Siechnice, wrocławski, dolnośląskie</t>
  </si>
  <si>
    <t>Opiekun oferty:Jacek Mamińskitel. 602 101 6023-pokojowe mieszkanie o powierzchni 62,07 m2 na 1 piętrze z balkonem.Układ pomieszczeń:Salon z aneksem kuchennym - 24,96 m2Sypialnia - 12,54 m2Sypialnia - 11,02 m2Łazienka - 5,66 m2Przedpokój - 7,89 m2Balkon - 4,00 m2Najważniejsze informacje:Miejsce postojowe 20 tys. złGotowe w 2025 r.Mieszkanie w stanie deweloperskim - do własnej aranżacjiOkna o wysokości ścianyOgrzewanie z osiedlowej kotłowni gazowejWystawa okien: północny-wschódOtoczenie:Nowoczesne osiedle budynków 2-piętrowych, pomyślane jako mini-miasteczko z pełną infrastrukturą usług i handlu.Dobrze skomunikowane komunikacją kolejową i autobusowa, z dogodnym dojazdem autem do autostrady A4.Możliwość wykończenia mieszkania pod klucz.Opiekun oferty: Jacek Mamińśkitel. 602 101 602</t>
  </si>
  <si>
    <t>https://www.otodom.pl/pl/oferta/3-pokoje-w-supercenie-dobrze-skomunikowane-ID4nhws</t>
  </si>
  <si>
    <t>4nhws</t>
  </si>
  <si>
    <t>Zawodzie ul.1 maja 850m UE i INWESTYCYJNE</t>
  </si>
  <si>
    <t>ul. 1 Maja 122, Zawodzie, Katowice, śląskie</t>
  </si>
  <si>
    <t>Oferta bezpośrednia - PROSZĘ O NIE DZWONIENIE BIUR NIERUCHOMOŚCI
Na sprzedaż  mieszkanie o powierzchni 49,85 m2, położone na 10 piętrze w dziesięciopiętrowym bloku na osiedlu Zawodzie , przy ul. 1-go Maja 122.
Duży Parking ogólnodostępny dla mieszkańców. 
Ta nieruchomość to nie tylko wyjątkowa okazja do zamieszkania w atrakcyjnej lokalizacji, ale także świetna pozycja inwestycyjna.
UKŁAD MIESZKANIA: (2p+Kuchnia ,Łazienka i ubikacja osobno)
-Duży salon z Balkonem
-Niezależna Kuchnia
-Pokój/Sypialnia
-Łazienka z prysznicem
-Toaleta
-Korytarz
To mieszkanie zostało gruntownie odnowione, co obejmuje również wymianę instalacji elektrycznej. Składa się ono z przestronnego salonu, który posiada dostęp do balkonu, z którego roztacza się urokliwy widok na okolicę. W mieszkaniu znajduje się niezależna kuchnia oraz dodatkowy pokój, który może służyć jako sypialnia, gabinet lub pokój dla dziecka. Łazienka oraz ubikacja są oddzielne, co zwiększa komfort mieszkańców.
Mieszkanie jest w pełni umeblowane oraz wyposażone w sprzęt AGD
Gotowe do zamieszkania od zaraz, co stanowi dodatkowy atut dla przyszłego właściciela.
Dodatkowo, korytarz na piętrze jest dodatkowo zamknięty, co zapewnia bezpieczeństwo i brak dostępu osób postronnych.
Lokalizacja tego mieszkania to nie tylko komfort codziennego życia, ale także doskonała okazja inwestycyjna. Obecnie jest wynajmowane, co oznacza, jest rentowne i bezproblemowe jeśli chodzi o pozyskanie najemców.
To świetna szansa na generowanie dochodu pasywnego.
Dodatkowym atutem tego mieszkania jest piwnica o powierzchni 1,2 m2 , co pozwala na przechowywanie dodatkowych rzeczy lub zapasów.
To mieszkanie to doskonała oferta zarówno dla tych, którzy szukają wygodnego miejsca do zamieszkania, jak i dla inwestorów poszukujących rentownego lokum.
ODLEGŁOŚĆ OD WYBRANYCH LOKALIZACJI:
- 850m Uniwersytet Ekonomiczny
- 150m Biedronka 
- 200m Linia tramwajowa prowadząca do Centrum Miasta
- 2,7km Spodek Katowice
Zachęcamy do kontaktu.
Oferta bezpośrednia - PROSZĘ O NIE DZWONIENIE BIUR NIERUCHOMOŚCI</t>
  </si>
  <si>
    <t>https://www.otodom.pl/pl/oferta/zawodzie-ul-1-maja-850m-ue-i-inwestycyjne-ID4nshB</t>
  </si>
  <si>
    <t>4nshB</t>
  </si>
  <si>
    <t>Apartament | 3 Pokoje | Garaż</t>
  </si>
  <si>
    <t>ul. Żeromskiego, Władysławowo, Władysławowo, pucki, pomorskie</t>
  </si>
  <si>
    <t xml:space="preserve">APARTAMENT CAŁOROCZNY NAD MORZEM.Miejsce w hali garażowej na 1 samochód GRATIS!!Mamy przyjemność przedstawić Państwu ofertę mieszkania nad samym morzem, jako lokata kapitału lub idealne miejsce dla rodziny na wypoczynek nad morzemAPARTAMENT:Znajdujące się na parterze 3 piętrowego budynku, trzypokojowe mieszkanie o powierzchni 61 m2 z balkonem i funkcjonalnym układem,składa się z:- salonu z całkowicie wyposażonym aneksem kuchennym, z dużą kanapą dla 2 osób oraz TV- sypialni z 3 pojedynczymi łóżkami- sypialni z łóżkiem małżeńskim, TV- dużej łazienki,- dużego przedpokoju z dodatkowym pomieszczeniem- 15m tarasu z wyjściem na ogródApartament jest całkowicie wyposażony i wykończony. Jest bardzo dobrze naświetlony. Okno balkonowe otwiera się na cała szerokość tarasu. Dzięki temu przebywając tam możemy poczuć się wyjątkowo.W apartamencie nocleg znajdzie nawet 7 osób.BUDYNEKKameralny, trzypiętrowy apartamentowiec w inwestycji Jasny Brzeg z 2010 wykonany z bardzo dobrych materiałów. Przystosowany dla osób niepełnosprawnych ruchowo. Windy z poziomu hali garażowej. Obiekt ogrodzony, monitorowany. Zadbane części wspólne i tereny zielone, sporo dodatkowych miejsc postojowych przed budynkiem.Lokal zarządzany jest przez zewnętrzną firmę zajmująca się obsługa najmu krótkoterminowego. LOKALIZACJA:Nieruchomość mieści się w centrum Władysławowa, letniej stolicy Polski, przy spokojnej ulicy, w odległości 300 do morza.Miasto położone nad morzem bałtyckim z szeroką piaszczystą plażą. Pełna infrastruktura sportowa - ulubione miejsce sportowców i amatorów sportowych wodnych takich jak windsurfing. Sąsiedztwo półwyspu Helskiego. W pobliżu nieruchomości znajdują się liczne atrakcje tj. Chłapowo Beach, Muzeum Ziemi Puckiej, Muzeum Motyli, Muzeum Figur Woskowych, Latarnia w Rozewiu, Park Linowy, wiele restauracji i punktów gastronomicznych. INFORMACJE DODATKOWEW marcu 2022 mieszkanie przeszło remont i wymienione zostały meble.W mieszkaniu jest klimatyzacja.Do lokalu przynależy 1 miejsce w hali garażowej.Lokal jest cały czas przedmiotem najmu krótkoterminowego, przynosi wymierne dochody.Jeśli chcesz zainwestować swój kapitał i szukasz mieszkania, to oferta skierowana właśnie do Ciebie!Zobacz jak nieruchomość prezentuje się na żywo. Zainteresowanym klientom udzielę szczegółowych informacji. Zapraszam na prezentację!_KUP Z NAMI - NAJKORZYSTNIEJ, NAJSZYBCIEJ I BEZPIECZNIE!Jeżeli zainteresowało Cię powyższe ogłoszenie to:- Zadzwoń pod wskazany nr tel. - Umów się na Prezentację,- Przyjedź i Obejrzyj na żywo,- Zaproponuj Swoją cenę prezentowanej nieruchomości.Gwarantujemy bezpieczny zakup i najlepszą CENĘ.Oferujemy skuteczną i bezpłatną pomoc w uzyskaniu kredytu.Zapewniamy fachowe doradztwo przy zakupie pod inwestycję.Wszystkie nasze transakcje są objęte ubezpieczeniem OC w PZU.Z nami u Notariusza otrzymasz Ofertę Specjalną.Więcej podobnych ofert znajdziesz na naszej stronie: </t>
  </si>
  <si>
    <t>https://www.otodom.pl/pl/oferta/apartament-3-pokoje-garaz-ID4k9pC</t>
  </si>
  <si>
    <t>4k9pC</t>
  </si>
  <si>
    <t>mieszkanie na Osiedlu Sudeckim w Świebodzicach</t>
  </si>
  <si>
    <t>Świebodzice, świdnicki, dolnośląskie</t>
  </si>
  <si>
    <t>Prezentujemy Państwu urocze mieszkanie na Osiedlu Sudeckim w Świebodzicach.To doskonała propozycja dla rodzin, które szukają komfortowego i funkcjonalnego miejsca do zamieszkania.Mieszkanie o powierzchni 43m2 składa się z dwóch sypialni, w tym jednej z balkonem, przestronnego salonu połączonego z kuchnią oraz dwóch przedpokoi.Łazienka wyposażona jest w prysznic i WC.Usytuowane na czwartym piętrze w bloku po termomodernizacji, mieszkanie gwarantuje wygodę i spokój.Dzięki ogrzewaniu miejskiemu, opłaty są rozliczane w czynszu, który wynosi około 380 zł miesięcznie.Dodatkowo, media takie jak prąd, gaz i woda są płatne według zużycia.Nie musisz martwić się o miejsce parkingowe, ponieważ przed blokiem znajduje się ogólnodostępny parking dla mieszkańców.Okolica jest pełna dogodności codziennego życia. Sklepy spożywcze są w pobliżu, a przystanek autobusowy znajduje się kilka kroków od budynku.Dla najmłodszych członków rodziny, w okolicy znajdują się również place zabaw.Na spacer zaprasza również pobliski park miejski.Ta oferta jest dostępna tylko w naszym biurze, więc nie zwlekaj i skontaktuj się z nami już teraz, aby zobaczyć to mieszkanie osobiście.To jest propozycja, której nie możesz przegapić!Opiekun oferty: Sylwia UrbanTelefon: 534 302 904 Niniejsze ogłoszenie nie stanowi oferty w rozumieniu Kodeksu Cywilnego.Zapewniamy pomoc w uzyskaniu kredytu na zakup nieruchomości. </t>
  </si>
  <si>
    <t>https://www.otodom.pl/pl/oferta/mieszkanie-na-osiedlu-sudeckim-w-swiebodzicach-ID4n79E</t>
  </si>
  <si>
    <t>4n79E</t>
  </si>
  <si>
    <t>Komfortowe, trzypokojowe mieszkanie na Gocławiu</t>
  </si>
  <si>
    <t>ul. Floriana Znanieckiego, Gocław, Praga-Południe, Warszawa, mazowieckie</t>
  </si>
  <si>
    <t xml:space="preserve">Funkcjonalne mieszkanie zlokalizowane w dzielnicy Praga południe, Gocław przy ul. Znanieckiego. Ekspozycja wschodnia, z wyjściem na 6,2m2 balkonu i widokiem na zieleń.  Budynek w schludnym stanie z dwiema nowymi windami. Rok budowy 1990, ocieplony 5 lat temu. Instalacje w budynku są wymienione i nie wymagają nakładów.   Świetna lokalizacja dla osób ceniących sobie dużą ilość zieleni, miejsc do spacerów i spokoju.  W pobliżu liczne szkoły, przedszkola i żłobki.  W okolicy znajdziemy również sklep Lidl, delikatesy, apteki, stacje benzynowe oraz Centrum Handlowe Promenada.  Dojazd do centrum ( PKiN ) nie zajmie nam więcej niż ok. 30 min autem lub autobusem. Przystanek znajduje się dosłownie 2 minuty od budynku. Na osiedlu są 3 żłobki w tym 1 zupełnie nowy, 5 przedszkoli, 2 nowe, 4 duże szkoły podstawowe , 1 oddana 2 lata temu. Rodzina z dziećmi doskonale odnajdzie się w tej okolicy.  Mieszkanie narożne o powierzchni 70,1 m2 z której wydzielono trzy pokoje, osobną toaletę oraz łazienkę. Dodatkowym atutem jest pomieszczenie gospodarcze w mieszkaniu oraz piwnica. W korytarzu znajdziemy obszerną zabudowaną szafę..  Przytulny salon z aneksem o powierzchni ok. 40m2 z wyjściem na balkon ( zabudowany oszkleniem ). m Przestronna kuchnia z oknem wyposażona we wszystkie potrzebne sprzęty tj. kuchenka gazowa, lodówka, zmywarka, piekarnik.  Dwa dodatkowe pokoje możliwe do dowolnej aranżacji pod oczekiwania przyszłego właściciela. Obecnie jeden pokój biurowy z rozkładaną sofą oraz drugi, z biurkiem i dwoma fotelami z funkcją spania oraz szafa wnękowa na całej ścianie. Osobna toaleta podwyższy komfort mieszkania większej rodzinie, a łazienka z wanną i deszczownicą umili relaksacyjne wieczory.  Serdecznie zapraszam na prezentację i do telefonicznego kontaktu.  KRZYSZTOF ZALESKI  Licencjonowany Broker Nieruchomości  Licencjonowany Zarządca Nieruchomości  Tel. 600 990 581. 
Ogłoszenie nie stanowi oferty w rozumieniu przepisów kodeksu cywilnego.
Oferta wysłana z programu dla biur nieruchomości ASARI CRM ()
</t>
  </si>
  <si>
    <t>https://www.otodom.pl/pl/oferta/komfortowe-trzypokojowe-mieszkanie-na-goclawiu-ID4nywe</t>
  </si>
  <si>
    <t>4nywe</t>
  </si>
  <si>
    <t>Gotowe 2 pokoje + Piękny Taras _ WYSOKI STANDARD</t>
  </si>
  <si>
    <t>Nowy Fordon, Bydgoszcz, kujawsko-pomorskie</t>
  </si>
  <si>
    <t>Zakup bez ukrytych opłat! - OD DEWELOPERA - BEZ PROWIZJI
ODBIERZ ZARAZ KLUCZE! Umów się na oglądanie wybranych rozkładów na żywo!
NIEPOWTARZALNA OKAZJA NA ZAKUP MIESZKANIA PRZY SAMYM PARKU (w ofercie mieszkania z bezpośrednim i częściowym widokiem na park)!
Ucieknij od zgiełku miasta, mając całą niezbędną infrastrukturę w pieszej odległości od osiedla!!
⚡⚡PLUSY: 0 zł prowizji + 0 zł PCC =&amp;gt; płacisz tylko za mieszkanie + wybrane dodatki (np. miejsce postojowe) + notariusza*
*ZAREZERWUJ MIESZKANIE WRAZ Z JEGO CENĄ JUŻ ZA JEDYNE 1.000,00 PLN – bez notariusza!!
**Kilka ostatnich mieszkań z ogrodami – nie przegap swojej okazji ! KAMERALNE OSIEDLE, mała ilość sąsiadów w budynku, niskie 4-piętrowe budynki z windą i halą garażową!
***Dla inwestorów – specjalna oferta PROMOCYJNA – zapytaj jeśli myślisz o zakupie 3 i więcej mieszkań! IDEALNE OSIEDLE POD WYNAJEM = obok Politechniki Bydgoskiej!
Zalety osiedla:
✔PUNKT KOMUNIKACYJNY (14 linii komunikacji miejskiej: tramwaj + autobus; najbliższy przystanek już 200m od osiedla);
✔15 min dojazd samochodem do Centrum
✔Bliskość uczelni: Politechnika Bydgoska za terenem osiedla + możliwy dojazd komunikacją miejską do pozostałych uczelni (do 35minut)
✔zaplecze edukacyjne (już 800m dzieli osiedle od żłobków, przedszkoli i szkół podstawowych)
✔sklepy na wyciagnięcie ręki (Biedronka, Lidl, żabki, Auchan, Leroy Merlin, Decathlon, IKEA)
✔Idealne osiedle dla osób często podróżujących służbowo poza tereny Bydgoszczy (sprawny dojazd do węzła A1);o.Akademickie422
✔ Duże odległości między budynkami (bez zaglądania sąsiadów w okno!)
Przynależności: balkon/ ogródek
Dodatkowe udogodnienia: możliwość zakupu garażu lub miejsca naziemnego
Dla naszych klientów posiadamy własny dział kredytowy, który pomoże w załatwieniu wszystkich formalności związanych z finansowaniem. (bezpłatnie)
Zapraszam do kontaktu.</t>
  </si>
  <si>
    <t>https://www.otodom.pl/pl/oferta/gotowe-2-pokoje-piekny-taras-wysoki-standard-ID4oIqQ</t>
  </si>
  <si>
    <t>4oIqQ</t>
  </si>
  <si>
    <t>5 pokoi, Wiatraczna 13A, gotowiec inwestycyjny</t>
  </si>
  <si>
    <t>ul. Wiatraczna, Grochów, Praga-Południe, Warszawa, mazowieckie</t>
  </si>
  <si>
    <t xml:space="preserve">Mieszkanie o powierzchni 85,37 m2 znajdujące się na 4/4p składa się z:
- 5 osobnych pokoi,
- osobnej widnej kuchni,
- 2 łazienek z wc i kabiną prysznicową,
- przedpokoju.
Właściciele odświeżyli mieszkanie w 2021 roku. 
Czynsz z opłatami eksploatacyjnymi bez zaliczki na wodę wynosi ok. 1200 zł.
Mieszkanie jest wynajmowane i aktualnie generuje ok. 6,5% ROI.
Kuchnia oraz 3 pokoje są od zachodu (widok na dziedziniec) a 2 pokoje od wschodu (widok na ul. Wiatraczną).
Pełna Własność z Księgą Wieczystą. Można wspomóc się kredytem.
4 min pieszo znajduje się Galeria Wiatraczna z pełną infrastrukturą usługowo-zakupową. 
Przy Rondzie Wiatraczna jest przystanek tramwajowy. Do Centrum dojazd zajmuje ok. 15 min.
Budynek z lat 60' bez windy, z cegły, po wszystkich remontach (dach, termoizolacja, CO, woda, kanalizacja).
</t>
  </si>
  <si>
    <t>https://www.otodom.pl/pl/oferta/5-pokoi-wiatraczna-13a-gotowiec-inwestycyjny-ID4nBVy</t>
  </si>
  <si>
    <t>4nBVy</t>
  </si>
  <si>
    <t>Nowa Guzikarnia | kawalerka | 28,76 m2</t>
  </si>
  <si>
    <t>ul. Ogrodowa, Stare Miasto, Częstochowa, śląskie</t>
  </si>
  <si>
    <t>NOWA GUZIKARNIA to nowoczesne apartamenty loftowe w centrum Częstochowy.
Lokale o powierzchni ~ 28 m2 to oferta skierowana pod inwestycje, dla singli czy też dla młodych małżeństw.
NOWA GUZIKARNIA to unikalne w Częstochowie, loftowe mieszkania urządzone w dawnych pomieszczeniach przemysłowych. W ofercie znajdują się lokale z gotowym projektem wykończenia wnętrz, gwarantujące maksymalne wykorzystanie przestrzeni oraz nowoczesny design.
Kawalerka o metrażu ~ 28 m2 to idealna propozycja inwestycyjna m.in. pod najem długo i krótkoterminowy. Jest to również powierzchnia poszukiwana przez singli czy młode pary, szukające swojego pierwszego mieszkania. 
Lokalizację w samym centrum miasta doceniają szczególnie młode, mobilne osoby, ceniące sobie nowoczesny styl życia oraz komfortowe warunki mieszkalne.
Główne cechy
Lokalizacja w centrumNOWA GUZIKARNIA to idealny wybór dla osób ceniących sobie wygodę i komfort życia w centrum miasta. Ta lokalizacja zapewnia łatwy dostęp do infrastruktury miejskiej: licznych restauracji, kawiarni, sklepów, punktów usługowych, dworca PKP i PKS, Galerii Jurajskiej oraz terenów rekreacyjnych. Wygodne połączenia komunikacyjne sprawiają, że dojazd do każdej części miasta jest łatwo osiągalny. Z Nowej Guzikarni w ~ 3 minuty dojeżdża się do DK91 (Katowice - Warszawa).
Loftowy designLofty to pod wieloma względami wyjątkowe wnętrza. Sufity na wysokości 320 cm, okna o szer. 350 cm oraz wysoka izolacja akustyczna pomiędzy lokalami to parametry godne najbardziej ekskluzywnych inwestycji mieszkaniowych. Mieszkania o tym metrażu posiadają balkony francuskie, dzięki czemu wnętrza są doskonale doświetlone i powiększone optycznie.
Funkcjonalność Lokal został zaprojektowany z myślą o maksymalnym wykorzystaniu powierzchni. Salon z aneksem kuchennym tworzy otwartą przestrzeń. Wnętrze jest ustawne i przytulne. Ergonomicznie i praktycznie rozplanowane punkty przyłączy pozwalają na optymalne wykorzystanie każdego centymetra powierzchni.
Bezpieczeństwo i komfortBudynek jest wyposażony w nowoczesne systemy bezpieczeństwa (zamykane na pilota bramy garażowe na poziomie “0”, systemy ppoż itp.). W budynku do dyspozycji są garaże wewnętrzne, trzy, nowoczesne i przestronne windy oraz klatki schodowe. Na terenie wokół budynku rozplanowano m.in. ogólnodostępne parkingi, tereny zielone oraz plac zabaw dla dzieci. 
Do lokalu istnieje możliwość zakupu miejsca garażowego oraz komórki lokatorskiej.
NOWA GUZIKARNIA to nowoczesny apartamentowiec, jedna z pierwszych wielkoskalowych inwestycji loftowych w Częstochowie. Projekt przebudowy dawnej fabryki wyrobów galanteryjnych wykonała warszawska pracownia architektoniczna ADC Architekci. Zarówno bryła jak wnętrza budynku wykonane są w nowoczesnym, spójnym stylu z akcentami nawiązującymi do historii miejsca. 
Loftowa kawalerka jest idealną propozycją dla osób poszukujących unikalnego, nowoczesnego miejsca zamieszkania w centrum miasta. 
Jeśli szukasz mieszkania, które pozwoli Ci cieszyć się energią miejskiego życia oraz niepowtarzalnym stylem, to ta oferta jest dla Ciebie!
Kupujący zwolniony jest z opłaty 2% podatku od czynności cywilnoprawnych.
Zapraszamy do kontaktu. 
Umów się na prezentację i zobacz to wyjątkowe lokum!
Biuro Sprzedaży na terenie Nowej Guzikarni
Częstochowa, ul. Ogrodowa 64B
pn.-pt.: 10:00 - 18:00 
sb.: 9:00 - 14:00
Tel.: 694 55 44 99
*Informacje dotyczące nieruchomości zostały przedstawione zgodnie z należytą wiedzą pośrednika oraz udostępnionymi mu dokumentami. Szczegółowa weryfikacja stanu prawnego oraz technicznego nieruchomości wymaga dokonania niezależnych analiz.</t>
  </si>
  <si>
    <t>https://www.otodom.pl/pl/oferta/nowa-guzikarnia-kawalerka-28-76-m2-ID4opC3</t>
  </si>
  <si>
    <t>4opC3</t>
  </si>
  <si>
    <t>Dwupoziomowe mieszkanie na sprzedaż Bronowice</t>
  </si>
  <si>
    <t xml:space="preserve">Private House Brokers ma wyłączną przyjemność przedstawić ofertę 4 pokojowego, dwupoziomowego mieszkania na sprzedaż przy ulicy Szarotki w Bronowicach.LOKALIZACJA:Mieszkanie znajduje się przy ulicy Szarotki w dzielnicy Bronowice Wielkie. Zaledwie kilka minut pieszo od nieruchomości znajduje się najbliższy przystanek autobusowy. W pobliżu liczne punkty usługowe: - Galeria Bronowice - 6 min drogi samochodem- Factory - 7 min drogi samochodem - Makro - 7 min drogi samochodem Najbliższe placówki edukacyjne:- Przedszkole nr 25 - Przedszkole integracyjne - Prywatne Przedszkole - Zespół Szkół Ogólnokształcących nr 53. Szkoła Podstawowa nr 51 im. S. WyspiańskiegoW pobliżu tereny zielone:- Tenczyński Park Narodowy- Ojcowski Park NarodowyMIESZKANIE:Nieruchomość znajduje się na pierwszym i drugim piętrze, niskiego bloku. Posiada powierzchnię 74,8 metrów kwadratowych, na którą składa się:- salon z otwartą kuchnią z wyjściem na balkon - dwie przestronne sypialnie, każda z balkonem francuskim- łazienka- wiatrołap i hol- poddasze użytkowe dobrze doświetlone oknami dachowymiMieszkanie znajduje się na zamkniętym osiedlu z kontrolą dostępu. Do mieszkania przynależy zewnętrzne miejsce postojowe.FINANSE: 975 000 PLN KONTAKT:Zainteresowany? Skontaktuj się z nami pod numerem +4████████████2 lub napisz nam maila poprzez formularz kontaktowy dostępny w ogłoszeniu.————————————————————————————-Czy wiesz, że z Private House Brokers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 </t>
  </si>
  <si>
    <t>https://www.otodom.pl/pl/oferta/dwupoziomowe-mieszkanie-na-sprzedaz-bronowice-ID4olD1</t>
  </si>
  <si>
    <t>4olD1</t>
  </si>
  <si>
    <t>&gt;30m2 | Mieszkania Inwestycyjne | Wysokie Rabaty</t>
  </si>
  <si>
    <t>Siedlce, Gdańsk, pomorskie</t>
  </si>
  <si>
    <t xml:space="preserve">NOWOROCZNE ZNIŻKI - WYJĄTKOWA PROMOCJA NA ZAKUP MIESZKANIA – WYSOKIE RABATY dla WYBRANYCH LOKALI - UMÓW WIZYTĘ i zobacz na ŻYWO 
DORADCA KREDYTOWY – bezpłatna konsultacja 
UMOWA REZERWACYJNA → GWARANTOWANA NISKA CENA !!!
Bezpośrednia sprzedaż od dewelopera
BEZ PROWIZJI - BRAK PODATKU PCC – 0 zł – RYNEK PIERWOTNY
Wyjątkowe OKAZJE na miejsca postojowe
Bezpośredni kontakt z doradcą w godzinach od 8:00 do 22:00 od PN-SOB
✆☎☏ - ZADZWOŃ i umów wizytę
Sprawdź dostępność lokali – szeroki wybór mieszkań z ogromnym potencjalem
Na sprzedaż funkcjonalne i ustawne mieszkanie dla osób ceniących sobie komfort i spokój. 
Mieszkanie składa się z:
salonu z aneksem kuchennym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</si>
  <si>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https://www.otodom.pl/pl/oferta/30m2-mieszkania-inwestycyjne-wysokie-rabaty-ID4oFwE</t>
  </si>
  <si>
    <t>4oFwE</t>
  </si>
  <si>
    <t>Mieszkanie na sprzedaż na parterze!</t>
  </si>
  <si>
    <t>ul. Polna, Świętochłowice, śląskie</t>
  </si>
  <si>
    <t xml:space="preserve">Szukasz mieszkania ?? Mam dla Ciebie propozycję mieszkania na sprzedaż w Świętochłowicach.
Lokalizacja: Świętochłowice ul. Polna.
Powierzchnia: 27 m², plus piwnica 6 m²
Położenie: usytuowane na parterze w niskim bloku .
Media: woda, prąd, gaz, kanalizacja
Ogrzewanie: miejskie.
Stan prawny: własnościowe
Przed blokiem znajdują się miejsca parkingowe
Mieszkanie składa się z: dużego pokoju kuchni łazienki i przedpokoju.
️Atuty mieszkania ️
piec gazowy na wodę 
pełna własność ️
bardzo dobra lokalizacja
️zadbany blok
dobra komunikacja
klatka schodowa zamykana na domofon i czysta wewnątrz budynku
niski czynsz
piwnica 
Agent prowadzący:
Łukasz Bugara
Zadzwoń, by umówić się na oględziny nieruchomości.
Oferujemy dogodne warunki kredytowe przy zakupie nieruchomości i pomagamy w załatwieniu formalności związanych z uzyskaniem kredytu hipotecznego.
W przypadku tej oferty wynagrodzenie biura pokrywa właściciel nieruchomości.
</t>
  </si>
  <si>
    <t>https://www.otodom.pl/pl/oferta/mieszkanie-na-sprzedaz-na-parterze-ID4otOu</t>
  </si>
  <si>
    <t>4otOu</t>
  </si>
  <si>
    <t>Mieszkanie z ogródkiem dla rodziny!</t>
  </si>
  <si>
    <t>NIE POBIERAMY PROWIZJI OD KUPUJĄCYCH I NAJEMCÓW!Nieruchomości NIEDŹWIEDZKI com poleca:Idealny dla rodziny, bezczynszowy lokal mieszkalny w budynku jednorodzinnym dwulokalowym z 2020 roku, położony w Dominowie przy ulicy Grabowej.Powierzchnia mieszkalna 67,20m2, powierzchnia działki przynależna do lokalu to 450m2.Nieruchomość częściowo umeblowana w tym zabudowa kuchenna z AGD (bez lodówki).Rozkład pomieszczeń:Parter - wiatrołap (2,7m2), wc (3,8m2), salon połączony z aneksem kuchennym (28,20m2).Piętro - trzy sypialnie (9,40m2, 7,60m2 i 7,10m2), łazienka (4,3m2), przedpokój (4,10m2).Ogrzewanie gazowe - indywidualny kocioł gazowy. Okna PCV z roletami zewnętrznymi.Bezpośrednio przed budynkiem znajdują się dwa miejsca postojowe, a na zagospodarowanym ogródku znajduje się domek narzędziowy, pergola grillowa oraz plac zabaw dla dzieci. Pełne media: prąd, woda, kanalizacja, gaz i światłowód (doprowadzony do budynku w trakcie aktywacji przyłącza).Lokal gotowy do zamieszkania praktycznie od zaraz! Więcej informacji: tel. 669 111 071.Niniejsze ogłoszenie ma charakter informacyjny i nie stanowi oferty w rozumieniu przepisów Kodeksu cywilnego.</t>
  </si>
  <si>
    <t>https://www.otodom.pl/pl/oferta/mieszkanie-z-ogrodkiem-dla-rodziny-ID4ojPx</t>
  </si>
  <si>
    <t>4ojPx</t>
  </si>
  <si>
    <t>Mieszkanie D17 Osiedle Srebrniki 62.00m2</t>
  </si>
  <si>
    <t>ul. Magellana, Wrzeszcz Górny, Gdańsk, pomorskie</t>
  </si>
  <si>
    <t>Osiedle Srebrniki to zielona enklawa położona na granicy dwóch dzielnic Gdańska - Wrzeszcza i Moreny.W ofercie znajdują się przestronne i doświetlone mieszkania oraz lokale usługowe o wygodnych rozkładach z możliwością aranżacji według własnych potrzeb. W każdym budynku znajduje się cichobieżna winda. Mieszkania na parterze posiadają ogródki, a lokale położone na najwyższych piętrach widok na Zatokę Gdańską.Osiedle Srebrniki położone jest z dala zgiełku głównych ulic, z dostępem do licznych terenów rekreacyjnych. Jednocześnie położenie na granicy gdańskich dzielnic Wrzeszcza oraz Moreny zapewnia nie tylko pełne zaplecze handlowe, ale również świetne skomunikowanie (w bezpośrednim sąsiedztwie tramwaje, autobusy, przystanek PKM).</t>
  </si>
  <si>
    <t>https://www.otodom.pl/pl/oferta/mieszkanie-d17-osiedle-srebrniki-62-00m2-ID4mxA4</t>
  </si>
  <si>
    <t>4mxA4</t>
  </si>
  <si>
    <t>Atrakcyjny w pełni wyposażony dom pod Wadowicami</t>
  </si>
  <si>
    <t>Przedmiotem oferty jest gotowy do zamieszkania dom jednorodzinny znajdujący się w miejscowości Jaroszowice k. Wadowic o łącznej powierzchni użytkowej wynoszącej 144m2 oddany do użytku w 2010 roku.
Parter domu o powierzchni użytkowej 64.99m2 składa się z:
- wiatrołapu z szafą w zabudowie
- otwartego salonu z kominkiem oraz osobnym miejscem relaksu
- jasnej kuchni z wyspą
- jadalni z wyjściem na taras oraz do schludnie zagospodarowanego ogrodu
- toalety
Na piętrze:
- 2 sypialnie
- gabinet mogący służyć jako dodatkowa sypialnia (z wyjściem na balkon).
-nowoczesnej łazienki zaprojektowanej przez skandynawskiego architekta wnętrz z wyjściem na balkon, wanną, prysznicem, bio kominkiem, zabudową pod pralkę/suszarkę oraz schowek.
Dodatkowo istnieje możliwość zagospodarowania strychu dla powierzchni mieszkalnej bądź biura, gabinetu. Dom częściowo podpiwniczony, w przyziemiu znajduje się kotłownia oraz pomieszczenia gospodarcze.
Budynek został wykonany oraz wykończony przy użyciu wysokiej jakości materiałów. Podłoga została pokryta drewnem z drzewa egzotycznego, schody wykonane z drewna sosnowego. Dach dwuspadowy pokryty został dachówką ceramiczną, wentylacja grawitacyjna. Ogrzewanie nowo założonym piecem gazowym, w części domu ogrzewanie podłogowe. Budynek murowany z pustaka, ocieplony styropianem 10 cm, okna dwuszybowe PCV. Do budynku podłączona woda miejska oraz ze studni.
Zabudowa domu wynosi 91m2 na działce o powierzchni 415m2, wybrukowany podjazd oraz 3 miejsca postojowe. W cenę domu wliczona jest działka budowlano-rolna o powierzchni 21 arów częściowo zagospodarowana jako sad, na której rosną winogrona, maliny, borówki, gruszki oraz śliwki.
Spokojna okolica luźnej zabudowy jednorodzinnej.Blisko szkoła, sklepy, przystanki komunikacji miejskiej. Dwa niezależne dojazdy do Wadowic oraz bezpośredni wyjazd w kierunku Krakowa.
 Cena ofertowa zawiera widoczne na zdjęciach wyposażenie. Zapraszam do kontaktu oraz na prezentację nieruchomości!</t>
  </si>
  <si>
    <t>https://www.otodom.pl/pl/oferta/atrakcyjny-w-pelni-wyposazony-dom-pod-wadowicami-ID4nArf</t>
  </si>
  <si>
    <t>4nArf</t>
  </si>
  <si>
    <t>Wyszukany apartament w sercu Salwatora</t>
  </si>
  <si>
    <t>Powitaj luksusowe życie w najnowszej propozycji Homeboss - apartamencie, którego nie znajdziesz nigdzie indziej! W sercu malowniczego Krakowskiego Salwatora czeka na Ciebie mieszkanie o powierzchni 114 m2, które nieustannie zachwyca i inspiruje.Wnętrze, w którym Spełniają się Marzenia:Zakochaj się w aranżacji stworzonej przez renomowaną pracownię architektoniczną, gdzie każdy detal wydobywa elegancję i wyrafinowanie. Apartament składa się z następujących pomieszczeń:Przestronnego salonu z aneksem kuchennymEleganckiej sypialniKomfortowego pokojuStylowej łazienkiDodatkowej toaletyUroczego holuWyjątkowe Detale, Wyjątkowe Doznania:Ogród wertykalny ożywia przestrzeń, a spieki kwarcowe, forniry kamienne i dębowe podłogi tworzą harmonię między naturą a luksusem. Wisząca wyspa kuchenna to prawdziwa perła, podkreślająca niepowtarzalność tego miejsca.Światło, Design, Technologia:Wnętrze tego apartamentu to połączenie światła, designu i najnowocześniejszej technologii. Kuchnia wyposażona w sprzęt AGD najwyższej klasy spełni oczekiwania nawet najbardziej wymagających smakoszy. Steruj każdym detalem za pomocą najnowszego systemu smart home, który uczyni Twoje życie łatwiejszym i bardziej komfortowym.Ogrzewanie Przyszłości:Ciesz się komfortem i oszczędnością dzięki ogrzewaniu pompą ciepła, a system rekuperacji zadba o świeże powietrze i zdrową atmosferę w Twoim domu.Ogródek Marzeń w centrum miasta:Niepowtarzalność tego miejsca podkreśla ogromny ogródek o imponującej powierzchni 350 m2, co stanowi prawdziwą rzadkość w sercu miasta. To unikalne połączenie przestrzeni zielonej w samym centrum Krakowa, co czyni to miejsce niepowtarzalnym i wyjątkowym. Dodatkowo, automatyczny system nawadniania sprawi, że pielęgnacja ogrodu stanie się łatwa i przyjemna.Lokalizacja Marzeń:Salwator - miejsce, w którym historia splata się z przyrodą, a urok ulic i zabytków zachęca do magicznych spacerów. Tu, w jednej z najlepiej zlokalizowanych dzielnic Krakowa, zawsze czujesz puls życia, a kulturalne i artystyczne wydarzenia stają się Twoim codziennym towarzyszem.Skontaktuj się Teraz:Łukasz GawronTel: +4████████████3 E-mail:  Agencja nieruchomości HomeBossOdkryj wyjątkowy styl życia w naszym apartamencie z własnym ogródkiem. Dla tych, którzy szukają czegoś więcej niż tylko miejsca do mieszkania - to jest oferta, która przemawia do wyjątkowych ludzi. Zrealizuj swoje marzenia już dziś!</t>
  </si>
  <si>
    <t>https://www.otodom.pl/pl/oferta/wyszukany-apartament-w-sercu-salwatora-ID4ogml</t>
  </si>
  <si>
    <t>4ogml</t>
  </si>
  <si>
    <t>4 pokoje na Osowej</t>
  </si>
  <si>
    <t>ul. Homera, Osowa, Gdańsk, pomorskie</t>
  </si>
  <si>
    <t>TYLKO U NAS!DLA KOGO?Dla pary.Dla rodziny.Pod wynajem.Do dalszej inwestycji.MIESZKANIE: na sprzedaż ciepłe, jasne, rozkładowe, trójstronne mieszkanie 4-pokojowe o łącznej powierzchni 70 m2 znajdujące się w Gdańsku (dzielnica Osowa).W skład całości wchodzi:-  salon połączony z wyjściem na balkon- kuchnia- sypialnia- pokój - pokój- łazienka z prysznicem- przedpokójMieszkanie jest w stanie  dobrym.Wysokość pomieszczeń: 260cmOKOLICA: w pobliżu pełne zaplecze handlowo-usługowe. Sklepy, szkoła, kościół, przystanek autobusowy (600m), apteka, sklep spożywczy. Blisko także zjazd na obwodnicę, sama obwodnica odgrodzona ekranami dźwiękoszczelnymi. Osiedle odgrodzone, otoczone zielenią.BLOK: niski, kameralny 1-piętrowy budynek wybudowany w 2004 roku. Klatka schodowa bardzo przestronna, zadbana, zabezpieczona domofonem cyfrowym. Dach skośny, pokryty dachówką ceramiczną. Przed budynkiem ogólnodostępne miejsca postojowe dla mieszkańców.OPŁATY: podział lato/zima.lato - ok. 350 zł (w tym zaliczki na wodę ciepłą i zimną, fundusz remontowy, administrację, wywóz śmieci) + prąd według zużyciazima - ok. 800 zł (dochodzi zaliczka na C.O) + prąd według zużyciaInformacje dodatkowe:Ogrzewanie i ciepła woda z sieci miejskiej. Wszystkie okna PCV.Do mieszkania przynależy piwnica o powierzchni 4m2.KUP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</si>
  <si>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https://www.otodom.pl/pl/oferta/4-pokoje-na-osowej-ID4nVFJ</t>
  </si>
  <si>
    <t>4nVFJ</t>
  </si>
  <si>
    <t>Dom energooszczędny - ul. Hajduczka</t>
  </si>
  <si>
    <t>Dawidy Bankowe, Raszyn, pruszkowski, mazowieckie</t>
  </si>
  <si>
    <t>Ostatni wolny budynek w obecnym etapie - typu XL ma 165 m² pow. użytkowej, działkę 370 m², 2 miejsca w garażu i 2 miejsca postojowe przed garażem.
Wkrótce rozpoczniemy sprzedaż 3-ciego etapu, szczegóły na stronie atriumdom. pl
Standard wykonania: 
Okablowanie do Fotowoltaiki
Pompa ciepła Dietrich Strateo 8kW 
Rekuperacja (Komfovent)
Ogrzewanie podłogowe w całym budynku oprócz garażu.
Latem możliwość chłodzenia pomieszczeń z wykorzystaniem instalacji ogrzewania podłogowego i pompy ciepła
Okablowanie do monitoringu i alarmu
Okna energooszczędne trzyszybowe z 6-komorowym profilem
Izolacje energooszczędne
Podano cenę brutto, transakcja nie jest objęta podatkiem PCC.
Budynki są bezczynszowe i energooszczędne. 
LOKALIZACJA: s://goo.gl/maps/FMu1rn4xtCHEXu8M6
Dawidy Bankowe znajdują się na skraju gminy Warszawa-Włochy, gminy Lesznowoli i Gminy Raszyn.
W sąsiedztwie znajduje się Rezerwat Przyrody Stawy Raszyńskie oraz Centrum Sportu Raszyn z boiskami, halami sportowymi oraz basenem w Raszynie. Dawidy Bankowe są w dużej mierze pokryte zabudową jednorodzinną, terenami rolnymi oraz terenami wodami - m. in. w Rezerwacie Stawy Raszyńskie. W pobliżu inwestycji oprócz w.w., kościół, liczne sklepy i usługodawcy (salony fryzjerskie, kwiaciarnie, sklepy branżowe i usługi, mechanik i wulkanizacja itp.)
Edukacja
Inwestycja znajduje się w sąsiedztwie Szkoły Podstawowej im. ks. Józefa Poniatowskiego w Ładach (Dawidy Bankowe ul. Długa 49). Jest to szkoła o wieloletniej tradycji, która dorobiła się świetnej kadry pedagogicznej, panuje w niej przyjazna atmosfera, a także dysponuje rozwiniętym zapleczem sportowym. W pobliżu działa Uczniowski Klub Sportowy Łady. W okolicy działa też kilka przedszkoli. Plac zabaw przy ulicy Oleńki znajduje się około 50 metrów od osiedla ATRIUMDOM
Komunikacja
Dogodna lokalizacja inwestycji w Dawidach Bankowych, oddalonych jedyne 15 minut od Centrum Warszawy, zapewnia możliwość korzystania z rozwiniętej infrastruktury miejskiej i terenów zielonych. Dzięki połączeniu drogą ekspresową S8 zyskała dojazd do centrum Warszawy w zaledwie 20 minut.
Ulicą Długą (Skrzyżowanie z Oleńki) kursują autobusy ZTM linii 737 oraz 715. W pobliżu znajduje się stacja kolejowa Warszawa Dawidy.
Będąca w trakcie budowy droga S7 (tzw. Puławska bis) posiada istniejący już węzeł z obwodnicą Warszawy (S2) w pobliżu inwestycji. Pierwszy odcinek trasy obejmie węzeł Zamienie (w okolicach ul. Karczunkowskiej) i kończy się w węźle Lesznowola (skrzyżowanie z nowym przebiegiem drogi nr 721).
Osiedle jest zlokalizowane poza strefą nalotową lotniska Okęcie, załączono Mapę Emisyjną Hałasów z zaznaczoną lokalizacją osiedla (na środku mapy) źródło: Mapa Emisyjna Hałasów w zasięgu L &amp;gt;= 50 Db w otoczeniu Portu Lotniczego Im. F.Chopina w Warszawie, 
Oferujemy 3 typy budynków:
typ S to 3 pokoje + salon. Pozostałe typ XL i typ M zakładają 4 pokoje + salon. Rzuty są dostępne na stronie internetowej AtriumdomTyp XL:
- 164,02 m² pow. użytkowej
- przestronny salon z kuchnią i jadalnią na parterze
- 4 sypialnie (2× 10 m. kw i 2x 14 m. kw.) 
- 2 łazienki (6 i 8 m.kw.) i garderoba przy sypialni małżeńskiej.
- podwójny garaż + 2 miejsca postojowe przed; Link do rzutu: atriumdom . pl / oferta
Typ M:
- 137 m² pow. użytkowej
- przestronny salon z kuchnią i jadalnią na parterze
- gabinet na parterze
- 3 sypialnie na piętrze
- 2 łazienki i garderoba na piętrze
- garaż pojedynczy +1 miejsce postojowe przed.Link do rzutu: atriumdom . pl / oferta
Typ S:
- 118 m² pow. użytkowej
- przestronny salon z kuchnią i jadalnią na parterze
- 3 sypialnie na piętrze
- 2 łazienki i garderoba na piętrze
- garaż pojedynczy +1 miejsce postojowe przed.Link do rzutu: atriumdom . pl / oferta</t>
  </si>
  <si>
    <t>https://www.otodom.pl/pl/oferta/dom-energooszczedny-ul-hajduczka-ID4lXHn</t>
  </si>
  <si>
    <t>4lXHn</t>
  </si>
  <si>
    <t>M-5 Wrzosowiak, 79m2, w pełni wykończone</t>
  </si>
  <si>
    <t>Wrzosowiak, Częstochowa, śląskie</t>
  </si>
  <si>
    <t>OFERTA 0% - Kupujący nie płaci prowizji, wynagrodzenie biura w całości pokrywa Sprzedający!!!Mamy przyjemność zaprezentować Państwu dwupoziomowe mieszkanie 4-pokojowe po generalnym remoncie, w pełni wykończone, usytuowane na 2. piętrze w ocieplonym 12-lokalowym budynku położonym w doskonałej lokalizacji w dzielnicy Wrzosowiak.BUDYNEK ŚWIEŻO PO KAPITALNYM REMONCIE!!! Cena zawiera VAT, Kupujący zwolniony jest z podatku PCC 2%!!!Pełna własność z udziałem w gruncie - lokal nr 12.Powierzchnia użytkowa lokalu 78,97 m2.ROZKŁAD POMIESZCZEŃ:POZIOM PIERWSZY:- salon z aneksem kuchennym- wc- przedpokójPODDASZE:- 3 sypialnie- łazienka- holŚciany gipsowane, w łazience nowoczesna glazura i gres. Nowe drzwi zewnętrzne i wewnętrzne, nowe futryny. Nowa instalacja elektryczna, wodna i kanalizacyjna. Nowe wylewki, nowe panele podłogowe. Nowe okna PCV. W łazience kabina prysznicowa.Centralne ogrzewanie - miejskie, opomiarowane, ciepła woda - miejska, opomiarowana.Do mieszkania przynależy piwnica o pow. ponad 8m2.Teren ogrodzony, własny parking.W sprzedaży dostępne są mieszkania 2-, 3- i 4-pokojowe o powierzchniach 46m2-86m2.Doskonała lokalizacja, w pobliżu przystanki autobusowe i tramwajowe, liczne sklepy, restauracje, kawiarnie i usługi.Cena 469 000 złOpiekun oferty:Aleksandra Nowakowskatel. 660 049 915 lub 660 049 905Polecam i zapraszam na prezentację!!Oferujemy bezpłatną pomoc w uzyskaniu kredytu na zakup nieruchomości.Niniejsza oferta nie stanowi oferty handlowej w rozumieniu art. 66 kodeksu cywilnego.Oferta wysłana z programu dla biur nieruchomości ASARI CRM ()</t>
  </si>
  <si>
    <t>https://www.otodom.pl/pl/oferta/m-5-wrzosowiak-79m2-w-pelni-wykonczone-ID4ovQg</t>
  </si>
  <si>
    <t>4ovQg</t>
  </si>
  <si>
    <t>Mieszkanie 52m2, 2 pokoje, Wolica, gm. Ożarów Maz.</t>
  </si>
  <si>
    <t>Wolica, Ożarów Mazowiecki, warszawski zachodni, mazowieckie</t>
  </si>
  <si>
    <t>Mieszkanie 52 m2 (62 m2 po podłodze), sypialnia oraz salon z aneksem kuchennym.Wolica koło Płochocina, gm. Ożarów Mazowiecki.Budynek z 2015 r. 2-piętrowy (bez windy) położony na terenie zamkniętego, składającego się z 5 budynków monitorowanego osiedla. Ekspozycja wschodnio - południowa.Stan do szybkiego wprowadzenia się z pełnym wyposażeniem.Rozmieszczenie pomieszczeń:Parter:-salon z aneksem kuchennym (28,06 m2)-łazienka (3,96m2)-balkonPoddasze:-sypialnia (16,63 m2)-pomieszczenie gospodarcze (z możliwością przerobienia na drugą łazienkę) -3,53 m2Do mieszkania przynależy naziemne miejsce parkingowe (dodatkowo płatne 15 tys. zł) Miesięczny czynsz administracyjny –450 zł (dwie osoby).Odległości:-Dworzec PKP 900m (25 minut jazdy pociągiem do centrum Warszawy)-Przedszkole 550 m-Szkoła podstawowa  250 m-Biedronka 650 m-Przychodnia zdrowia 500 m-Apteka 450 m-Przystanek ZTM 250m-7km do zjazdu na A2 prowadzącą do WarszawyWyposażenie:-pralka-lodówka-zmywarka-płyta indukcyjna-piekarnik-TV z soundbarem-antena satelitarna z możliwością podłączenia dekodera-możliwość podłączenia internetu światłowodowego.Cena 620 000 złMieszkanie bezpośrednio od właściciela.Mieszkania idealne dla singla lub pary.Mieszkanie z odrębną księgą wieczystą - można posiłkować się kredytem.</t>
  </si>
  <si>
    <t>https://www.otodom.pl/pl/oferta/mieszkanie-52m2-2-pokoje-wolica-gm-ozarow-maz-ID4oqjP</t>
  </si>
  <si>
    <t>4oqjP</t>
  </si>
  <si>
    <t>3 pokoje - doskonała lokalizacja -</t>
  </si>
  <si>
    <t>ul. Tomaszowska, Huby, Krzyki, Wrocław, dolnośląskie</t>
  </si>
  <si>
    <t>Zapraszamy do zakupu urokliwego, trzypokojowego mieszkania z osobną kuchnią, balkonem oraz  piwnicą, usytuowanego w odnowionym i ocieplonym bloku z nowocześnie wyremontowaną klatką schodową. Doskonała propozycja zarówno dla inwestora, jak i osób poszukujących komfortowego lokum do wynajęcia. Gotowe do natychmiastowego zamieszkania.Nieruchomość została poddana gruntownej modernizacji, obejmującej wymianę instalacji elektrycznej i hydraulicznej, co gwarantuje bezpieczeństwo i funkcjonalność.Mieszkanie oferuje pełne wyposażenie, w tym:Kuchnia: Meble kuchenne dostosowane pod wymiar, stół, krzesła.Łazienka: Prysznic, umywalka z szafką, toaleta, pralka.3 pokoje: W każdym z pokoju znajdują się łóżko, szafa na wymiar, komoda, biurko.Balkon: Stół i dwa krzesła.Piwnica o powierzchni około 2 m².Wszystkie meble pozostają w mieszkaniu, co sprawia, że można szybko przystąpić do wynajmu lokatorom.Lokalizacja nieruchomości jest doskonała - w bezpośrednim sąsiedztwie znajdują się szkoły, sklepy, kawiarnie, restauracje, Aquapark - 150 m ,Dworzec PKP - 800 m,Centrum Handlowe Wroclavia - 800 m,Dogodne połączenia komunikacyjne zapewniają przystanek autobusowy oraz linie tramwajowe, umożliwiające swobodne przemieszczanie się po całym mieście. Istnieje także możliwość skorzystania z parkingu zarówno na podwórku, jak i przy ulicy. Nie zwlekaj, ta oferta z pewnością spełni Twoje oczekiwania!</t>
  </si>
  <si>
    <t>https://www.otodom.pl/pl/oferta/3-pokoje-doskonala-lokalizacja-ID4ovrh</t>
  </si>
  <si>
    <t>4ovrh</t>
  </si>
  <si>
    <t>Apartamenty Władysławowo Bałtyckie Tarasy</t>
  </si>
  <si>
    <t>ul. Droga Chłapowska, Władysławowo, Władysławowo, pucki, pomorskie</t>
  </si>
  <si>
    <t>Bałtyckie Tarasy to planowana inwestycja nad Polskim Morzem we Władysławowie. Słoneczne, przytulne, nowoczesne mieszkania położone około 2,5 km od morza w spokojnej dzielnicy Władysławowa, są idealnym rozwiązaniem na wypoczynek oraz życie codzienne. Jest to idealna propozycja dla osób chcących uciec od miejskiego zgiełku. Wyjątkowa lokalizacja na mapie Władysławowa łączy w sobie to co najistotniejsze przy wyborze apartamentu nad morzem. Bałtyckie Tarasy to inwestycja składająca się z trzech funkcjonalnych budynków ( z windą) tworząc kompleks wypoczynkowy. Jest to nowoczesna inwestycja. Ogródek na parterze lub taras na wyższych kondygnacjach budynku dają poczucie komfortu i przestrzeni. Nowoczesna architektura budynków, jasna kolorystyka elewacji doskonale korespondują ze współczesnymi trendami architektonicznymi oraz wpisują się w nadmorski krajobraz. Bogaty wybór powierzchni apartamentów ( 31m2- 99m2) , zróżnicowanie pod względem liczby i rozkładu pomieszczeń oraz atrakcyjna lokalizacja i nowoczesna aranżacja zaspokoi potrzeby najbardziej wymagających klientów. W pierwszym etapie inwestycji wprowadzamy do sprzedaży apartamenty w pierwszym budynku. Planowany termin odbioru mieszkań trzeci kwartał 2024 roku.</t>
  </si>
  <si>
    <t>https://otodom.pl/pl/oferta/apartamenty-wladyslawowo-baltyckie-tarasy-ID4js7S</t>
  </si>
  <si>
    <t>4js7S</t>
  </si>
  <si>
    <t>Mieszkanie przy parku|3pokoje i taras</t>
  </si>
  <si>
    <t>ul. Grabiszyńska, Gajowice, Fabryczna, Wrocław, dolnośląskie</t>
  </si>
  <si>
    <t>MIESZKANIE PRZY PARKU/3 POKOJE/ANEKS KUCHENNY/DUŻY TARASSDP NIERUCHOMOŚCI - DZIAŁ DEWELOPERSKIOpiekun oferty: Sandra Sadowskatelefon: 602 101 602 3 POKOJOWE MIESZKANIE Z TARASEM,PRZY PARKUMieszkanie o powierzchni 59,30 m2 znajdujące się na 1 piętrze w 10 piętrowym budynku z windą.Lokal składa się z:- salonu z aneksem 21,62 m2- pokoju 14,91 m2- pokoju 9,81 m2- łazienki z WC 5,32 m2- przedpokoju 7,64 m2- tarasu 9,69 m2Zakładany czynsz: ok 450 złWystawa okien: południowaBudynek wyróżnia oryginalna i nowoczesna architektura gwarantująca równocześnie wysoką jakość wykonania.- ładnie wykończone części wspólne, wózkownie, rowerownie,- liczne tereny rekreacyjne.Możliwość zakupu miejsca postojowego w garażu podziemnym oraz komórki lokatorskiej.Lokalizacja:Południowo-zachodnia część miasta- 4,7km do rynku,- 1,5km do centrum handlowego Borek.Sąsiedztwo Parku Grabiszyńskiego oraz Lasku Oporowskiego.w pobliżu m.in. Tarasy Grabiszyńskie, Biedronka, szkoły, przedszkola, piekarnia, Żabka, Park Mamuta, Centrum Tenisowe i Rodzinne Centrum GolfaKomunikacja:- tramwajowa: 4, 5, 6, 11, 20, 74- autobusowa: A, 107, 124, 125, 126, 127, 134, 136, 143, 144, 241, 246, 247, 248, 251, 257, 319, 325, 607- stacja kolejowa Wrocław Grabiszyn,- ścieżka rowerowa ciągnąca się praktycznie do samego Rynku.Położenie inwestycji pozwala również na szybki dojazd do Węzła Bielańskiego, autostrady A4 oraz Autostradowej Obwodnicy Wrocławia S8.Zapraszam na bezpłatną prezentację!Pomagamy w uzyskaniu kredytów.Opiekun oferty: Sandra Sadowskatelefon: 602 101 602</t>
  </si>
  <si>
    <t>https://otodom.pl/pl/oferta/mieszkanie-przy-parku-3pokoje-i-taras-ID4lYzi</t>
  </si>
  <si>
    <t>4lYzi</t>
  </si>
  <si>
    <t>M-4/garderoba/pod klucz/Częstochowa/Parkitka</t>
  </si>
  <si>
    <t>Parkitka, Częstochówka-Parkitka, Częstochowa, śląskie</t>
  </si>
  <si>
    <t>Biuro Nieruchomości Sverum zaprasza do zakupu mieszkania typu M-4 (3pokoje z kuchnią) o powierzchni 63,55m2. Lokal położony na pierwszym piętrze w nowym, pięciopiętrowym bloku z windą, w Częstochowie w dzielnicy Parkitka. OFERTA !!! 0% KUP BEZ PROWIZJI 0% !!!STANDARD WYKOŃCZENIA:Podłogi - gres, panele;Ściany - gładź gipsowa;Okna - PCV Budynek: nowy blok z windąDo lokalu przynależy: duży balkon o pow. 19,16m2 Miejsce parkingowe: obok bloku (dodatkowo płatne 20 000zł)Zabezpieczenia: domofon, zamykane osiedleOgrzewanie: CO miejskieDostępne media: prąd, woda Lokalizacja:Komunikację zapewniają: linie autobusowe miejskie Punkty usługowe: Centrum handlowe, BiedronkaZapraszam na prezentację oraz po więcej informacji. Aleksandra GawędaSVERUM Nieruchomości Częstochowa* Opis oferty zawarty na stronie internetowej sporządzany jest na podstawie oględzin nieruchomości oraz informacji uzyskanych od właściciela, może podlegać aktualizacji i nie stanowi oferty handlowej w rozumieniu art. 66 §1 Kodeksu Cywilnego</t>
  </si>
  <si>
    <t>https://otodom.pl/pl/oferta/m-4-garderoba-pod-klucz-czestochowa-parkitka-ID4ktOM</t>
  </si>
  <si>
    <t>4ktOM</t>
  </si>
  <si>
    <t>4 pokoje+Aneks/15 minut do Ch Wroclavia/Gotowe</t>
  </si>
  <si>
    <t>Jagodno, Krzyki, Wrocław, dolnośląskie</t>
  </si>
  <si>
    <t>MIESZKANIE OD DEWELOPERA!PCC 0%4- pokojowe mieszkanie o pow. 62,89 m2NIERUCHOMOŚĆ:Przedmiotem sprzedaży jest lokal mieszkalny o pow. 62,89 m2, w którego skład wchodzi:- Salon z aneksem kuchennym 18,05 m²- Pokój 10,66 m2- Pokój 10,12 m2- Pokój 9,94 m2- Przedpokój z miejscem na szafę 7,17m²- Łazienka 4,66  m²- Balkon INWESTYCJA:- przestronne tarasy i balkony- szybkie i ciche windy- technologia home menagment system- oświetlenie led części wspólnych- miejsca postojowe zewnętrzne i wewnętrzne- stojaki rowerowe- podłączenie do CO miejskiegoLOKALIZACJA i OTOCZENIE:- Wroclavia - 15 minut- PKP - 16 minut- Lidl - 5 minut- Blisko do wschodniej obwodnicy Wrocławia- Park Brochowski - 1900 m- Stacja PKP - 1500 mKomunikacja miejska 110, 133,145, 255DODATKOWE INFORMACJE:Możliwość dokupienia miejsca postojowego naziemnego i podziemnego i komórki lokatorskiej.*zdjęcia wnętrz przedstawiają możliwą aranżację mieszkania.Serdecznie zapraszam na bezpłatną prezentację mieszkań.2.A.1.09W naszej ofercie posiadamy inne oferty mieszkań o podobnych metrażach i rozkładzie. Proszę o kontakt w celu poznania całej oferty!Obsługa naszego biura jest całkowicie bezpłatna. Pomożemy w uzyskaniu kredytu hipotecznego, wspomożemy Państwa w całym procesie zakupu, odpowiemy na wszelkie pytania.Krzysztof MuchaDoradca ds. Nieruchomościtel. 577 100 628WRE Nieruchomościul. Piłsudskiego 91A, WrocławUwaga! Prezentowane w serwisie oferty nie stanowią oferty handlowej w rozumieniu art. 66 Kodeksu Cywilnego i mogą być nieaktualne.Nota prawnaOpis oferty zawarty na stronie internetowej sporządzany jest na podstawie oględzin nieruchomości oraz informacji uzyskanych od właściciela, może podlegać aktualizacji i nie stanowi oferty określonej w art. 66 i następnych K. C.</t>
  </si>
  <si>
    <t>https://otodom.pl/pl/oferta/4-pokoje-aneks-15-minut-do-ch-wroclavia-gotowe-ID4lIO7</t>
  </si>
  <si>
    <t>4lIO7</t>
  </si>
  <si>
    <t>2 pokojowe mieszkanie z balkonem</t>
  </si>
  <si>
    <t>Bykowina, Ruda Śląska, śląskie</t>
  </si>
  <si>
    <t xml:space="preserve">| Zapraszam do zapoznania się z ofertą sprzedaży wyposażonego 2 pokojowego mieszkania z balkonem o powierzchni użytkowej 42,78 m2 usytuowanego na czwartym piętrze w czteropiętrowym bloku po termomodernizacji zabezpieczonym domofonem położonym w Rudzie Śląskiej przy ulicy Kopalnianej. Nieruchomość do odświeżenia, sprzedawana jest z widocznym na zdjęciach wyposażeniem. Nie wymaga dużych nakładów finansowych od przyszłego właściciela.W METRAŻ NIERUCHOMOŚCI WCHODZI:salon- przestronne pomieszczenie wyposażone w sofę, pufę oraz fotel kuchnia- widna, z zabudową kuchenną, wyposażona w kuchenkę gazową, lodówkę, zmywarkę piekarnik oraz zlew sypialnia- z komodą oraz sofąłazienka- przestronne pomieszczenie z prysznicem, umywalką, lustrem, pralką oraz WCprzedpokój- z szafą, wieszakiem, lustrem oraz szafkami na butyDo mieszkania przynależy piwnica około 3 m2.Dodatkowe atuty mieszkania:ciepła woda miejska; ogrzewanie miejskie;liczne miejsca parkingowe pod blokiemuprzejmi sąsiedzi;cicha i spokojna okolicaniski czynsz - 500 zł (w tym fundusz remontowy, administracja, zaliczka na C.O)LOKALIZACJA!LOKALIZACJA:Budynek usytuowany jest w dzielnicy Bykowina. W pobliżu liczne tereny zielone, parki, stawy. Nieopodal znajdują się punkty handlowo-usługowe: mniejsze sklepy spożywcze, supermarkety, apteki, fryzjerzy, przychodnie, kościoły, restauracje czy siłownia.Ponadto przedszkole, szkoła, duży plac zabaw dla dzieci.Nieruchomość idealna dla osób ceniących sobie szybki dojazd do ościennych miast (w pobliżu mnóstwo miejsc spotkań i możliwości spędzania wolnego czasu) | Polecam i zapraszam do umówienia się na prezentacjęASPECT NIERUCHOMOŚCI oddział ZabrzeOpiekun Oferty- Dawid Zielińskitel: 790-848-120Przez Nas kupujesz,TRANSPORT zyskujesz!Kupując tą nieruchomość otrzymujesz od Nas transport przeprowadzkowy GRATIS. DZIĘKI NAM KUPUJESZ TANIO, SZYBKO I BEZPIECZNIE!!! Gwarantujemy bezpieczeństwo transakcji. Oferujemy bezpłatną i skuteczną pomoc w uzyskaniu kredytu. Oferty zamieszczone na stronie internetowej przygotowywane są na postawie oględzin nieruchomości oraz informacji uzyskanych od właściciela. Weryfikujemy je i sprawdzamy, jednak wszelkie informacje w nich zawarte mogą ulegać aktualizacji, w związku z czym nie stanowią oferty w rozumieniu Kodeksu Cywilnego, a dane w nich zawarte mają jedynie charakter informacyjny. ::DODATKOWE INFORMACJE | Rodzaj budynku: blok | Dozór budynku: nie | Głośność: ciche | Plac zabaw: TAK | Widok: na osiedle | Gaz: jest | Woda: tak - miejska | Dojazd: asfalt | Otoczenie: zabudowa wielorodzinna | Ogrzewanie: miejskie | Internet: TAK | Telewizja kablowa: TAK | Komunikacja publ.: autobus miejski | Winda: NIE | Rozkład: jednostronne rozkładowe | Usytuowanie: jednostronne | Drzwi antywłamaniowe: TAK | Opłaty w czynszu: sprzątanie, administracja, fundusz remontowy, CO | Opłaty wg liczników: gaz, prąd, woda | Rodzaj mieszkania: jednopoziomowe | Garaż: brak | Piwnica [m2]: 3 | Piwnica: TAK | Stan lokalu: Do odświeżenia | Okna: PCV | Instalacje: częściowo wymienione | Balkon: jest | Liczba balkonów: 1 | Powierzchnia użytkowa [m2]: 42,7800 | Rok budowy: 1970 | Liczba pokoi: 2 | Liczba sypialni: 1 | Podłogi pokoi: panele | Ściany pokoi: malowane, gładzie gipsowe | Typ kuchni: oddzielna | Rodzaj kuchni: z zabudową kuchenną | Podłoga kuchni: lentex | Typ łazienki: razem z wc | Liczba łazienek: 1 | Glazura łazienki: starszego typu | Podłoga łazienki: płytki | Wyposażenie łazienki: WC, umywalka, lustro, pralka, kabina prysznicowa | Ściany łazienki: Panele ścienne, glazura | Liczba przedpokoi: 1 | Podłoga przedpokoi: płytki | Ściany przedpokoi: Panele ścienne | ::LINK DO STRONY | ::KONTAKT DO AGENTA | Dawid Zieliński | +4████████████0 | ::DANE BIURA | Aspect Nieruchomości - Zabrze | B&amp;M Finance Beata Karaś-Piekarska | Szczęść Boże 2 | 41-800 Zabrze | +4████████████2 | -wszystkie oferty dostępne na stronie </t>
  </si>
  <si>
    <t>https://otodom.pl/pl/oferta/2-pokojowe-mieszkanie-z-balkonem-ID4lea4</t>
  </si>
  <si>
    <t>4lea4</t>
  </si>
  <si>
    <t>M-3 49m2 Fordon Szybowników 2 Piętro</t>
  </si>
  <si>
    <t>KONTAKT:Mariusz Sikoratel.: 797 231 720!!! ATRAKCYJNA LOKALIZACJA !!!!!! M-3 - 49 m2 !!!Oferuję rozkładowo ładne, przestronne i funkcjonalne mieszkanie typu M-3, o powierzchni 49m2, na 2 piętrze bloku 4-piętrowego, w Fordonie, w jednej z lepszych i poszukiwanych lokalizacji os. Szybowników.Blok ocieplony.Do lokalu przynależy również piwnica standardowego metrażu 3,2mOgromnym atutem jest lokalizacja - idealna pod wieloma względami, cała infrastruktura pod ręką, komunikacja, sklepy CARREFOUR, KAUFLAND, BIEDRONKA, rynek/targowisko, piekarnie, cukiernie, szkoły, przedszkola, , punkty usługowe i gastronomiczne, salony fryzjerskie, pizzerie i mnóstwo innych udogodnień.Wokół bloku dostępnych jest bardzo wiele miejsc parkingowych, nie ma kłopotu z parkowaniem.IDEALNE MIEJSCE DLA RODZIN Z DZIEĆMI, BLISKO SZKOŁA, BASEN, LODOWISKOAtuty nieruchomości:- duży, jasny i przestronny salon z balkonem od strony zachodniej- sypialnia strona wschodnia- przedpokój - łazienka- wc- piwnica ( ok. 3,2 m2 )Mieszkanie do odświeżenia.Budynek administrowany przez Fordońską Spółdzielnię Mieszkaniową.Mieszkanie stanowi odrębną własność, pełna własność włącznie z gruntem, założona lokalowa Księga WieczystaZAPRASZAM NA PREZENTACJĘKONTAKT:Mariusz Sikoratel.: 797 231 720Kontaktując się z agentem odpowiedzialnym za ofertę, koniecznie zapytaj jakie są warunki współpracy z naszym biurem oraz co w związku ze współpracą zapewniamy.Dbając o bezpieczeństwo klientów sprzedających, a często także na ich wyraźne życzenie, nie podajemy adresów nieruchomości bez podpisania uprzednio umowy o pośrednictwo w kupnie lub najmie.Wszelkie podane przez Biuro informacje nie są ofertą w rozumieniu Kodeksu Cywilnego.Zgodnie z Ustawą o Prawie Autorskim i Prawach Pokrewnych z dnia 4 lutego 1994 roku (Dz.U.94 Nr 24 poz. 83, sprost.: Dz.U.94 Nr 43 poz.170) wykorzystywanie autorskich pomysłów, rozwiązań, kopiowanie, rozpowszechnianie zdjęć, fragmentów grafiki, tekstów opisów w celach zarobkowych, bez zezwolenia autora jest zabronione i stanowi naruszenie praw autorskich oraz podlega karze. Znaki towarowe i graficzne są własnością firmy Nieruchomości Apartament.</t>
  </si>
  <si>
    <t>https://otodom.pl/pl/oferta/m-3-49m2-fordon-idealna-lokalizacja-ID4jD68</t>
  </si>
  <si>
    <t>4jD68</t>
  </si>
  <si>
    <t>Piękny widok na Stadion Narodowy</t>
  </si>
  <si>
    <t>al. Aleja Jerzego Waszyngtona, Saska Kępa, Praga-Południe, Warszawa, mazowieckie</t>
  </si>
  <si>
    <t>Oferujemy do sprzedaży wyjątkowe mieszkanie o powierzchni 125 m2 położone na drugim piętrze w dwupiętrowej kamienicy na Saskiej Kępie tuż przy rondzie Waszyngtona . Dogodne położenie w najlepszej części prawobrzeżnej Warszawy. Doskonały dojazd do centrum zarówno samochodem jak i komunikacją miejską.Kilka kroków do ul. Francuskiej tętniącej życiem - mnóstwo sklepików, kawiarenek itp.Rozkład mieszkania jest bardzo funkcjonalny: pięć ładnych pokoi ( pierwotnie 4 pokoje ), łazienka, wc, kuchnia, garderoba, przestronny przedpokój. Mieszkanie z przedwojennym klimatem, duże możliwości aranżacyjne. Wysokość ok. 3 m ( obecnie w niektórych pokojach podwieszany sufit ).Ciekawostką jest garderoba do której pierwotnie było wejście z klatki schodowej ( służbówka ). Jeden z pokoi jest z półokrągłą ścianą z ciągiem okien. Zachowane są również drewniane, podwójne drzwi.Łazienka z oknem do aranżacji oraz oddzielne wc.Na życzenie wysyłam na maila rzut mieszkania.Wysokie drzwi wejściowe do mieszkania wprowadzają niepowtarzalny klimat.Wejście do mieszkania jest przestronną, zadbaną klatką schodową.Wspólnota zaplanowała w niedalekiej przyszłości remont elewacji.WŁASNOŚĆ z Księgą WieczystąSerdecznie zapraszam do prezentacji !!!Opis nieruchomości sporządzany na podstawie informacji uzyskanych od właściciela/pełnomocnika/osoby reprezentującej może podlegać aktualizacji i nie stanowi oferty handlowej w rozumieniu Kodeksu Cywilnego lecz ma jedynie charakter informacyjny.Staramy się, aby informacje dotyczące nieruchomości były możliwie dokładne, kompletne i aktualne. Ponieważ informacje te często pochodzą od osób trzecich i część z nich nie zawsze daje się zweryfikować, agencja WARSZAWSKIE NIERUCHOMOŚCI nie ponosi odpowiedzialności za ich dokładność.</t>
  </si>
  <si>
    <t>https://otodom.pl/pl/oferta/piekny-widok-na-stadion-narodowy-ID4m2gw</t>
  </si>
  <si>
    <t>4m2gw</t>
  </si>
  <si>
    <t>Apartament Tuwima Sky / 8 piętro / Kredyt 2%</t>
  </si>
  <si>
    <t>ul. Juliana Tuwima 95, Fabryczna Widzew, Widzew, Łódź, łódzkie</t>
  </si>
  <si>
    <t>BEZPIECZNY KREDYT 2% - Na to mieszkanie prawdopodobnie dostaniesz kredyt na preferencyjnych warunkach.
Zapytaj naszego doradcę o szczegóły.
Posiadamy w ofercie pulę mieszkań bez wkładu własnego, ilość mieszkań ograniczona. 
Skontaktuj się z nami aby poznać szczegóły.
Gwarancja stałej ceny. Rezerwując swoje mieszkanie u nas masz pewność że cena się nie zmieni. 
W umowie rezerwacyjnej zawieramy taką gwarancję.
W centralnej części Łodzi, przy ul. Tuwima 95, wybudowany zostanie niezwykły wieżowiec – Tuwima Sky. Składać się będzie z pięciu, szesnastokondygnacyjnych wież połączonych przęsłami, na których powstaną parkingi.Zakłada budowę ponad 800 mieszkań o powierzchni od 25 do 115 m kw. Na najwyższych kondygnacjach 40 metrów nad ziemią, przewidziano dwupoziomowe apartamenty z dużymi przeszkleniami i cudownym widokiem na panoramę Łodzi.Nowatorska inwestycja, wybudowana zostanie w technologii prefabrykacji. Metoda z użyciem betonu zapewni przyszłym lokatorom komfort i spokój na lata. Takie zastosowanie pozwala na maksymalne obniżenie kosztów eksploatacji dzięki doskonałym parametrom akustycznym i termicznym żelbetu. Kupujący błyskawicznie po wbiciu pierwszej łopaty mogą zobaczyć, jak wyglądają gotowe mieszkania i zacząć je urządzać. Przekłada się to na szybszą spłatę kredytu i redukcję odsetek. Dodatkowo beton nie wydziela żadnych szkodliwych substancji, jest odporny na działanie pleśni i grzybów.
Łódź ma bardzo dobrze rozbudowaną infrastrukturę komunikacyjną, którą tworzą port lotniczy, skrzyżowanie autostrad A1 i A2, a także rozwinięta sieć połączeń kolejowych – podróż pociągiem do Warszawy trwa nieco ponad godzinę.Położenie Tuwima Sky zapewni optymalne skomunikowanie z centrum. Dojazd do głównego dworca PKP zajmie mniej niż 10 minut. Nie będzie też problemu z komunikacją miejską, w sąsiedztwie znajduje się bowiem pętla autobusowa.
Gwarancja stałej ceny. Rezerwując swoje mieszkanie u nas masz pewność że cena się nie zmieni. W umowie rezerwacyjnej zawieramy taką gwarancję.
Zapraszamy do kontaktu.</t>
  </si>
  <si>
    <t>https://otodom.pl/pl/oferta/apartament-tuwima-sky-8-pietro-kredyt-2-ID4cQw7</t>
  </si>
  <si>
    <t>4cQw7</t>
  </si>
  <si>
    <t>Apartament z pięknym Widokiem Kościuszki, Salwator</t>
  </si>
  <si>
    <t>Mint Property ma przyjemność przedstawić Państwu unikatowy apartament zlokalizowany w sercu Krakowa w dzielnicy Salwator na Starym Mieście.Apartament o powierzchni 110 m2 zajmuje całe sz&amp;oacute;ste, ostatnie piętro apartamentowca wybudowanego w 2011 r. Do mieszkania prowadzi winda z przeznaczeniem wyłącznie dla tego piętra. Apartament składa się z:- Salon- Kuchnia z jadalnią- Sypialnia- Gabinet- Pok&amp;oacute;j kąpielowy: wanna i prysznic- GarderobaDo mieszkania przynależy taras otaczający całą nieruchomość z dw&amp;oacute;ch stron o powierzchni 40 m2 z kt&amp;oacute;rego roztacza się przepiękny widok na Wisłę, Wawel oraz tereny zielone Krakowa. Do mieszkania przynależy r&amp;oacute;wnież duże miejsce postojowe w garażu podziemnym.Nieruchomość została wykończona w najwyższej jakości materiał&amp;oacute;w. Zdecydowana większość wyposażenia została sprowadzona na zam&amp;oacute;wienie z zagranicy. Całość projektowana przez projektanta wnętrz, a praktycznie każdy element jest przemyślany i niepowtarzalny. - System klimatyzacji w całym mieszkaniu- Wysokość pomieszczeń w zależności od miejsca: 3 m lub 4 m- Wyposażenie kuchni: sprzęt Miele oraz Samusung- Ogrzewanie podłogowe w całym mieszkaniu- System rolet zewnętrzych i wewnętrznych- Zamek wejściowy na linie papilarne- Wykończenie z drewna egoztycznegoWrażenie robi także ilość przeszkleń, kt&amp;oacute;re czyni mieszkanie jasnym i przestronnym.Ogrzewanie z sieci miejskiej. Orientacja: p&amp;oacute;łnoc, południe, wsch&amp;oacute;dDla zainteresowanych dostępny film prezentujący nieruchomość.Lokalizacja:Apartament jest zlokalizowany na Starym Mieście w dzielnicy Salwator. Lokalizacja jest jednym z gł&amp;oacute;wnym atut&amp;oacute;w oferty. Pozwala cieszyć się wielkomiejskim życiem w postaci licznych kawiarni, restauracji, teatr&amp;oacute;w, jednocześnie balansować je terenami zielonymi i rekreacyjnymi jak Błonia Krakowskie czy Bulwary Wiślane.Cena:Cena nieruchomości: 2 950 000 PLNMiejsce postojowe: 100 000 PLNKoszty związane z użytkowaniem to czynsz administracyjny: 1300 PLN plus prądInformacja dodatkowa:Niniejsze ogłoszenie jest wyłącznie informacją handlową i nie stanowi oferty w myśl art. 66, paragraf 1. Kodeksu Cywilnego</t>
  </si>
  <si>
    <t>https://otodom.pl/pl/oferta/apartament-z-pieknym-widokiem-kosciuszki-salwator-ID4kjou</t>
  </si>
  <si>
    <t>4kjou</t>
  </si>
  <si>
    <t>Mieszkanie w Kluczborku</t>
  </si>
  <si>
    <t>Duże mieszkanie w Kluczborku w kamienicy na parterze przy ul. Pułaskiego. Lokalizacja w pobliżu terenu zielonego, stawu Kościuszki, ale też w bliskiej odległości od Rynku. Powierzchnia 94 m2. Mieszkanie składa się z czterech pokoi, kuchni, łazienki, przedpokoju. Okna PCV, panele, kuchnia- płytki, łazienka( wanna + kabina), c.o., c.w.u.- gaz- piec dwufunkcyjny. Do mieszkania przynależą 2 piwnice.</t>
  </si>
  <si>
    <t>https://otodom.pl/pl/oferta/mieszkanie-w-kluczborku-ID4lJgr</t>
  </si>
  <si>
    <t>4lJgr</t>
  </si>
  <si>
    <t>Mieszkanie w ścisłym centrum Szczecinka</t>
  </si>
  <si>
    <t>ul. Bohaterów Warszawy, Szczecinek, szczecinecki, zachodniopomorskie</t>
  </si>
  <si>
    <t>PRZESTRONNE 4 POKOJOWE MIESZKANIE W CENTRUMOferujemy Państwu sprzedaż mieszkania o pow. 95,43 m2 położonego w kamienicy, na I piętrze, składającego się z: 4 pokoi, kuchni i wc, w stanie do remontu. W obecnym roku planowany jest remont klatek schodowych w kamienicy. Opis pomieszczeń:– pokój o pow. ok. 12,5 m2 – podłoga drewniana, ściany malowane, okno drewniane, piec kaflowy;– pokój o pow. ok 24 m2 – podłoga drewniana, na ścianach tapeta, okno drewniane, piec kaflowy;– pokój o pow. ok. 17,7 m2 – podłoga drewniana, na ścianach tapeta, okna drewniane, piec kaflowy;– pokój o pow. ok. 29 m2 – podłoga drewniana, na ścianach tapeta, okna drewniane, piec kaflowy;– kuchnia o pow. ok. 10,3 m2 – na podłodze wykładzina pcv, ściany malowane, w części lamperia, okno drewniane, kuchnia kaflowa, piec gazowy;– wc o pow. ok. 2,3 m2 – podłoga drewniana, ściany częściowo malowane, częściowo drewniane, sedes;Ogrzewanie piece kaflowe, ciepła woda podgrzewana piecykiem gazowym.Właściciel korzysta z piwnicy.Administratorem budynku jest ZGM-TBS.Opłaty miesięczne na kwiecień 2020 r. wynoszą ok. 330 zł (w tym: fundusz remontowy, zaliczka na utrzymanie części wspólnych).Dodatkowo do opłat należy doliczyć opłaty za wodę, prąd i gaz oraz opłatę za wywóz nieczystości wg osób zamieszkałych.Z lokalem związany jest udział do 1/5 części w częściach wspólnych budynku oraz w prawie własności działki gruntu nr 257.W planie zagospodarowania przestrzennego budynek w którym znajduje się przedmiotowy lokal mieszkalny został określony jako budynek objęty ochroną konserwatorską na mocy planu.W pobliżu znajdują się m.in.. centra handlowe. Mieszkanie z widokiem na deptak.Kupujący nie płaci prowizji.Przedstawione informacje zostały opracowane na podstawie danych uzyskanych od Zamawiającego, mogą różnić się od stanu faktycznego i ulec zmianie oraz nie stanowią oferty w rozumieniu przepisów Kodeksu Cywilnego. Biuro nie posiada dokumentacji budowlanej. Nieruchomość (lokal) nie posiada świadectwa charakterystyki energetycznej.Zalecamy osobiste zapoznanie się ze stanem nieruchomości (lokalu).  _Kupuj z nami:  – 0% prowizji,– fachowa obsługa,	– wsparcie w negocjacjach,– możliwość skorzystania z pośrednictwa kredytowego.</t>
  </si>
  <si>
    <t>https://otodom.pl/pl/oferta/mieszkanie-w-scislym-centrum-szczecinka-ID45DvV</t>
  </si>
  <si>
    <t>45DvV</t>
  </si>
  <si>
    <t>3-pokojowe mieszkanie z balkonem</t>
  </si>
  <si>
    <t>Ostróda, ostródzki, warmińsko-mazurskie</t>
  </si>
  <si>
    <t xml:space="preserve">Biuro Nieruchomości Expert  oferuje do sprzedaży mieszkanie w budynku z windą położone  przy ul. 1 Dywizji w Ostródzie.Mieszkanie usytuowane na pierwszym piętrze  o powierzchni 73,20 m2. Składa się z przedpokoju, garderoby, aneksu kuchennego  w pełnej zabudowie połączonego z pokojem dziennym,dwóch sypialni oraz łazienki z prysznicem i wanną.Do mieszkania przynależy piwnica o pow. 10 m2Stan lokalu do wprowadzenia. Ogrzewanie własne dla budynku. Okna nowe plastikowe. Drzwi wejściowe antywłamaniowe (GERDA).Teren zamknięty.  Na ogrodzonym terenie znajdują się  dziedziniec do użytku mieszkańców wraz z parkingiem oraz plac zabaw.LOKALIZACJA. Oferta jest godna polecenia, lokalizacja budynku jest bardzo dobra -    bardzo blisko centrum miasta.Cena podlega negocjacji.Serdecznie zapraszamy. Więcej na ::DODATKOWE INFORMACJE Rodzaj budynku: blokWinda: TAKLiczba wind: 1Rodzaj mieszkania: jednopoziomowePiwnica [m2]: 10Piwnica: TAKStan lokalu: Do wprowadzeniaOkna: PCVBalkon: jestPowierzchnia użytkowa [m2]: 83,2000Liczba pokoi: 3::LINK DO STRONY ::KONTAKT DO AGENTA Grzegorz Demski89 652 16 48+4████████9 146Pośrednik odpowiedzialny zawodowo za wykonanie umowy pośrednictwa: Beata Demska (licencja nr: 15958) </t>
  </si>
  <si>
    <t>https://otodom.pl/pl/oferta/3-pokojowe-mieszkanie-z-balkonem-ID4l8bZ</t>
  </si>
  <si>
    <t>4l8bZ</t>
  </si>
  <si>
    <t>Mieszkanie - Sopot Centrum</t>
  </si>
  <si>
    <t>Górny Sopot, Sopot, pomorskie</t>
  </si>
  <si>
    <t>SOPOT mamy przyjemność zaoferować Państwu atrakcyjną nieruchomość o powierzchni ponad 87 m2 położoną przy głównej arterii Sopotu - Al. Niepodległości; mieszkanie składa się z dwóch odrębnych pokoi, pokoju dziennego z aneksem kuchennym, łazienki z kabiną prysznicową, wc, pomieszczenia gospodarczego/schowek, przestronnego hallu oraz werandy zaadoptowanej do części mieszkalnej; jest umeblowane i wyposażone; w mieszkaniu okna drewniane; w pomieszczeniach kafle, gładzie na ścianach - remont mieszkania kilka lat temu łącznie z wymianą instalacji gazowej, elektrycznej i wodno - kanalizacyjnej oraz wymianą okien na nowe drewniane; meble w pokojach oraz cała zabudowa kuchenna wraz ze sprzętem agd zostaje w cenie; mieszkanie usytuowane jest na parterze budynku z odrębnym wejściem od strony miejsca postojowego, brama zamykana oraz domofon, nieruchomość przystosowana dla osób niepełnosprawnych; pełna własność z ułamkiem gruntu; budynek jest ocieplony, dach w bardzo dobrym stanie również remontowany w ostatnich latach; Wystawa okien dwu-stronna północ-południe, dogodna lokalizacja budynku - bezpośrednio przystanki komunikacji miejskiej, niedaleko dworzec kolejowy oraz Skm, 2 minuty spacerem do słynnego Monciaka; koszty utrzymania lokalu to 700 zł+media; zarządza Wspólnota Mieszkaniowa, do mieszkania przynależy jedno miejsce parkingoweLokal idealnie nadaje się zarowno do zamieszkania jak i pod wynajmy dobowe lub do prowadzenia usług np. salon kosmetyczny, masaż, gabinet dentystyczny, biuro rachunkowe, notariusz itpSerdecznie zapraszam na prezentację.</t>
  </si>
  <si>
    <t>https://otodom.pl/pl/oferta/mieszkanie-sopot-centrum-ID45Iqf</t>
  </si>
  <si>
    <t>45Iqf</t>
  </si>
  <si>
    <t>NAROŻNY Apartament Perła Mórz M82 | z ANTRESOLĄ</t>
  </si>
  <si>
    <t>ul. Lotnicza, Sianożęty, Ustronie Morskie, kołobrzeski, zachodniopomorskie</t>
  </si>
  <si>
    <t>Oferta
Przedmiotem sprzedaży jest nowy apartament o powierzchni 39,31 m kw. 
Dodatkowym atutem jest piękna antresola o powierzchni aż 22,78 m kw. !
Nieruchomość charakteryzuje atrakcyjna lokalizacja, tylko 250m od morza.
Do każdego apartamentu przynależy balkon lub taras. Zapraszamy do kontaktu!
Nowoczesne apartamenty zaprojektowane z myślą o wymagających użytkownikach, którzy cenią sobie połączenie komfortu użytkowania oraz piękna. Proste modernistyczne kształty i starannie dopracowane szczegóły osadzone w kompleksie bujnej zieleni. Zastosowane w projekcie rozwiązania i doskonała lokalizacja zapewniają pełną funkcjonalność i wysoką jakość życia przyszłych mieszkańców.
W cenie lokalu Inwestor postawił na wysokiej klasy wykończenie. W naszej inwestycji znajdą Państwo apartamenty jednopokojowe, dwupokojowe oraz apartamenty z przestronnymi antresolami.
Współpracujemy z najlepszymi i sprawdzonymi projektantami wnętrz, którzy zaaranżują przestrzeń według oczekiwań klienta. Zapewnimy pomoc w dofinansowaniu zakupu nieruchomości.</t>
  </si>
  <si>
    <t>https://otodom.pl/pl/oferta/narozny-apartament-perla-morz-m82-z-antresola-ID4bM0P</t>
  </si>
  <si>
    <t>4bM0P</t>
  </si>
  <si>
    <t>Apartamenty nad Bobrem w Nowogrodzie Bobrzańskim !</t>
  </si>
  <si>
    <t xml:space="preserve">UWAGA PROMOCJA !!!    TYLKO DO KOŃCA SIERPNIA KOMÓRKA LOKATORSKA ZA 1 ZŁ!!!   Apartamenty nad Bobrem w Nowogrodzie Bobrzańskim !!!   Zapraszamy o zapoznania się z ofertą sprzedaży pierwszego budynku naszej inwestycji w  Nowogrodzie Bobrzańskim.  Dalsza część inwestycji to drugi budynek i domki rekreacyjne z dostępem do `bobru`.  Urocze miejsce na niezalewowym terenie nad samą linią brzegową Bobru. Przepiękna, spokojna i urokliwa okolica tzw. `Korkownia` już niebawem bogatsza będzie o luksusowe apartamenty z ogródkami. Apartamenty od 40,58 m2 do 68 m2 w trzy -piętrowym budynku z windą.   Możliwości wykonania `pod klucz`  . Całość ogrodzona, monitorowana z miejscami parkingowymi i w pełni zagospodarowanym terenem. Wszystko dostosowane do użytkowania przez osoby niepełnosprawne.  Oferujemy piękne przestronne mieszkanie rozkładowe 2-pokojowe z widokiem na rzekę o powierzchni 40,59 m2 znajdujące się na I piętrze.  W celu uzyskania szczegółowych informacji zapraszam do kontaktu.  Zapraszamy do dokonywania  rezerwacji. Zostało naprawdę niewiele wolnych mieszkań.  KONTAKT:     *607 943 553*       UWAGA: Treść niniejszego ogłoszenia nie stanowi oferty handlowej w rozumieniu Kodeksu Cywilnego, a dane w nich zawarte mają charakter informacyjny i mogą ulec zmianie.  </t>
  </si>
  <si>
    <t>https://otodom.pl/pl/oferta/apartamenty-nad-bobrem-w-nowogrodzie-bobrzanskim-ID4kO0Q</t>
  </si>
  <si>
    <t>4kO0Q</t>
  </si>
  <si>
    <t>Mieszkanie Ursynów 85 m2 przy Sggw</t>
  </si>
  <si>
    <t>ul. Wacława Lachmana, Ursynów Północny, Ursynów, Warszawa, mazowieckie</t>
  </si>
  <si>
    <t>Zapraszamy na prezentację!Na sprzedaż 4 pokojowe mieszkanie, znajdującesię przy ul. Wacława Lachmana 4 w Warszawie, tuż przy Metrze StokłosyCena 980 000 PLN.Rok budowy: 1980Czynsz: 1200 PLNStan prawny: Spółdzielcze Własnościowe bez KWGrunty -  nieuregulowaneAtut mieszkania!Zadbane 4 pokojowe mieszkanie, po remoncie.Mieszkanie rozkładowe wszystkie strony świata, 4 oddzielne pokoje, kuchnia widna zamknięta  z oknem Mieszkanie położone w dobrej lokalizacji Warszawy Ursynów, przy Metrze Stokłosy.Rozkład Centralna części mieszkania to salon z dużym 3  m2 balkonem, z widokiem na piękną zieleń* salon - 22 m2* sypialnia nr 1 - 13 m2* sypialnia nr 2 - 13 m2* sypialnia nr 3 - 13 m2* kuchnia zamknięta z oknem, wyposażona w niezbędny sprzęt -7 m2* łazienka z wanną- 4 m2 * toaleta - 2 m2* przedpokój nr 1 - 4 m2* przedpokój nr 2 - 7 m2* balkon - 3 m2Dodatkowo do mieszkania przynależy piwnica - 3 m2Ogólnodostępna wózkownia oraz rowerowania na parterzeDodatkowe InformacjeW budynku- zostały wymienione piony,  elektryka na klatkachLokal po remoncie, odnowiony parkietParking przy bloku - bezpłatnyOsiedle i okolicaOsiedle  ciche spokojne, zielone bezpieczne,  możliwością parkowania na osiedlu.w okolicy pełna infrastruktura oraz rekreacja, sklepy - Biedronka,  Pasaż handlowy Ursynów,- LECLERC, targ, sklep biedronka, szkoła, przedszkole, żłobek, przychodnie, biblioteka, SGHRekreacja* Place zabaw* Park * Trasy rowerowe* Kino* Fitness CrossFit* Siłownia * Ursynowskie Centrum Sportu i RekreacjiKomunikacja* Merto Stokłosy - 5 - 9 minut pieszo* najbliższy przystanek autobusowy - Strzeleckiego linie 193 N37- Magellana linie 192, 193- Ursynów Południowy - linie 192, 193, N37W promieniu 2 km Trasy S2 Szybki dojazd do centrum Warszawy autem oraz innym środkiem komunikacji miejskiej. Zapraszam na prezentacjęAnna Feruśt. +4████████4 266e. Oferta wysłana z programu dla biur nieruchomości ASARI CRM ()</t>
  </si>
  <si>
    <t>https://otodom.pl/pl/oferta/mieszkanie-ursynow-85-m2-przy-sggw-ID4lr5u</t>
  </si>
  <si>
    <t>4lr5u</t>
  </si>
  <si>
    <t>Mieszkanie w stanie deweloperskim w Świnoujściu.</t>
  </si>
  <si>
    <t>Świnoujście, zachodniopomorskie</t>
  </si>
  <si>
    <t xml:space="preserve">Proponujemy do sprzedaży mieszkanie o pow. 77,68 m2 w niskim budynku wielorodzinnym przy ul. Kołłątaja-Wilków Morskich w Świnoujściu. Mieszkanie znajduje się na III piętrze, składa się z pokoju dziennego z balkonem (7,56 m2), jadalni z aneksem kuchennym, sypialni oraz łazienki i przedpokoju. Do lokalu przynależy pomieszczenie gospodarcze o pow. 5 m2. Mieszkanie w stanie deweloperskim,do własnej aranżacji. Zapraszamy na prezentację i własną weryfikację oferty.
Oferta na wyłączność - tylko w naszym biurze.
</t>
  </si>
  <si>
    <t>https://otodom.pl/pl/oferta/mieszkanie-w-stanie-deweloperskim-w-swinoujsciu-ID4hMSu</t>
  </si>
  <si>
    <t>4hMSu</t>
  </si>
  <si>
    <t>2 poziomy, inwestycyjnie, zielona okolica</t>
  </si>
  <si>
    <t xml:space="preserve">Mieszkanie w wolnostojącym budynku (dwóch Właścicieli, działka). Mieszkanie dwupoziomowe o powierzchni 164,8 m kw,w stanie nadającym się do zamieszkania. Mieszkanie składa się z dwóch poziomów i obecnie jest użytkowane w następujący sposób: Przyziemie - cały czas jest wynajmowane dla pracowników.Wysoki parter -  służy jako część mieszkalna dla Właścicieli (obecnie wynajmowane).Dom w którym znajduje się mieszkanie wybudowany został w latach 80-tych ubiegłego wieku. Wybudowany z cegły, przeszedł gruntowny remont polegający na dociepleniu go, wymianie okien na PCV, wymianie instalacji, ogrzewania itp.Poziom w przyziemiu składa się z:- 3 pokoi, wyposażone obecnie w 9 łóżek, - łazienka wyposażona w prysznic, - wc- kuchnia w aneksie.Do przyziemia są dwa wejścia z zewnątrz.Poziom na wysokim parterze składa się z:- 3 pokoi (każdy po około 20 m kw), - oddzielnej. jasnej kuchni. Na piętrze znajduje się jeszcze mieszkanie należące do innego Właściciela.Sam budynek ma 1 piętro, jest ocieplony i przykryty dachówką ceramiczną. Budynek został wykonany w taki sposób, aby zapewnić mieszkańcom, prywatność i bezpieczeństwo, a ponadto do mieszkania przynależy działka położona z dwóch stron budynku. Można na niej zaparkować kilka aut lub przeznaczyć ją jako teren rekreacyjny.Nieruchomość jest usytuowana przy drodze asfaltowej którą jeździ autobus miejski. Sama droga jest bardzo mało użytkowana.LOKALIZACJA:- bliskość komunikacji miejskiej,- bliskość ulicy Igołomskiej,- duża ilość zieleni,Z działki roztacza się widok na okolicę. Wokół cisza i duża ilość zieleni.Podana cena jest do negocjacji dla zdecydowanego klienta.ZADZWOŃ, A JA OPOWIEM CI O TEJ NIERUCHOMOŚCI I POMOGĘ JAK PRZYJACIELOWI.  ::DODATKOWE INFORMACJE Rodzaj budynku: budynek wolnostojącyGłośność: cicheWidok: panorama miastaGaz: tak - miejskiWoda: jestDojazd: asfaltOtoczenie: zabudowa jednorodzinnaOgrzewanie: C.O. GAZOWELinie telefoniczne: TAKNadaje się na biuro: TAKKomunikacja publ.: MPK, busWinda: NIERozkład: dwustronne rozkładoweUsytuowanie: dwustronneDrzwi antywłamaniowe: TAKTeren ogrodzony: TAKRodzaj mieszkania: dwupoziomoweGaraż: miejsce parkingowe przy budynkuStan lokalu: dobryOkna: PCVInstalacje: dobreBalkon: średniLiczba balkonów: 1Powierzchnia użytkowa [m2]: 164,8000Rok budowy: 1985Liczba pokoi: 6Wysokość pomieszczeń [m]: 2,8500Liczba sypialni: 6Powierzchnia pokoi [m2]: 30 * 16 * 16 * 20 * 20 * 20Podłogi pokoi: panele podłogoweŚciany pokoi: zwykłeWystawa okien - pokoje : Wsch, PdTyp kuchni: aneks kuchennyRodzaj kuchni: jasna z oknemPowierzchnia kuchni [m2]: 20 *5Podłoga kuchni: terakotaTyp łazienki: razem z wcLiczba łazienek: 2Powierzchnia łazienki [m2]: 3 * 5Glazura łazienki: nowego typuPodłoga łazienki: terakotaWyposażenie łazienki: WC, umywalka, prysznic, lustro, kabina prysznicowaŚciany łazienki: glazuraLiczba WC: 1Powierzchnia WC: 1,5Glazura WC: glazuraPodłoga WC: terakotaŚciany WC: glazuraLiczba przedpokoi: 2Powierzchnia przedpokoi [m2]: 10Podłoga przedpokoi: panele podłogoweŚciany przedpokoi: zwykłe::KONTAKT DO AGENTA Robert Szteliga501 955 997Pośrednik odpowiedzialny zawodowo za wykonanie umowy pośrednictwa: Bartłomiej Krosta (licencja nr: 6585)-Od 1993 r. pośredniczymy w transakcjach na krakowskim rynku nieruchomości. Pomożemy Ci jak przyjacielowi. </t>
  </si>
  <si>
    <t>https://otodom.pl/pl/oferta/2-poziomy-inwestycyjnie-zielona-okolica-ID4mpYR</t>
  </si>
  <si>
    <t>4mpYR</t>
  </si>
  <si>
    <t>M-2 40m2 m2 Dąbrowa Górnicza Ząbkowice</t>
  </si>
  <si>
    <t>ul. Chemiczna, Ząbkowice, Ząbkowice, Dąbrowa Górnicza, śląskie</t>
  </si>
  <si>
    <t xml:space="preserve">Klient nie ponosi kosztów pośrednictwa oraz podatku PCC 2%. 
Do sprzedania bezczynszowa kawalerka o powierzchni 40,82 m2 położona na II piętrze w nowym II piętrowym budynku położonym w Dąbrowie Górniczej (dzielnica Ząbkowice) przy ul. Rapackiego / ul. Chemicznej.
Mieszkanie składa się z pokoju dziennego z aneksem kuchennym oraz łazienki z WC.
Mieszkanie oddane będzie w stanie deweloperskim. Centralne ogrzewanie z kotłowni gazowej.
Planowany termin zakończenia budowy to kwiecień 2024 roku.
Mieszkania bezczynszowe - miesięczne koszty z tytułu eksploatacji wyniosą ok. 3,5zł/m2.
Teren inwestycji ogrodzony. W budynku znajdować się będą 24 mieszkania i 24 indywidualne garaże.
 Możliwość zakupu indywidualnego garażu za 25.000 zł (przy zakupie w pakiecie z mieszkaniem).
Bardzo dobra oferta pod kątem zakupu mieszkania pod wynajem.
Bardzo dobra lokalizacja.
W promieniu kilkuset metrów dostęp do wszelkich sklepów i usług oraz punktów komunikacyjnych.W bliskiej odległości Katowicka Specjalna Strefa Ekonomiczna (KSSE).Szybki wylot na trasę w kierunku miast ościennych.
W ofercie również mieszkania w innych metrażach.
</t>
  </si>
  <si>
    <t>https://otodom.pl/pl/oferta/m-2-40m2-m2-dabrowa-gornicza-zabkowice-ID4jP6J</t>
  </si>
  <si>
    <t>4jP6J</t>
  </si>
  <si>
    <t>Mieszkanie warte uwagi</t>
  </si>
  <si>
    <t>Aleje Mikołaja Kopernika, Inowrocław, inowrocławski, kujawsko-pomorskie</t>
  </si>
  <si>
    <t>Trzy pokoje, balkon z doskonałym widokiem, winda, piwnica, monitoring. Czynsz ok.: 570,00 złChcesz na miejscu sprawdzić, czy to mieszkanie jest dla Ciebie? Zadzwoń i umów się na spotkanie.ZapraszamRobert Fertała+4████████████7+4████████████0+4██████████9 34Powyższa oferta ma charakter informacyjny i nie jest ofertą w rozumieniu przepisów kodeksu cywilnego. Opis nieruchomości został sporządzony na podstawie informacji uzyskanych od właściciela i może być aktualizowany.Zamieszczone zdjęcia stanowią wizualizację. Przy zakupie nieruchomości należy uwzględnić koszty notarialne.Rozważasz również kredytowanie nieruchomości?Zespół ekspertów Notus Finanse S.A. współpracujący z Freedom Nieruchomości porówna i dobierze finansowanie najlepiej dobrane do Twoich potrzeb"Właścicielem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</si>
  <si>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https://otodom.pl/pl/oferta/mieszkanie-warte-uwagi-ID4m0WX</t>
  </si>
  <si>
    <t>4m0WX</t>
  </si>
  <si>
    <t>3-pokojowe mieszkanie 77m2 Bez Pośredników</t>
  </si>
  <si>
    <t>Przedmiotem ogłoszenia jest 3-pokojowe mieszkanie numer F80 położone na 6. piętrze w inwestycji Osiedle Goplana. To wyjątkowy lokal o powierzchni 77,52 m kw. Cechą inwestycji jest wysoki standard i świetna lokalizacja
O inwestycji
W dawnych budynkach fabryki Goplana wciąż jeszcze unosi się aromat czekolady. Może już na stałe nasyci te mury? Jednak największym atutem dawnej fabryki dziś jest jej lokalizacja – to niemal 6 hektarów w najbardziej rozpoznawalnej dzielnicy Poznania – na kultowych Jeżycach, tuż przy ulicy Kościelnej, u bram Parku Sołackiego.
Goplana to kilkuetapowy projekt zakładający stworzenie nowoczesnego śródmiejskiego osiedla. W niedalekiej przyszłości powstaną tu nowe kwartały, a pomiędzy nimi place, zielone skwery i deptaki.
Z okien, balkonów i tarasów ostatnich kondygnacji roztacza się piękny widok na Sołacz.
Zapraszamy na prezentację!</t>
  </si>
  <si>
    <t>https://otodom.pl/pl/oferta/3-pokojowe-mieszkanie-77m2-bez-posrednikow-ID4kR9H</t>
  </si>
  <si>
    <t>4kR9H</t>
  </si>
  <si>
    <t>4 os. apartament /garaż/balkon/</t>
  </si>
  <si>
    <t>Karpacz, karkonoski, dolnośląskie</t>
  </si>
  <si>
    <t>Biuro Nieruchomości Rakowska prezentuje Państwu atrakcyjny apartament, usytuowany na parterze przepięknego kompleksu Triventi Mountain Resort położonego w Karpaczu.
Na powierzchnię użytkową 25,32m2 składa się:
- pokój dzienny (17,91 m2 ) z w pełni wyposażonym aneksem kuchennym oraz wyjściem na balkon ( 6,60 m2 )
- przestronna łazienka z natryskiem oraz WC ( 3,83 m2 )
- przedpokój (3,58 m2 )
Ogrzewanie oraz ciepła woda ze wspólnej kotłowni gazowej.
Czynsz miesięcznie wynosi 422 zł (w tym zaliczka na ogrzewanie, wywóz nieczystości oraz fundusz remontowy).
Mieszkanie wykończone w wysokim standardzie sprzedawane jest z pełnym wyposażeniem oraz miejscem w garażu podziemnym wraz z przestronną komórką lokatorską.
Apartament zlokalizowany jest w bardzo atrakcyjnej i lubianej części Karpacza Górnego, w niedalekiej odległości do Wyciągu Biały Jar, Świątyni Wang oraz wejść na szlaki turystyczne.
Współpracujemy również z profesjonalnymi operatorami zajmującymi się obsługą wynajmu krótkoterminowego dla turystów.
Serdecznie polecam i zapraszam na prezentację.
::oferta eksportowana z programu mediaRent::</t>
  </si>
  <si>
    <t>https://otodom.pl/pl/oferta/4-os-apartament-garaz-balkon-ID4lHFS</t>
  </si>
  <si>
    <t>4lHFS</t>
  </si>
  <si>
    <t>Mieszkanie w inwestycji Osiedle Słoneczne | 10A</t>
  </si>
  <si>
    <t>ul. Kujawska, Solec Kujawski, Solec Kujawski, bydgoski, kujawsko-pomorskie</t>
  </si>
  <si>
    <t>Oferta
Przedmiotem ogłoszenia jest 2-pokojowe mieszkanie położone na pierwszym piętrze w inwestycji Osiedle Słoneczne. To wyjątkowy lokal o powierzchni 51,8  m kw. Cechą inwestycji jest wysoki standard i świetna lokalizacja. Zapraszamy do zapoznania się z ofertą i do kontaktu.
Inwestycja
Kolejna odsłona Osiedla Słonecznego, to nowoczesne budownictwo pełne innowacyjnych rozwiązań usytuowane w sąsiedztwie lasu. 
Z wszelką dbałością zaprojektowano każdy detal, mając na uwadze dobro mieszkańców, jak i otaczającego krajobrazu.
Wydzielona strefa zabaw dla dzieci otoczona zharmonizowaną kompozycją roślin nadaje inwestycji unikatowy charakter. 
Kompleks mieszkalny docelowo składać się będzie z trzech budynków. Pierwszy budynek drugiego etapu, to 66 lokali mieszkalnych, które swoją aurą zapraszać będą w komfortową przestrzeń wypełnioną swobodą możliwości aranżacyjnych. 
Osiedle Słoneczne to projekt doskonale wpisujący się w kameralny charakter Solca. To ponadczasowe kolory i elegancja w każdym detalu.
kameralny, pięciopiętrowy budynek
66 przytulnych mieszkań
garaż podziemny
dwie klatki schodowe z windami
wygodne balkony przynależne do mieszkań
możliwość łączenia lub zmiany układu mieszkania
parapety z konglometartu
duże okna 
zagospodarowane tereny zielone
wydzielona strefa zabaw dla dzieci 
Lokalizacja
Solec Kujawski, to lokalizacja która łamie stereotypy. To właśnie tutaj można odpocząć, korzystając z takich miejsc jak Jurapark, czy też Park Wodny. Tuż przy Osiedlu powstać ma Nasycalnia Sportu, miejsce które zapewnia niezwykłą sportową przygodę każdemu pokoleniu, to tutaj będzie bić sportowe serce mieszkańców Solca. Bliska odległość takich miejscowości jak Bydgoszcz oraz Toruń pozwala na wiele perspektyw zawodowych. 
Jest w pobliżu wszystkiego co niezbędne – w  okolicy znajdują się szkoły, przedszkola, przychodnie oraz sklepy. Osiedle Słoneczne dzieli krótki spacer od Dworca Głównego, z którego wygodnie można podróżować w każdą część Polski. Takie położenie pozwala na połączenie miejskiego życia z ciągłym kontaktem z naturą. Osiedle zostało zlokalizowane i zaprojektowane z szacunkiem dla otaczającej przestrzeni, zachowując dbałość o komfort i uwzględniając nowoczesność. 
Kameralne Osiedle usytuowane jest w lokalizacji, która zaspokaja wszystkie potrzeby. Tu swoje miejsce znajdą nie tylko rodzinny z dziećmi, ale także seniorzy i single. 
Sąsiedztwo lasu, bliska odległość do centrum, a także dogodny dojazd do Bydgoszczy i Torunia nie stawia żadnych ograniczeń. 
Do najważniejszy punktów na mapie Solca z Osiedla mamy: 
Szkoła Podstawowa nr 1 – 0,8 km 
Żłobek – 1,4 km
Przedszkole – 0,8 km 
Dworzec PKP – 1,4 km 
Sklep Spożywczy – 0,5 km 
Apteka – 1,3 km
Przychodnia – 1,5 km
Kościół – 1,2 km
Park Wodny Ośrodka Sportu i Rekreacji – 0,9 km
Zapraszamy do kontaktu!</t>
  </si>
  <si>
    <t>https://otodom.pl/pl/oferta/mieszkanie-w-inwestycji-osiedle-sloneczne-10a-ID4hbhP</t>
  </si>
  <si>
    <t>4hbhP</t>
  </si>
  <si>
    <t>Na sprzedaż gotowiec inwestycyjny w Łodzi.</t>
  </si>
  <si>
    <t>ul. Jana Matejki, Radiostacja, Śródmieście, Łódź, łódzkie</t>
  </si>
  <si>
    <t>Tylko u nas! Na sprzedaż mieszkanie dwupokojowy z 2 łazienkami przy ul. Matejki 11. Mieszkanie wykończone pod klucz dostępne od stycznia 2024 do celów użytku własnego.Lokal aktualnie wynajęty do końca 2023 z zyskiem wypracowanym w 2022 roku ponad 42 PLN m2 miesięcznie (już po odjęciu kosztów operatora). Sprzedawany lokal znajduje się na VI piętrze w X piętrowym apartamentowcu z końca 2018 roku przy ul. Matejki 11. W powyższym budynku posiadamy 17 mieszkań 2, 3 pokojowych o powierzchniach od 38,46 m2 do 65,81 m2. W tym już tylko 4 lokale dostępne od stycznia 2024. Prezentowane mieszkanie jest o powierzchni 38,63 m2, sprzedawane wraz z wyposażeniem w cenie: Sypialnie:- łóżko, biurko z krzesłem, szafa wolnostojąca, komoda, telewizor, lustro, Kuchnia:zestaw mebli, płyta dwupalnikowa, piekarnik, lodówka,Łazienka:kabina prysznicowa, szafka z umywalką, pralka. Opisywane wyposażenie może się różnić w zależności od lokalu. Do każdego mieszkania przynależy miejsce garażowe w hali w cenie 30 000 PLN, możliwość zakupu komórki lokatorskiej/ boxu rowerowego.Opis budynku: Dziesięciopiętrowy apartamentowiec z windą, oddany do użytku w listopadzie 2018 roku. Budynek przystosowany dla osób niepełnosprawnych. Aktualny czynsz do wspólnoty z zaliczkami na ogrzewanie i wodę ok. 400 PLN miesięcznie. LOKALIZACJA Inwestycja doskonale skomunikowana ze wszystkimi dzielnicami Łodzi oraz szybki dojazd do autostrady A1 i A2 w kierunku Warszawy, Poznania i Gdańska. Apartamentowiec znajduję się między ulicami Jana Matejki, Pomorskiej i Grzegorza Palki; w niedalekiej odległości od największego centrum handlowo-usługowo-rozrywkowego Manufaktura i zaledwie 10 min od jednego z najnowocześniejszych dworców kolejowych w Europie Łódź Fabryczna. Dodatkowo atutem inwestycji są położone w pobliżu obiekty użyteczności publicznej takie jak kompleks rekreacyjno-sportowy ze stadionem lekkoatletycznym i krytą pływalnią, Teatr Muzyczny, liczne kluby i restauracje jak również obiekty opieki zdrowotnej oraz biurowiec Green Horizon. Niewątpliwą zaletą przy wynajmie mieszkań jest bliskość placówek oświatowych wszystkich szczebli począwszy od żłobka i przedszkola, kończąc na szkołach ponadgimnazjalnych w tym wszystkie wydziały Uniwersytetu Łódzkiego.DANE KONTAKTOWE:Paweł Plichta+4██████████0, +48 732850499Więcej mieszkań na naszej stronie AJ Promotion - Twoje biuro nieruchomości.Treść niniejszego ogłoszenia nie stanowi oferty handlowej w rozumieniu Kodeksu Cywilnego.</t>
  </si>
  <si>
    <t>https://otodom.pl/pl/oferta/na-sprzedaz-gotowiec-inwestycyjny-w-lodzi-ID4lDbk</t>
  </si>
  <si>
    <t>4lDbk</t>
  </si>
  <si>
    <t>3 pokoje 2 balkony super lokalizacja!</t>
  </si>
  <si>
    <t>ul. Współczesna, Borkowo, Pruszcz Gdański, gdański, pomorskie</t>
  </si>
  <si>
    <t>Piękne i ustawne mieszkanie z dwoma przestronnymi balkonami. Słoneczne mieszkanie położone na ostatnim piętrze budynku, dzięki czemu mamy zagwarantowaną ciszę i spokój. Mieszkanie gotowe do wprowadzenia, umeblowane. Posiada dwa balkony - jeden od strony południowej, drugi zaciszny z widokiem na patio. Cicha i spokojna okolica. Bardzo dobra lokalizacja.Pomieszczenia- salon z aneksem kuchennym i wyjściem na balkon- pokój- sypialnia- pokój z wyjściem na balkon- pomieszczenie przygotowane pod pralnię/WC ( na planie jako WC)- łazienka- korytarz- komórka lokatorska ok 3,3 m2- miejsce parkingowe naziemne dodatkowo płatne 29 000 (zakup obligatoryjny)LokalizacjaMieszkanie położone na świetnie skomunikowanym osiedlu. Rozwinięta infrastruktura handlowo-usługowa, a także komunikacyjna w pobliżu. W najbliższej okolicy szkoła Metropolitarna, przedszkola, przychodnia, punkty usługowe, place zabaw, boiska sportowe oraz siłownia, sklepy. W bliskiej odległości przystanki komunikacji miejskiej - linie autobusowe (113, 213, N13) dojeżdżające do pętli tramwajowej Łostowice. Szybki dojazd do Obwodnicy Trójmiasta, Obwodnicy Południowej czy autostrady. Aleją Havla dostaniemy się  do centrum miasta w 20 minut.Zalety- dwa przestronne balkony- słoneczny salon, balkon oraz pokój- gotowe do zamieszkania od zaraz- zabudowa kuchni i sprzęt w cenie- niski czynsz - ok 500 zł- miejsce parkingowe naziemne dodatkowo płatne 29 000 (zakup obligatoryjny)- szafa w zabudowie na przedpokojuZapraszam na prezentację-Dom &amp;amp; House - Specjaliści od marzeń. - Gwarantujemy bezpieczeństwo transakcji- Znajdziemy najtańszy kredyt- Pomoc prawna dzięki współpracy z najlepszymi kancelariami notarialnym i prawnymi- Znajdziemy najtańsze ubezpieczenie nieruchomościPrezentowana oferta ma charakter informacyjny, nie stanowi oferty handlowej w rozumieniu Art. 66 par. 1 Kodeksu Cywilnego.</t>
  </si>
  <si>
    <t>https://otodom.pl/pl/oferta/3-pokoje-2-balkony-super-lokalizacja-ID4kLo1</t>
  </si>
  <si>
    <t>4kLo1</t>
  </si>
  <si>
    <t>Na sprzedaż mieszkanie do remontu</t>
  </si>
  <si>
    <t>Stare Chojny, Górna, Łódź, łódzkie</t>
  </si>
  <si>
    <t>Na sprzedaż trzypokojowe mieszkanie w trakcie generalnego remontu o powierzchni użytkowej 72,01 m2.Nieruchomość znajduje się na II piętrze w III piętrowym bloku i składa się z:- przedpokoju,- łazienki z wanną i prysznicem,- toalety, - kuchni,- dwóch sypialni,- salonu. Do mieszkania przynależy komórka lokatorska w piwnicy o powierzchni 1,9 m2 oraz balkon 6 m2. Ogólnodostępne miejsca parkingowe pod budynkiem. Opłaty: czynsz administracyjny wynosi ok. 600 zł (przy dwóch osobach zameldowanych) z zaliczką na fundusz remontowy, opłatą za śmieci, itd.Wszystkie media miejskie. Nieruchomość znajduje się na kameralnym osiedlu w okolicy Stawów Jana. Bardzo dobra lokalizacja - szybki dojazd do centrum oraz na trasy wylotowe.Ponadto w pobliżu bloku ma powstać nowy łódzki park. Dodatkowo: Piekarnia, cukiernia, Żabka, sklep spożywczy, apteka, siłownia, szkoła podstawowa, liceum, Rossmann przedszkole, żłobek, przystanki autobusowe i tramwajowe, Lidl, restauracje, pizzeria, sklep alkoholowy, przychodnia lekarska.Mieszkanie idealne zarówno dla rodzin z dziećmi, studentów czy osób starszych. Istnieje możliwość negocjacji ceny nieruchomości. Serdecznie zapraszam do kontaktu</t>
  </si>
  <si>
    <t>https://otodom.pl/pl/oferta/na-sprzedaz-mieszkanie-do-remontu-ID4geB5</t>
  </si>
  <si>
    <t>4geB5</t>
  </si>
  <si>
    <t>Nieruchomość z potencjałem - nowa cena!</t>
  </si>
  <si>
    <t>Szanowni Państwo,
W sprzedaży nieruchomość inwestycyjna w podpoznańskim Przeźmierowie.
Nieruchomość składa się z dwóch działek (504/1 i 504/2) o łącznej powierzchni 978 m2 oraz domu o powierzchni użytkowej 96,4 m2, budynku gospodarczego 10,8 m2 i garażu 20,6 m2.
Nieruchomość położona jest w świetnej lokalizacji przy zbiegu ulicy Kościelnej i Folwarcznej. Punkt charakteryzuje się dużym natężeniem ruchu jako druga najważniejsza arteria komunikacyjna w Przeźmierowie.
Właściciel otrzymał pozytywną decyzję w sprawie ustalenia warunków zabudowy dla rozbudowy budynku o lokal usługowy o powierzchni 93,71 m2 oraz dodatkową przestrzeń mieszkalną wraz z przebudową na terenie przedmiotowych działek. Zwiększenie całkowitej powierzchni zabudowy z 153 m2 na 290 m2. Wykonana i dostępna koncepcja projektowa rozbudowy.
Obecnie nieruchomość osiąga przychód pochodzący z wynajmu powierzchni mieszkalnej jak i paczkomatu zabudowanego od frontu nieruchomości i powierzchni reklamowej.
Lokalizacja:
Nieruchomość położona u zbiegu ul. Kościelnej i Folwarcznej, druga najważniejsza arteria komunikacyjna w Przeźmierowie,
Rozpoznawalne i uczęszczane miejsce, paczkomat generuje średnią ilość 250 osób na dzień.
Planowane połączenie ul. Rzemieślniczej i Bukowskiej wygeneruje dodatkowy ruch na ul. Kościelnej w najbliższym okresie czasu.
Planowane inwestycje w obiekty sportowe na sąsiadujących działkach.
Świetna komunikacja z Poznaniem,
Budynek mieszkalny pomieszczenia:
Hall – 4,7 m2
Kuchnia – 15,1 m2
Pokój 1 – 21,6 m2
Pokój 2 – 19,2 m2
Pokój 3 – 6,5 m2
Łazienka – 3,4 m2
Korytarz – 5,7 m2
Gabinet – 5,3 m2
Piwnica – 14,9 m2
Całkowita powierzchnia domu: 96,4 m2
Dodatkowe budynki:
Pomieszczenie gospodarcze: 10,8 m2
Garaż: 20,6 m2 
Kluczowe informacje:
Dach budynków pokryty papą,
Ogrzewanie grzejniki,
2 - funkcyjny kocioł gazowy, alternatywnie działający piec węglowy.
Studnia z instalacją hydroforową,
Media: prąd, woda, gaz, kanalizacja, internet,
Parking przed nieruchomością,
Teren zamknięty ogrodzeniem,
Możliwość wykonania dodatkowego wjazdu od ul. Folwarcznej na działkę 504/2 z wykorzystaniem na dodatkową dużą przestrzeń parkingową,
Dostępna koncepcja rozbudowy,
Ważne informacje:
Oferta dostępna wyłącznie u nas!
Pomagamy w kredycie hipotecznym,
Krok po korku wyjaśnimy i przeprowadzimy przez cały proces zakupu,
Powyższa oferta ma charakter informacyjny i nie stanowi oferty handlowej w rozumieniu art. 66 §1 kodeksu cywilnego oraz innych właściwych przepisów prawnych.
Posiadamy licencje PFRN nr 27376.
Serdecznie zapraszamy do oglądania !</t>
  </si>
  <si>
    <t>https://otodom.pl/pl/oferta/nieruchomosc-z-potencjalem-nowa-cena-ID4jGzs</t>
  </si>
  <si>
    <t>4jGzs</t>
  </si>
  <si>
    <t>Narutowicza - mieszkanie 64m2 - Centrum</t>
  </si>
  <si>
    <t>Śródmieście, Lublin, lubelskie</t>
  </si>
  <si>
    <t>Na sprzedaż dwupokojowe mieszkanie 64m2 w samym Centrum Lublina - ul. Narutowicza.Mieszkanie usytuowane jest na 2 piętrze w niskim bloku z cegły, po termoizolacji kilka lat temu.Zadbana klatka schodowa.Świetna lokalizacja - blisko do lubelskich uczelni, blisko przystanki MPK (dogodne połączenia z innymi dzielnicami Lublina). Niedaleko sklepy, apteka, szkoła, kościół i inna niezbędna do życia infrastruktura. 700m do Starego Miasta.Na powierzchnię 64m2 składają się:	dwa pokoje - 26m2 i 15m2 - (możliwość wydzielenia 3 pokoju)	kuchnia - 7m2	łazienka z wc - 2,7m2	przedpokój	garderobaDo mieszkania przynależy niewielki balkon oraz piwnica 5m2.Budynek monitorowany. Podwórko zamknięte, brama na pilota.Możliwość korzystania ze wspólnej suszarni.Ogrzewanie i woda z sieci miejskiej (ciepła woda podgrzewana piecykiem).Czynsz w wysokości 440zł. W czynszu m.in.: zaliczki na wodę, centralne ogrzewanie, fundusz remontowy. Dodatkowo płatne media to prąd, gaz.Standard : wymienione drzwi wejściowe - 2 zamki antywłamaniowe, okna PCV na podłogach w pokojach parkiet a w kuchni i łazience terakota, zadbana zabudowa kuchenna.Forma własności : lokal stanowiący odrębną nieruchomość, jeden właściciel.Mieszkanie dwustronne.*** IDEALNA OFERTA DO ZAMIESZKANIA LUB NA WYNAJEM ORAZ INWESTYCJĘ!!!  ŚWIETNA LOKALIZACJA !!! ***Zapraszam na prezentację Marek Dejnek 576 303 171 ::oferta eksportowana z programu mediaRent::</t>
  </si>
  <si>
    <t>https://otodom.pl/pl/oferta/narutowicza-mieszkanie-64m2-centrum-ID4igsM</t>
  </si>
  <si>
    <t>4igsM</t>
  </si>
  <si>
    <t>3-pok. apartament o wysokim standardzie, Kołobrzeg</t>
  </si>
  <si>
    <t>ul. Koszalińska, Kołobrzeg, kołobrzeski, zachodniopomorskie</t>
  </si>
  <si>
    <t>Przedstawiamy Państwu na sprzedaż ofertę 3-pokojowego apartamentu o powierzchni 57,57 mkw położonego na 4 piętrze, nowego budynku z 2021 roku z windą. Do mieszkania przynależy komórka lokatorska o powierzchni 1,21 mkw, dodatkowo na terenie posesji oraz przed osiedlem znajdują się ogólnodostępne miejsca parkingowe. Na terenie zamkniętego osiedla znajdują się również plac zabaw dla dzieci oraz boisko o tartanowej nawierzchni do gry w koszykówkę/piłkę nożną.Nieruchomości o wschodnio południowej ekspozycji okien i składa się z:- salonu z aneksem kuchennym oraz wyjściem na słoneczny południowy balkon o pow. 5 mkw- dwóch sypialni- łazienki z wc- korytarza z dużą szafą - komórki lokatorskiejZapraszamy na wirtualny spacer:Nieruchomość o wysokim standardzie, gustownie urządzona i meblowana a całość umeblowania wraz ze sprzętem AGD i RTV wliczona jest w cenę nieruchomości (bez materaca w sypialni). Mieszkanie idealnie nadaje się do stałego zamieszkiwania jak również na wakacyjne przyjazdy i pod wynajem. Ogrzewanie opomiarowane z sieci miejskiej, ciepła woda miejska, internet jest, telewizja zbiorcza jest, księga wieczysta jest, pełna forma własności, grunt własność. Czynsz do Wspólnoty Mieszkaniowej wynosi 516 zł wraz z ogrzewaniem i funduszem remontowym (dodatkowo płatna woda ciepła i zimna oraz energia elektryczna według własnego zużycia)Wydanie nieruchomości bezpośrednio po zapłacie całej ceny. Zapraszam na prezentację nieruchomości po wcześniejszym kontakcie telefonicznym.Leszek Dąbrowskitel. 697 48 00 55 "Właścicielem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</si>
  <si>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https://otodom.pl/pl/oferta/3-pok-apartament-o-wysokim-standardzie-kolobrzeg-ID4kdHX</t>
  </si>
  <si>
    <t>4kdHX</t>
  </si>
  <si>
    <t>3 pok- 70 m2 - 3 m wysokości - balkon+piwnica 14m2</t>
  </si>
  <si>
    <t>ul. Admiralska, Stary Rembertów, Rembertów, Warszawa, mazowieckie</t>
  </si>
  <si>
    <t xml:space="preserve">Rembertów ul. Admiralska 1
Na sprzedaż 3-pokojowe mieszkanie o powierzchni 70 m2 zlokalizowane na 1-piętrze kamienicy w stylu dworkowym wybudowanej w 1926 roku. 
Główne atuty nieruchomości:
Mieszkanie gotowe do wprowadzenia, po generalnym remoncie, wymienione instalacje
Idealne dla rodziny lub jako inwestycja (sąsiedztwo AsW)
Ponadstandardowa wysokość pomieszczeń 3m
Trójstronne- wystawa wschód-południe-zachód
Widok na zielony skwer przed budynkiem
Przynależna piwnica 14,1 m2 ujawniona w księdze wieczystej
Możliwość zakupu garażu wolnostojącego 300 m od budynku
Dojazd do Centrum w 30 min komunikacją miejską
Mieszkanie po generalnym remoncie, wymienione instalacje, okna, stolarka wewnętrzna, drzwi wejściowe przeciwwłamaniowe. Drewniane podłogi po cyklinowaniu, zabudowy na wymiar.  
Nieruchomość składa się z pokoju dziennego połączonego z kuchnią, spiżarni, dwóch sypialni, przestronnego przedpokoju, łazienki, oddzielnego WC oraz balkonu. 
Zabudowa kuchenna wykonana na wymiar wraz z wysokiej jakości sprzętem AGD firmy BOSH (zmywarka, płyta gazowa, piekarnik). Główna sypialnia narożna, z podwójnym łóżkiem, szafkami nocnymi, szafą 4-modułową oraz komodą z lustrem. Druga sypialnia zaaranżowana jako pokój dziecięcy z dwoma łóżkami, szafą 2-modułową i dwoma regałami. Przedpokój zabudowany szafą oraz pawlaczami wykonanymi na wymiar. Łazienka z wanną oraz pralką, WC zaaranżowane oddzielnie. 
Przestronny balkon od strony zachodniej z widokiem na ogród przynależny do kamienicy.
Wyjątkowo zielona okolica, nieruchomość otoczona skwerami, parkiem, lasem. W sąsiedztwie kameralna zabudowa, ogólnodostępne miejsca postojowe oraz pełne zaplecze handlowo-usługowe (sklepy, piekarnia, poczta, cukiernia, pralnia). W zasięgu pieszym obiekty Akademii Sztuki Wojennej.
Dogodny dojazd do Centrum, przystanek autobusowy 100 m od budynku (linia 143 GUS), stacja Warszawa Rembertów 2 km (10 min autobusem). Dojazd do centrum w 30 min komunikacją miejską 
Odrębna własność z księgą wieczystą bez obciążeń. Nieruchomość dostępna od zaraz!
Więcej informacji udzielę telefonicznie. 
Zapraszam na prezentację nieruchomości. 
Biura nieruchomości proszę o kontakt tylko w przypadku posiadania klienta zainteresowanego prezentacją nieruchomości.
</t>
  </si>
  <si>
    <t>https://otodom.pl/pl/oferta/3-pok-70-m2-3-m-wysokosci-balkon-piwnica-14m2-ID4mbQB</t>
  </si>
  <si>
    <t>4mbQB</t>
  </si>
  <si>
    <t>Mieszkanie, 71 m², Skawina</t>
  </si>
  <si>
    <t>Do sprzedania nowy apartament o powierzchni 71 m2 z ogródkiem, w Skawinie ul. Batalionów Chłopskich. W cenie mieszkania Kupujesz również miejsce do parkowania oraz ogródek około 100 m2. Apartamenty sprzedawany będzie w stanie deweloperskim. Mieszkanie składa się z 3 sypialni, kuchni połączonej z salonem i jadalnią, łazienki i wiatrołapu. Apartamenty zostaną wykończone w niespotykanie wysokim standardzie, z klimatyzacją, rekuperacją, ścianami przygotowanymi do malowania, idealnie zaplanowaną przestrzenią. Przed apartamentami przewidziane są wybrukowane miejsca parkingowe . Budynki wzniesione zostały sprawdzonej i energooszczędnej stalowej technologii: konstrukcja stalowa ocieplona pianą oraz styropianem, na zewnątrz tynk cienkowarstwowy z elementami ozdobnymi, wewnątrz podwójna płytka GK przygotowana pod malowanie, stropy stalowe o grubości około 30 cm z wyciszenie akustycznym, dach pokryty blachą dachową na klik, strop na poddaszu ocielony pianą PUR 25 cm, okna PCV 3 szybowe, drzwi zewnętrzne Gerda antywłamaniowe. Apartamenty wyposażone są w instalację wodno kanalizacyjną, instalację CO podłogową wraz z piecem kondensacyjnym, instalację elektryczną, internet światłowodowy, instalację alarmową bez osprzętu oraz rekuperację i klimatyzację wraz z urządzeniami.Ta inwestycja wyróżnia się pośród innych przemyślanymi rozwiązaniami oraz niespotykaną energooszczędnością. Doskonały rozkład pomieszczeń, duże okna i dobre doświetlenie, pomieszczenie gospodarcze, miejsca na szafy wnękowe to bezsprzeczne atuty tego projektu. Rekuperacja sprawi, że w mieszkaniu zawsze będzie czyste powietrze, a odzyskana energia zmniejszy rachunki. Klimatyzacja w upalne dni przyniesie upragniony odpoczynek. Mieszkania znajdują się w bezkonkurencyjnej lokalizacji łączącej zalety mieszkania w mieście i korzystania z uroków ciszy i otaczającej zieleni. Odległość do rynku w Skawinie, parku, przystanku komunikacji miejskiej czy basenu to zaledwie 15 minut na nogach lub 4 minuty samochodem. Połączenie z centrum Krakowa oraz innymi dzielnicami Krakowa zapewnia autostrada A4 oraz dojazdy przez Tyniec i Sidzinę.Treść niniejszego ogłoszenia nie stanowi oferty handlowej w rozumieniu Kodeksu Cywilnego.</t>
  </si>
  <si>
    <t>https://otodom.pl/pl/oferta/apartamenty-w-gornych-korabnikach-ID4g5Vp</t>
  </si>
  <si>
    <t>4g5Vp</t>
  </si>
  <si>
    <t>3 przestronne pokoje, Stawki</t>
  </si>
  <si>
    <t>ul. Włocławska, Stawki, Toruń, kujawsko-pomorskie</t>
  </si>
  <si>
    <t xml:space="preserve">Zapraszam do zapoznania się z ofertą 3 pokojowego mieszkania o powierzchni 64,27m2 usytuowanego na drugim piętrze dwupiętrowego bloku bez windy z 2013 roku. Mieszkanie położone jest w spokojnej okolicy na ulicy Włocławskiej 35. Blok ogrodzony z bramą wjazdową na pilota. Na powierzchnię mieszkania z balkonem składają się:- salon z wyjściem na balkon - dwie sypialnie- kuchnia- łazienka- przedpokój Do mieszkania przynależy część wspólnej komórki lokatorskiej w budynku oraz dwa miejsca postojowe w hali garażowej wliczone w cenę mieszkania. Mieszkanie w pełni umeblowane, wysoki standard  użytych materiałów oraz dobrej  jakości sprzęty AGD. Zabudowa kuchni oraz przedpokoju wykonana na wymiar. Mieszkanie dwustronne, wystawa okien wschód – zachód. Stawki, prężnie rozwijająca się lewobrzeżna część Torunia, spokojne nowoczesne osiedle, w okolicy punkty usługowo-handlowe, Biedronka, Lidl, Rossmann, szkoła, przedszkole, Aquapark, dworzec PKP. Szybkie połączenie z trasą S10. Niedaleko dwóch mostów dzięki czemu sprawnie można przedostać się na drugą stronę Wisły. Czynsz około 700zł (w tym zaliczki na wodę i ogrzewanie) + prąd. Zapraszam serdecznie na prezentację.
Oferta wysłana z programu dla biur nieruchomości ASARI CRM ()
</t>
  </si>
  <si>
    <t>https://otodom.pl/pl/oferta/3-przestronne-pokoje-stawki-ID4hZBm</t>
  </si>
  <si>
    <t>4hZBm</t>
  </si>
  <si>
    <t>Mieszkanie przy ulicy Waryńskiego</t>
  </si>
  <si>
    <t>ul. Ludwika Waryńskiego, Biała Podlaska, lubelskie</t>
  </si>
  <si>
    <t>Zadbane i przestronne mieszkanie na czwartym piętrze w atrakcyjnej lokalizacji.Główne atuty nieruchomości: • doskonała komunikacja z centrum• bliskość komunikacji miejskiej• bliskość szkoły/przedszkolaNieruchomość złożona z: • pokój 9,02 m.kw• pokój 9,15 m.kw• salon 21,47 m.kw• kuchnia zamykana z oknem 6,57 m.kw• korytarz 7,89 m.kw• łazienka 3,7 m.kw W skład nieruchomości wchodzi też:• balkonTyp ogrzewania: ogrzewanie miejskie. Typ własności: własność. Nieruchomość o powierzchni 57,8 mkw składa się z trzech pokoi z osobną kuchnią, łazienki oraz przedpokoju tuż obok Zofii Lasu.Mieszkanie usytuowane na czwartym piętrze, gotowe do zamieszkania. Doskonale skomunikowane z centrum miasta. Dookoła pełna infrastruktura, szkoła podstawowa oraz przedszkole, apteka, sklepy spożywcze, piekarnia, lokale usługowe oraz gastronomiczne.Pobliski park to doskonałe miejsce na aktywne spędzanie wolnego czasu.Nieruchomość jest idealnym miejscem dla rodzin ze względu na sąsiedztwo terenów przystosowanych dla dzieci.Możliwa negocjacja ceny!Umówmy się na spotkanie. Z ogromną przyjemnością zaprezentuję nieruchomość!Oferta dostępna tylko w Metrohouse. ZADZWOŃ: 577 336 204.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</si>
  <si>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https://otodom.pl/pl/oferta/mieszkanie-przy-ulicy-warynskiego-ID4lOP1</t>
  </si>
  <si>
    <t>4lOP1</t>
  </si>
  <si>
    <t>2-pokojowe mieszkanie + piwnica, blisko tramwaj</t>
  </si>
  <si>
    <t>ul. Górnicza, Pilczyce, Fabryczna, Wrocław, dolnośląskie</t>
  </si>
  <si>
    <t xml:space="preserve">Oferta idealna jako inwestycja pod wynajem.  Mieszkanie 2-pokojowe  ( pierwotnie był to 1 pokój , i taki jest stan w księdze wieczystej ) .  Pokój dzienny wraz z aneksem kuchennym o pow ok 18 m2, , na podłodze panel, ściny gładzie, umeblowanie wraz ze sprzętem Agd - kuchenka gazowa wraz z piekarnikiem el., lodówka , pralka.  Sypialnia o pow ok 10 m2, panele na podłodze , ściny gładzie .  Łazienka o pow ok 3 m2, na podłodze i ścianach kafelki, wanna, toaleta, bojler.   Przedpokój.  W mieszkaniu wymienione okna na pcv, nowa instalacja elektryczna , na ścianach gładzie, na podłodze panele, nowe kafelki w łazience .   Mieszkanie do remontu.  Ogrzewanie elektryczne- piece akumulacyjne elektryczne ( 230 v )  Niskie koszty utrzymania - czynsz 230 zł / 2 os ( woda zimna, f.rem, wywóz śmieci + energia el - koszt ok 200 zł ,  Spokojne podwórko z możliwością parkowania.  W pobliżu sklep, przedszkola, szkoły,  przystanki tramwajowe i autobusowe, centra handlowe, supermarkety. Idealne pod inwestycję.  Serdecznie polecam i zapraszam na prezentację.                   Aleksandra Czarnota Tel. kom. 792 72 05 72 e-mail:   Premium Nieruchomości Aleksandra Czarnota Licencja zawodowa nr 6759   Treść niniejszego ogłoszenia nie stanowi oferty handlowejw rozumieniu Kodeksu Cywilnego.   </t>
  </si>
  <si>
    <t>https://otodom.pl/pl/oferta/2-pokojowe-mieszkanie-piwnica-blisko-tramwaj-ID4kqWh</t>
  </si>
  <si>
    <t>4kqWh</t>
  </si>
  <si>
    <t>Apartamenty Sadowa !</t>
  </si>
  <si>
    <t>Do sprzedania nowoczesny apartament o powierzchni 60,22 m2 z balkonem na I piętrze . Lokal znajduje się na kameralnym osiedlu 22 apartamentów, oddalonych zaledwie 1400 metrów od centrum Skawiny .Ta inwestycja wyróżnia się pośród innych ofert w Skawinie i jest idealna dla osób szukających połączenia nowoczesnego stylu oraz doskonałej lokalizacji .Układ pomieszczeńOptymalnie rozplanowany apartament to jasny salon z aneksem kuchennym o powierzchni 26,63 m2 , 2 sypialnie , łazienka i wiatrołap . Wszystkie pomieszczenia są dobrze doświetlone i ustawne. Mieszkania mają ekspozycję wschód /zachód . Każdy z apartamentów na parterze posiada przestronny ogródek a apartament na 1 piętrze balkonKomunikacja-Szybka kolej aglomeracyjna ze stacji Skawina PKP z parkingiem Park and Ride W 27 minut możesz się znaleźć w centrum Krakowa , nie tracąc czasu na stanie w Korkach.- W odległości 500 metrów znajduje się przystanek komunikacji miejskiej gdzie średnio co godzinę odjeżdżają autobusy do rynku w Skawinie lub na górę Borkowską- W odległości 1500 metrów znajduje się przystanek Skawina Rynek gdzie możemy dostać się w różne rejony Krakowa oraz okolicznych miejscowości zarówno busami jak i autobusami komunikacji miejskiej -kilka alternatywnych tras samochodem do różnych części Krakowa w zależności od potrzeb i pory dnia ( ul. Krakowską, ul. Petrażyckiego ,ul. Wrony )Atuty-Apartamenty znajdują się w bezkonkurencyjnej lokalizacji łączącej zalety mieszkania w mieście oraz możliwość spokojnego mieszkania bez hałasu i zgiełku głównych ulic . W zasięgu ręki ( 15 minut na nogach , 4 minuty samochodem) znajduje się cała niezbędna do życia infrastruktura : sklepy spożywcze , basen , szkoła i przedszkole , szkoły średnie , park miejski i tereny zielone , trasy rowerowe , tereny rekreacyjne i miejsca do uprawiania sportu , urząd w Skawinie , szkoła Muzyczna , restauracje i wiele innych.- W cenie mieszkania 1 miejsce postojowe- Niezależne ogrzewanie gazowe - podłogówka- klatka nie jest wliczana w powierzchnię użytkowa mieszkań- duże ogródki- duże balkony- osiedle zamknięte-szklenia do samej ziemi powodujące dobre nasłonecznienie o każdej porze dniaStandard Wykończenia i TechnologiaApartamenty wznoszone są w wysokiej jakościowo technologii budowlanej:- fundamenty żelbetowe wraz z plytą fundamentową- ściany z betonu komórkowego 24 cm ,ściany pomiędzy segmentami 20 cm/5 cm styropian/20 cm- okna PCV 3 szybowe ciepły montaż- tynki gipsowe- dach pokryty blachą na Rąbek Bratex-instalacje: wod -kan , instalacja C.O. ogrzewanie podłogowe , instalacja elektryczna , instalacja Internet- kocioł gazowy w cenieZagospodarowany zostanie teren na zewnątrz gzie znajdą się podjazdy ,miejsca parkingowe , podejścia do budynków , zieleń i wspólny śmietnik . Inwestycja zostanie zakończona do 31.09.2024 r.Podana cena jest ceną brutto więc Kupujący nie płaci podatku PCCMieszkania objęte są 5 letnią RękojmiąOgłoszenie nie stanowi oferty handlowej w rozumieniu kodeksu cywilnego ! Zapraszamy do prezentacji nieruchomości !Treść niniejszego ogłoszenia nie stanowi oferty handlowej w rozumieniu Kodeksu Cywilnego.</t>
  </si>
  <si>
    <t>https://otodom.pl/pl/oferta/apartamenty-sadowa-ID4igjQ</t>
  </si>
  <si>
    <t>4igjQ</t>
  </si>
  <si>
    <t>Nowa inwestycja Alchemia- 3 pokojowe!</t>
  </si>
  <si>
    <t>ul. Marii Curie-Skłodowskiej, Słupsk, pomorskie</t>
  </si>
  <si>
    <t xml:space="preserve">Alchemia - skorzystaj z różnorodnej oferty mieszkań w inwestycji, którą planujemy zakończyć jeszcze w tym roku
Mieszkanie rozkładowe, 3- pokojowe A1M2 na pierwszym piętrze budynku,
Południowa ekspozycja salonu 
Przemyślany układ funkcjonalny - salon z aneksem kuchennym, ustawna łazienka oraz 2 sypialnie
Przestronny balkon  
Alchemia – poznaj inwestycję
Inwestycja ALCHEMIA zlokalizowana przy ulicy M. Curie-Skłodowskiej to jeden czteropiętrowy budynek w zwartej bryle w stylu modernistycznym o nowoczesnym i ponadczasowym charakterze. W budynku znajdują się 2 klatki schodowe z cichobieżnymi windami i z mieszkaniami o metrażu od 26 m2 do 58 m2. W parterze budynku dwa lokale usługowe.
Inwestycja zlokalizowana w atrakcyjnej części miasta. Bliskość centrum miasta sprawia, że jest to idealna opcja zarówno dla tych którzy szukają lokalu w celu zaspokojenia własnych potrzeb mieszkaniowych jak i dla osób inwestujących w nieruchomości w celach zarobkowych.
Oto co wyróżnia tą inwestycję:
Świetna lokalizacja,
Wysokie walory estetyczne budynku,
Możliwość zakupu indywidualnego miejsca postojowego (zewnętrznego),
Konstrukcja balkonu wykonana z zastosowaniem termoizolacyjnych systemowych łączników balkonowych (likwidacja mostków termicznych)
Ściany murowane z pustaków ceramicznych chroniących przed utratą ciepła,
Metalowe, ocynkowane orynnowanie najwyższej jakości,
Ogródki dla mieszkań zlokalizowanych w parterze budynku
Teren oświetlony energooszczędnymi latarniami LED
Stolarka okienna rekomendowana do budownictwa energooszczędnego- okna o niskim współczynniku przenikalności cieplnej
- trójszybowe z trzema uszczelkami,
- grubość pakietów szybowych aż 48 mm
- grubość ramy okiennej 82 mm,
Starannie zaprojektowana kameralna klatka schodowa wykończona z dbałością o detale
Budynek wyposażony w indywidualne garaże z dostępem z zewnątrz
Cichobieżne windy
Indywidualne planowanie instalacji elektrycznych i hydraulicznych w mieszkaniach
Energooszczędne oświetlenie Led w częściach wspólnych budynku
Nowoczesne instalacje światłowodowe, anteny Tv naziemnej i satelitarnej
Alchemia - lokalizacja
Przystanek autobusowy - 170 m (4 minuty spacerem)
Sklepy - 100 m (3 minuty spacerem)
Centrum Miasta - 400 m (12 minut spacerem)
Szkoła - 350 m (10 minut spacerem)
W celu poznania projektu budynku i szczegółów oferty zapraszam serdecznie do naszego biura przy ulicy Westerplatte 23.
Pracujemy od poniedziałku do czwartku w godzinach 9:00-17:00, w piątki od 9:00-15:00
Niniejsza oferta nie stanowi oferty w rozumieniu Kodeksu Cywilnego, a dane w niej zawarte mają jedynie charakter informacyjny i mogą ulec zmianie (informacje o aktualnych cenach i dostępności lokali można uzyskać bezpośrednio w biurze dewelopera) 
</t>
  </si>
  <si>
    <t>https://otodom.pl/pl/oferta/nowa-inwestycja-alchemia-3-pokojowe-ID4iDxd</t>
  </si>
  <si>
    <t>4iDxd</t>
  </si>
  <si>
    <t>3- pokojowe mieszkanie z potencjałem</t>
  </si>
  <si>
    <t>Baranówka, Rzeszów, podkarpackie</t>
  </si>
  <si>
    <t xml:space="preserve">W ofercie biura Doradzamy Nieruchomości przedstawiamy Państwu 3 pokojowe mieszkanie zlokalizowane w Rzeszowie przy ulicy Władysława Broniewskiego na osiedlu Baranówka. Mieszkanie ma praktyczny układ, znajduje się na parterze budynku w spokojnej i zielonej okolicy. Mieszkanie wymaga remontu, dzięki czemu nowy właściciel będzie miął możliwość stworzenia przestrzeni według swojego gustu i preferencji. Lokalizacja sprawia, że jest to wygodne miejsce do życia zarówno dla osób przemieszczających się samochodem jak i dla tych, którzy chcą korzystać z komunikacji miejskiej.
Mieszkanie składa się z:
- Przedpokój
- Kuchnia
- Łazienka
- 3 Pokoje (w tym jeden przechodni)
- Piwnica
Atuty Mieszkania:
- Mieszkanie dwustronne
- Oddzielna kuchnia
- Wymieniona instalacja elektryczna
- Bardzo dobra lokalizacja w zacisznym, spokojnym miejscu
Jeżeli jesteście Państwo zainteresowani uzyskaniem kredytu na powyższą nieruchomość, pragniemy poinformować, że posiadamy własny dział finansowy świadczący kompleksową obsługę Klientów . Nasi eksperci bezpłatnie pomogą w wyborze najlepszej formy finansowania oraz przeprowadzą przez cały proces kredytowy. Współpracujemy z większością instytucji finansowych i banków. Zapraszamy do kontaktu pod numerem telefonu 17 283 21 60 (Eksperci Finansowi) oraz 17 283 13 69 (Doradcy ds. Nieruchomości).
Powyższa oferta ma jedynie charakter informacyjny i nie stanowi oferty handlowej w rozumieniu Art. 66 § 1 Kodeksu Cywilnego.
Oferta wysłana z programu dla biur nieruchomości ASARI CRM ()
</t>
  </si>
  <si>
    <t>https://otodom.pl/pl/oferta/3-pokojowe-mieszkanie-z-potencjalem-ID4m3RM</t>
  </si>
  <si>
    <t>4m3RM</t>
  </si>
  <si>
    <t>Mieszkanie w Dziwnówku - Wirtualny Spacer</t>
  </si>
  <si>
    <t>ul. 1 Maja, Dziwnówek, Dziwnów, kamieński, zachodniopomorskie</t>
  </si>
  <si>
    <t>W naszej ofercie przestronne, zadbane, świeżo odnowione mieszkanie w Dziwnówku w odległości ok. 400 m od morza.Nieruchomość składa się z kuchni, jadalni, łazienki, 2 sypialni oraz salonu z przestronnym balkonem.Autem jest przynależna do mieszkania, duża piwnica na rowery czy wózki. Mieszkanie usytuowane na parterze niskiego bloku (2 piętra), który mieści się w bardzo zacisznym miejscu. Możliwość parkowania przed budynkiem (miejsca postojowe).Powierzchnia: 67,7 m2Czynsz administracyjny ok. 600 zł (w tym ogrzewanie, ciepła i zimna woda, fundusz remontowy, wywóz odpadów). Cena do negocjacji.
Zobacz wirtualny spacer.Zapewniamy maksymalną ochronę kupującego, ubezpieczenie transakcji oraz pełne prawne wsparcie przy i po zakupie. Profesjonalnie doradzimy - zapraszamy do kontaktu telefonicznego. </t>
  </si>
  <si>
    <t>https://otodom.pl/pl/oferta/mieszkanie-w-dziwnowku-wirtualny-spacer-ID4fbsE</t>
  </si>
  <si>
    <t>4fbsE</t>
  </si>
  <si>
    <t>2 pokojowe mieszkanie z dwoma balkonami</t>
  </si>
  <si>
    <t>ul. Leszczyńskich, Zaspa-Rozstaje, Gdańsk, pomorskie</t>
  </si>
  <si>
    <t>Na sprzedaż dwupokojowe mieszkanie , 39,8 m2 położone na 3 piętrze w 5 piętrowym. Stan prawny spółdzielczo własnościowe prawo do lokalu z księgą wieczystą.Mieszkanie słoneczne, w środku budynku, po stronie południowo-wschodniej, z pięknym widokiem na zieleń, w świetnie usytuowanej dzielnicy Gdańska -Zaspa Rozstaje przy ul. Kombatantów, Leszczyńskich i al. Jana Pawła IIRok budowy budynku to 1980, 3 windy, przestronne korytarze i schody. W parterze budynku duży wybór lokali handlowych i usługowych. Budynek po termomodernizacji. Mieszkanie składa się z:- salonu 16,2m2 + balkon w zabudowie 6,4m2- sypialni 6,72m2 + balkon w zabudowie 3,1m2- kuchni 6,31m2- łazienki 3,43m2- hallu 7,14m2Mieszkanie umeblowane (na życzenie kupującego może być opróżnione). Przy ulicy ogólnodostępne miejsca parkingowe i przystanek autobusowy. Za budynkiem płatne, zamknięte, strzeżone miejsca parkingowe.Zapraszam do kontaktu i na prezentacje."Niniejsze ogłoszenie jest wyłącznie informacją handlową i nie stanowi oferty w myśl art. 66, § 1. Kodeksu Cywilnego. Sprzedający nie odpowiada za ewentualne błędy lub nieaktualność ogłoszenia"</t>
  </si>
  <si>
    <t>https://otodom.pl/pl/oferta/2-pokojowe-mieszkanie-z-dwoma-balkonami-ID4fW2E</t>
  </si>
  <si>
    <t>4fW2E</t>
  </si>
  <si>
    <t>Nietuzinkowy apartament w "Koło-Brzegu".</t>
  </si>
  <si>
    <t>Apartamenty "Koło Brzegu" na Podczelu to nowy, kameralny obiekt oferujący bliski kontakt z naturą. Do centrum Kołobrzegu 5 km, które można pokonać pieszo (np. nordic walking, jogging..) lub na rowerze przez urzekający Eko-Park „Natura 2000” w którym jest zlokalizowana jedna z najdłuższych ścieżek rowerowych w Europie ciągnąca się wzdłuż bałtyckiej plaży.Do "Koło Brzegu" należą dwa nowoczesne budynki, w których oprócz apartamentów znajdziecie m. in. Strefę Fun to bawialnia z grami planszowymi oraz playstation, strefę SPA „Chillout” z jacuzzi, sauną, kominkiem, salą masażu jak również zewnętrznym tarasem relaksacyjnym z koszami plażowymi a do tego wypożyczalnią rowerów.Do morza Bałtyckiego i spokojnej, piaszczystej, szerokiej plaży jedynie 600 metrów (przed wejściem na plażę punkty gastronomiczne).Oferowany apartament znajduje się na ostatnim IV piętrze, posiada:• otwarty pięknie doświetlony salon (strona zachodnia) a w nim wygodną trzyosobową kanapę, szafę, stół z krzesłami, telewizor. Rozkładana kanapa pozwoli zmienić część wypoczynkową w komfortowe miejsce do spania. Jasne drewno w połączeniu z bielą i pastelami sprawiają, że wnętrze zyskuje na przestrzeni.• część kuchenną, w pełni wyposażony aneks. Oprócz płyty grzewczej, okapu i lodówki są tam mikrofalówka oraz czajnik, toster i ekspres do kawy. Aneks posiada również niezbędne naczynia i sztućce.• dodatkową przestrzeń w postaci widnej (okno dachowe) sypialni na antresoli z podwójnym łóżkiem. Na antresolę prowadzą drewniane schody, których konstrukcja nadaje wnętrzu dodatkowej lekkości.• nowoczesną łazienkę z przestronnym prysznicem utrzymaną w szarościach, dodatkowo wyposażoną w pralkę.Oprócz apartamentów kompleks "Koło Brzegu" to także:• zewnętrzne strefy relaksu - wysypaną morskim piaskiem przestrzeń między budynkami uzupełniają typowo bałtyckie kosze plażowe i plac zabaw dla dzieci• strefa SPA - z łączką solarną, kominkiem, sauną, jacuzzi oraz pokojem do masażu• strefa FUN - z wygodnymi kanapami, grami planszowymi, konsolą PlayStation oraz kącikiem zabaw dla najmłodszych.Apartament o wysokim standardzie wykończenia i wyposażenia - wszystko ujęte w cenie sprzedaży. Mieszkanie można również wynajmować i czerpać dochody.Do kontaktu zapraszamy pod numerem tel: 501 437 613Oferta wysłana z programu dla biur nieruchomości ASARI CRM ()</t>
  </si>
  <si>
    <t>https://otodom.pl/pl/oferta/nietuzinkowy-apartament-w-kolo-brzegu-ID4fwNk</t>
  </si>
  <si>
    <t>4fwNk</t>
  </si>
  <si>
    <t>3 pokojowe mieszkanie do remontu -gmina Rokietnica</t>
  </si>
  <si>
    <t>https://otodom.pl/pl/oferta/3-pokojowe-mieszkanie-do-remontu-gmina-rokietnica-ID4m5fF</t>
  </si>
  <si>
    <t>4m5fF</t>
  </si>
  <si>
    <t>4 Pokoje - gotowe do zamieszkania Gdynia Dąbrowa</t>
  </si>
  <si>
    <t>ul. Sojowa, Dąbrowa, Gdynia, pomorskie</t>
  </si>
  <si>
    <t>Szanowni Klienci,mając na uwadze Państwa cenny czas, komfort i bezpieczeństwo,prosimy o wcześniejszy kontakt telefoniczny lub elektronicznyw celu umówienia prezentacji lub spotkania w biurze. Oferta, którą oglądasz jest dostępna TYLKO U NAS i została dokładnie sprawdzona pod względem formalno-prawnym.Oferujemy na sprzedaż czteropokojowe mieszkanie położone w Gdyni Dąbrowie. W pobliżu liczne punkty handlowo- usługowe, przychodnia, przedszkola, szkoły oraz lasy i tereny spacerowe.Jest to miejsce doskonale skomunikowane z pozostałą częścią Trójmiasta dzięki bliskiemu sąsiedztwu Obwodnicy Trójmiejskiej, kilku linii autobusowych i trolejbusowych.Mieszkanie  ma ciekawy rozkład, nowocześnie umeblowane,  jest po remoncie, posiada nowe instalacje (3-fazowa oraz siła), światłowód.Na powierzchnię 86,02  m2 i składa się z :- salonu ok. 40m2 przestronny i bardzo dobrze nasłoneczniony- aneksu kuchennego (z płytą gazową),- Trzy sypialnie- łazienka- w-c- przedpokójATUTY:- 4 pokojowe- lokalizacja- możliwość wydzielenie dwóch mieszkań- w pobliżu liczne punkty handlowo-usługowe- dogodny dojazd do obwodnicy trójmiastaMieszkanie jest słoneczne i bardzo przytulne. Przynależy do niego piwnica- 4,37m2Miejsca parkingowe ogólnodostępne.Czynsz ok 650zł latem/900zł zimą.Termin wydania do uzgodnienia.Zapraszam na prezentację!Co zyskujesz współpracując z naszym biurem? - oszczędność czasu, opiekę i kompleksowe wsparcie doświadczonego Agenta na każdym etapie transakcji- szeroki wybór ofert dopasowanych do Twoich potrzeb- pewność uzyskania najkorzystniejszej wartości nieruchomości- szybką ocenę zdolności kredytowej i ofertę korzystnego kredytu hipotecznegoskuteczny i nowoczesny marketing Twojej oferty- profesjonalne i bezpłatne doradztwo prawne- bezpieczeństwo transakcji gwarantowane współpracą z czołowym biurem nieruchomości na Pomorzu, które obsługuje zarówno oferty z rynku wtórnego, jak i deweloperskieChcesz poznać więcej szczegółów tej oferty? A może chcesz negocjować cenę?Zadzwoń pod numer 58 558 53 53 lub 784 008 353. Możesz także do nas napisać.W naszej bazie znajdziesz najwięcej aktualnych ofert z Trójmiasta, Kaszub i Kociewia.Serdecznie zapraszamy do naszych oddziałów w Gdańsku, Gdyni, Bytowie, Kościerzynie, Chojnicach i Starogardzie Gdańskim. Pracujemy również w soboty.Zaufaj profesjonalistom i kupuj bezpiecznie!</t>
  </si>
  <si>
    <t>https://otodom.pl/pl/oferta/4-pokoje-gotowe-do-zamieszkania-gdynia-dabrowa-ID4lxX9</t>
  </si>
  <si>
    <t>4lxX9</t>
  </si>
  <si>
    <t>Mieszkanie w ścisłym centrum Lęborka</t>
  </si>
  <si>
    <t>ul. Elizy Orzeszkowej, Lębork, lęborski, pomorskie</t>
  </si>
  <si>
    <t xml:space="preserve">O% - NABYWCA NIE PŁACI PROWIZJI, PROWIZJĘ BIURA POKRYWA SPRZEDAJĄCY! Ładne, przytulne mieszkanie położone w ścisłym centrum Lęborka przy ulicy Orzeszkowej (opodal Placu Pokoju i Starówki) o powierzchni użytkowej 50,20m2. Lokal usytuowany jest na pierwszym piętrze dwupiętrowego bloku, po remoncie elewacji i dociepleniu co sprawia, że jest bardzo ciepły i cichy. Nieruchomość nie wymaga natychmiastowych nakładów finansowych, można od razu zamieszkać. Wymienione wszystkie instalacje- elektryczna, hydrauliczna, kanalizacyjna, gazowa (nowe grzejniki), drzwi wewnętrzne i zewnętrzne, okna (PCV), na podłogach panele i terakota. Składa się z zabudowanego przedpokoju, przestronnego pokoju dziennego, sypialni, oddzielnej, zabudowanej kuchni oraz łazienki z wc, wanną oraz kabiną prysznicową. Do mieszkania przynależy również piwnica. Koło nieruchomości znajdują się miejsca parkingowe, a w pobliżu znajduje się cała infrastruktura&amp;ndash; budynki użyteczności publicznej i instytucje usługowo-handlowe, szkoły, kościoły, przedszkole, sklepy, restauracje, deptak, market. Całość prezentuje się bardzo dobrze. Ze względu na standard, idealne położenie oraz niski czynsz oferta jest godna polecenia.Uwaga! Zdjęcia nie odzwierciedlają całego uroku nieruchomości. Zapraszamy na bezpłatną prezentację oferty. Szczegółowych informacji, więcej ofert i zdjęć uzyskacie Państwo w biurze lub na stronie internetowej. ZAPRASZAMY RÓWNIEŻ DO SKORZYSTANIA Z NASZEGO DORADZTWA KREDYTOWEGO.W jednym miejscu, bezpłatnie porównamy i dobierzemy najbardziej korzystną ofertę kredytu hipotecznego spośród kilkunastu banków.Dzięki długoletniemu doświadczeniu, licencji zawodowej i ważnej polisy OC, gwarantujemy bezpieczeństwo transakcji oraz że do podanej ceny nie zostanie doliczony żaden koszt.Oferta ma charakter informacyjny i nie stanowi oferty handlowej w rozumieniu przepisów Kodeksu Cywilnego. Dane zawarte w ofercie zostały opracowane w oparciu o informacje właściciela i mogą  ulec nowelizacji.Wszelkie prawa zastrzeżone. Kopiowanie i publikacja treści i zdjęć bez zgody autora zabronione.::LINK DO STRONY ::KONTAKT DO AGENTA Leszek Kochman601059692Pośrednik odpowiedzialny zawodowo za wykonanie umowy pośrednictwa: Leszek Kochman (licencja nr: ) </t>
  </si>
  <si>
    <t>https://otodom.pl/pl/oferta/mieszkanie-w-scislym-centrum-leborka-ID4jTAH</t>
  </si>
  <si>
    <t>4jTAH</t>
  </si>
  <si>
    <t>Nieszablonowe mieszkanie dla ludzi z wyobraźnią!</t>
  </si>
  <si>
    <t>Wrotków, Lublin, lubelskie</t>
  </si>
  <si>
    <t>Polecam na sprzedaż mieszkanie o powierzchni 48,07m2 zlokalizowane na 3 piętrze w bloku na Wrotkowie.W skład nieruchomości zaliczamy:- salon 19,9m2,- pokój 11,2m2,- kuchnia 6,9m2,- łazienka 5,3m2.Dodatkowe informacje:- oryginalne wnętrze,- ogrzewania z własnej kotłowni,- ciepła woda z piecyka gazowego,- czynsz 550zł (na 2 osoby),- instalacja elektryczna w bloku wymieniona w 2021r.- teren ogrodzony z własnym terenem zielonym,- monitoring,- klimatyzacja,- widok z okien na tereny zielone z pełną ilością drzew,- wiele miejsc parkingowych pod blokiem,- odnowienie elewacji w 2023/2024r.- pełna infrastruktura wokół bloku,- wolne od zaraz.Polecam i zapraszam na prezentację.W naszej ofercie posiadamy podobne nieruchomości.Niniejsze ogłoszenie nie stanowi oferty w rozumieniu Kodeksu Cywilnego i ma charakter wyłącznieinformacyjny.Czy wiesz że:- możemy przygotować dla Ciebie prezentację on-line nieruchomości,- możemy z Tobą przeprowadzić rozmowę Video,- możesz z nami podpisać umowę pośrednictwa on-line,- możesz u nas porozmawiać z doradcą kredytowym.Zapraszamy do współpracyZESPÓŁ 4TE PIĘTROOferta wysłana z programu dla biur nieruchomości ASARI CRM ()</t>
  </si>
  <si>
    <t>https://otodom.pl/pl/oferta/nieszablonowe-mieszkanie-dla-ludzi-z-wyobraznia-ID4j1sK</t>
  </si>
  <si>
    <t>4j1sK</t>
  </si>
  <si>
    <t>4 pok., pow. 142,65 m2, balkon, niski czynsz!</t>
  </si>
  <si>
    <t>Węgliniec, Węgliniec, zgorzelecki, dolnośląskie</t>
  </si>
  <si>
    <t xml:space="preserve">TYLKO U NAS! PRZESTRONNE, CZTEROPOKOJOWE MIESZKANIE W SAMYM SERCU ZGORZELCA, NISKI CZYNSZ! NIE SZUKAJ DALEJ!Biuro Nieruchomości nad Nysą prezentuje do sprzedaży przestronne mieszkanie o powierzchni 142,65 m2 zlokalizowane w samym centrum Zgorzelca przy ulicy Daszyńskiego. Mieszkanie usytuowane jest na 3 piętrze w zabytkowej kamienicy, zaledwie kilka kroków od urokliwej rzeki Nysy.Nieruchomość składa się z salonu, 3 pokoi - jeden z nich w bezpośrednim wyjściem na balkon, kuchni, łazienki oraz przedpokoju. To idealna propozycja dla rodzin lub osób ceniących sobie przestrzeń i komfort życia.Mieszkanie wymaga remontu, co daje dużą swobodę aranżacyjną nowym właścicielom. Ogrzewanie zapewniają piece kaflowe, istnieje jednak możliwość wykonania ogrzewania gazowego lub elektrycznego. Woda ciepła dostępna jest dzięki piecykowi gazowemu typu Junkers. Instalacje elektryczne oraz wodno-kanalizacyjne wymagają wymiany. W lokalu mieszkalnym zostały wymienione okna. Do mieszkania przynależą dwie piwnice oraz strych ogólnodostępny dla mieszkańców. Na podwórzu znajduje się parking dla mieszkańców oraz ogólnodostępne miejsca parkingowe przy ulicy.W bliskiej odległości znajdują się sklepy i dyskonty spożywcze, klub fitness, basen, apteka, przychodnia lekarska, szkoła podstawowa, przedszkole, liceum oraz liczne restauracje i pizzerie. Dla miłośników aktywnego spędzania czasu polecamy pobliski park z ciągami drzew i licznymi ścieżkami rowerowymi.Miesięczny czynsz do zarządcy: 290 zł ( w tym: woda zimna 4m3, wywóz nieczystości dla 2 osób) plus fundusz remontowy 37 zł. Nie przegap okazji zamieszkania w przestronnym mieszkaniu zlokalizowanym w samym sercu miasta. Skontaktuj się z nami już dziś i umów się na spotkanie celem obejrzenia nieruchomości!
Nie czekaj dłużej i umów się ze mną na prezentację nieruchomości! 
Finansowanie kredytem? Żaden problem! U nas sprawdzisz swoją zdolność kredytową i złożysz wniosek o kredyt w większości banków! 
Każda nieruchomość jest rzetelnie weryfikowana pod względem prawnym.
Oferta wysłana z programu dla biur nieruchomości ASARI CRM ()
</t>
  </si>
  <si>
    <t>https://otodom.pl/pl/oferta/4-pok-pow-142-65-m2-balkon-niski-czynsz-ID4me5H</t>
  </si>
  <si>
    <t>4me5H</t>
  </si>
  <si>
    <t>4 km od rynku w Wieliczce | garaż ogród klima</t>
  </si>
  <si>
    <t>https://otodom.pl/pl/oferta/4-km-od-rynku-w-wieliczce-garaz-ogrod-klima-ID4moky</t>
  </si>
  <si>
    <t>4moky</t>
  </si>
  <si>
    <t>Niepowtarzalny Apartament Z Ogrodem</t>
  </si>
  <si>
    <t>ul. Pienista, Lublinek, Polesie, Łódź, łódzkie</t>
  </si>
  <si>
    <t>OFERTA WYŁĄCZNIE W NASZYM BIURZE Bardzo atrakcyjne mieszkanie z ogródkiem  w Łodzi Polesie ul. Pienista 41 Do sprzedania niepowtarzalny  apartament  o łącznej  pow. zgodnie z księga wieczystą 74,39 m2 przy czym pow.  mieszkalna  to  71,09 m2,pow. Komórki 3,3 m2 do apartamentu przynależy taras 16,68 m2 i ogródek 86,53m2 skierowany za stronę zachodnią cichą i zieloną Apartament w stanie bardzo dobrym  , znajduje się na parterze  w czteropiętrowym solidnym  budynku z 2012 r .Apartament posiada bardzo praktyczny rozkład ,dzieli się na część dzienną i sypialną ,nie wątpliwym atutem nieruchomości jest przestronny taras z ogrodem   na który można  wyjść podwójnymi drzwiami z salonu. Można na nim relaksować się widokiem pięknej zieleni i ciszy. Pokój dzienny połączony z jadalnia i kuchnia   z wyjściem na taras i ogród   okna skierowane na zachód .Kuchnia  częściowo otwarta, na salon  z możliwością także wyjścia na taras w pełni umeblowana  . W zabudowie wszystkie niezbędne sprzęty: lodówka, piekarnik, mikrofalówka, płyta indukcyjna, zmywarka i okap  w cenie nieruchomości. Okno skierowane na stronę zachodnią.Przedpokój z holem z dużą szafą typu komandor W łazience  (6m2) znajduje się wanna, umywalka ,wc .Osobne przestronne  WC o pow. 2,5 m Sypialnia 1 (13m2) z oknem balkonowym  na stronę wschodnią .Sypialnia 2 (12m2) również z wschód z oknem balkonowym W cenie mieszkania jest również Komórka Lokatorska (3,3 m2)umiejscowiona w podziemiach pod budynkiem. Pomieszczenie to jest murowane z metalowymi drzwiami.Przyszły właściciel mieszkania ma prawo pierwokupu  miejsca parkingowego  w hali garażowej w podziemiach pod osiedlem w cenie 45 000 PLN Podsumowanie propozycji zakupu:-Bardzo praktyczny przestronny  taras z ogrodem ..Apartament wykończony bardzo gustownie z wysokiej jakości materiałów .- apartamentowiec z 2012 roku, zamknięte osiedle, - budynek z windą i bardzo ładnie utrzymanymi częściami wspólnymi i terenami zielonymi,- okna PCV, ściany gładzie, podłogi panele / terakota, Apartament idealny dla rodziny, do zamieszkania w zasadzie bez większych nakładów finansowych.- cena wywoławcza apartamentu 699000 PLN,,- miesięczne koszty względem administratora pełne opłaty  ok. 850  PLN, . Osiedle Nowe Polesie to zespół budynków wybudowanych przez Firmę Atal , zlokalizowanych w dzielnicy Polesie, pomiędzy ul. Pienistą i Falistą. Osiedle charakteryzuje , świetny standard wykończenia, dbałość o detale, ciekawie zaaranżowane miejsca dla najmłodszych. Całe osiedle jest ogrodzone, posiada ochronę oraz monitoring. Na terenie znajduję się plac zabaw i boisko trawiaste.Sama lokalizacja zapewnia świetne połączenia z innymi dzielnicami miasta, a sąsiedztwo osiedla "Retkinia", umożliwia dostęp do licznych sklepów, obiektów usługowych, przedszkoli itpBudynek  w którym znajduje się apartament jest szczególnie solidnie wykończony gdyż był wybudowany  jako budynek wzorcowy ,dlatego brak jest jakichkolwiek pęknięć itd. -Ściany zewnętrzne wykonane  z cegły ceramicznej (Porotherm) o grubości 24 cm dodatkowo ocieplone styropianem 12-15 cm .-Ściany konstrukcyjne żelbetonowe z cegły ceramicznej. W budynku jest winda, która łączy podziemny garaż i komórki lokatorskie z pozostałymi piętrami.Jeśli warunkiem zakupu nowej nieruchomości jest sprzedaż innej ,jako firma z wieloletnim doświadczeniem pomożemy ZBYĆ nieruchomość na korzystnych warunkach i dopilnujemy zgrania terminów.CENA DO NEGOCJACJI.JAKO FIRMA Z PONAD PIĘTNASTOLETNIM DOŚWIADCZENIEM W SPRZEDAŻY TEGO TYPU MIESZKAŃ JESTEŚMY W STANIE ZAGWARANTOWAĆ PEŁNĄ , BEZPIECZNĄ I SPRAWNĄ OBSŁUGĘ TRANSAKCJI . Dane o ofercie mogą odbiegać od stanu faktycznego. Biuro nie ponosi odpowiedzialności za niezgodność danych. Oferta może być w każdej chwili nieaktualna, prosimy o kontakt: Sylwester Lisiecki . tel: 501378617  Pełna oferta mieszkań  Oferta wysłana z programu dla biur nieruchomości ASARI CRM ()</t>
  </si>
  <si>
    <t>https://otodom.pl/pl/oferta/niepowtarzalny-apartament-z-ogrodem-ID4lyuc</t>
  </si>
  <si>
    <t>4lyuc</t>
  </si>
  <si>
    <t>2- pokojowy apartament z widokiem na Inę!</t>
  </si>
  <si>
    <t>Goleniów, Goleniów, goleniowski, zachodniopomorskie</t>
  </si>
  <si>
    <t>INWESTYCJA DEWELOPERSKA!Jedyna taka oferta w Goleniowie! Nowoczesny apartamentowiec w spokojnej części miasta, z widokiem na rzekę Inę!Inwestycja przemyślana w każdym calu, wykonana z materiałów najwyższej klasy, z wykorzystaniem najnowszych technologii. 54 mieszkania - 1, 2 i 3 pokojowe z placem zabaw oraz stacjami ładowania pojazdów elektrycznych. Mieszkania z tarasami lub przydomowymi ogródkami.Do budynku przynależne 68 miejsc postojowych: 52 w garażu podziemnym oraz 16 na zewnątrz. Nieruchomość w standardzie deweloperskim.Wykończenie mieszkania:	Gniazdka i łączniki firmy Legrand	C.O. gazowe z rozprowadzeniem podłogowym	Instalacja domofonowa z wideodomofonem	Instalacja TV satelitarnej i naziemnej	Instalacja internetowa światłowodowa	Podejścia wodne i kanalizacyjne	Okna ścienne 6 komorowe, 3 szybowe	Drzwi wejściowe antywłamaniowe	Posadzki - wylewka betonowa	Tynki gipsowe, zabudowy z płyt K-GOferowana nieruchomość to 2- pokojowe mieszkanie z balkonem (pow. 3,79 m2) znajdujące się na pierwszym piętrze budynku.  Mieszkanie jasne i przestronne. Powierzchnia użytkowa to ok. 47,38 m2, na którą składa się:	salon połączony z aneksem kuchennym - 25,85 m2,	pokój - 11,38 m2	łazienka z WC - 5,84 m2,	korytarz - 4,31 m2.Czynsz ok. 500 zł, uzależniony od metrażu mieszkaniaDoskonała lokalizacja, blisko ścisłego centrum miasta, zaledwie 800 m2 od galerii handlowej Mini Park, stacji PKP, Starostwa Powiatowego, z jednoczesną bliskością natury, w cichej i spokojnej okolicy, bez zgiełku miasta.  Uwaga! Pierwsze 15 mieszkań i 15 miejsc parkingowych oraz komórek lokatorskich w promocyjnej cenie!Podana cena jest ceną brutto!Kupujący zwolniony z opłaty podatku PCC - zakup tańszy u Notariusza o 2%! OFERTA BEZPOŚREDNIA! Klient Kupujący nie ponosi kosztów wynagrodzenia biura!Zadzwoń i dowiedz się więcej.Kontakt: Małgorzata Skoczylas: 530 855 012.  "Opis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</si>
  <si>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https://otodom.pl/pl/oferta/2-pokojowy-apartament-z-widokiem-na-ine-ID4jfgK</t>
  </si>
  <si>
    <t>4jfgK</t>
  </si>
  <si>
    <t>3 pokojowe mieszkanie na sprzedaż, os. Hutnicze</t>
  </si>
  <si>
    <t>Mint Property ma przyjemność zaprezentować mieszkanie na sprzedaż o powierzchni 65 m2 na os.Hutniczym. Nieruchomość znajduje się na pierwszym piętrze w sześciopiętrowym  bloku z lat 50 i składa się z:salonukuchni połączonej z jadalniąsypialniłazienkiprzedpokojugarderobyDo mieszkania  przynależy balkon oraz piwnica.Trzy lata temu przeprowadzono w nim generalny remont. Wymieniono instalację elektryczną oraz pion kanalizacyjno- sanitarny. Na ścianach zostały położone płyty gipsowo kartonowe, wykonano podwieszane sufity z oświetleniem halogenowym. Wymienione zostały posadzki: w pokojach panele AC6, zaś w kuchni, jadalni, korytarzu, łazience - płytki. W zabudowie kuchennej umieszczono mikrofal&amp;oacute;wkę, kuchenkę gazową, piekarnik oraz zmywarkę. W przedpokoju znajduje się pojemna szafa pax. W łazience umieszczono pralkę oraz nowoczesną suszarkę z pompą ciepła. W garderobie jest zabudowa wykonana typowo pod przechowywanie. Nieruchomość sprzedawana jest w pełni wyposażona i umeblowana. Lokalizacja:Mieszkanie usytuowane w otoczeniu zieleni w zabytkowej części Nowej Huty. Zaledwie 10 minut pieszo znajduje się Zalew Nowohucki. W pobliżu pełna infrastruktura: przedszkole, szkoły, ośrodek sportowy, sklepy spożywcze, restauracje oraz liczne punkty usługowe. Doskonałe połączenie komunikacyjne z całym miastem - przystanki tramwajowe i autobusowe "Struga" znajdują się od razu przy wyjściu z klatki. Szybki i łatwy dojazd do krakowskich uczelni: Akademia Wychowania Fizycznego - 11 min, Politechnika Krakowska - Wydział Mechaniczny - 11 min.Cena:685 000 PLN Zapraszam do konatktu i na prezentację nieruchomości.  Informacja dodatkowa:Niniejsze ogłoszenie jest wyłącznie informacją handlową i nie stanowi oferty w myśl art. 66, paragraf 1. Kodeksu Cywilnego</t>
  </si>
  <si>
    <t>https://otodom.pl/pl/oferta/3-pokojowe-mieszkanie-na-sprzedaz-os-hutnicze-ID4jzU5</t>
  </si>
  <si>
    <t>4jzU5</t>
  </si>
  <si>
    <t>M-3 po remoncie 1 piętro, loggia, Wzgórze Wolności</t>
  </si>
  <si>
    <t>Wzgórze Wolności, Bydgoszcz, kujawsko-pomorskie</t>
  </si>
  <si>
    <t>Dobre Nieruchomości polecają na sprzedaż mieszkanie o powierzchni  50,44 m2 z loggią, na 1 piętrze w bloku. Mieszkanie po  remoncie,  w pełni umeblowane na Wzgórzu Wolności.  Mieszkanie dwustronne, rozkładowe, bardzo dobrze doświetlone, składające się z:  - salonu o powierzchni  21 m2 z wyjściem na loggię - sypialni o powierzchni ok. 12 m2  - kuchni o powierzchni 9 m2  - łazienki o powierzchni 4 m2  - przedpokoju  - przynależnej piwnicy o powierzchni 4,85 m2.  Mieszkanie przeszło kapitalny remont w 2019 roku, w pełni umeblowane, do zamieszkania od zaraz.   Mieszkanie w bardzo dobrym stanie technicznym, czyste, do zamieszkania bez nakładów finansowych. Okna PCV, wymienione parapety, drzwi zewnętrze i wewnętrzne wymienione, zostały położone nowe instalacje elektryczne, wod -kan, grzejniki nowego typu. W pokojach na podłodze panele, na ścianach gładzie i miejscowo ozdobne tapety.  Ładna, czysta łazienka w białych płytkach, z prysznicem.  W kuchni na podłodze i w pasie roboczym nowoczesne gresy. Bardzo ładna zabudowa kuchenna wykonana pod wymiar, meble są w okleinie drewnianej. Duży przedpokój z miejscami na szafy.  Niezwykle funkcjonalny układ pomieszczeń, przestronne pokoje.   W mieszkaniu pozostaje pełne wyposażenie i umeblowanie, bardzo wygodne rozwiązanie dla inwestora.   Lokalizacja:  Mieszkanie znajduje się na Wzgórzu wolności, świetna lokalizacja dla osób którzy poruszają się komunikacją miejską, bardzo blisko do centrum. Duża ilość punktów usługowych, w pobliżu Zielone Arkady.   Zapraszam na prezentację  Sara Górniak  Dobre Nieruchomości  726 235 135</t>
  </si>
  <si>
    <t>https://otodom.pl/pl/oferta/m-3-po-remoncie-1-pietro-loggia-wzgorze-wolnosci-ID4lazi</t>
  </si>
  <si>
    <t>4lazi</t>
  </si>
  <si>
    <t>Atrakcyjne mieszkanie na Letnicy</t>
  </si>
  <si>
    <t>ul. Starowiejska, Letnica, Gdańsk, pomorskie</t>
  </si>
  <si>
    <t>Przedstawiamy Państwu dwupokojowe mieszkanie dostępne w ofercie nowoczesnego osiedla na Letnicy.Jest to idealna nieruchomość pod kredyt 2%.Mieszkanie ma 51,75 m2 powierzchni w której skład wchodzi: pokój dzienny (27,54 m2) wraz z aneksem kuchennym, łazienka (5,61 m2), sypialnia (12,84 m2) oraz taras (4,16 m2).Możliwość zakupu:-miejsca postojowego w hali garażowej 30 000 zł.Inwestycja znajduje się w pasie nadmorskim zaledwie 900 metrów w linii prostej od morza, w niewielkiej odległości od Parku Brzeźnieńskiego im. JJ. Haffnera. W 15 min pieszo dotrzemy stąd na plażę.Inwestycja to nowoczesny projekt uwzględniający parking podziemny, estetyczną zieleń oraz plac zabaw dla najmłodszych mieszkańców osiedla. Piękne tarasy zielone na dachach budynków to dodatkowy atut dla każdego mieszkańca.W dzielnicy działa pełna infrastruktura, sklepy, markety, piekarnia czy apteki. Mieszkańcom niczego nie brakuje, a dzielnica dopiero zaczęła się rozwijać.Aktualnie dzielnica Letnica jest jedną z najdynamiczniej rozwijających się części Gdańska, bardzo dobrze skomunikowana z centrum i jednocześnie gwarantuje szybki dojazd do głównych tras drogowych S-6, S-7 oraz Autostrady A1 dzięki bliskości arterii drogowych - Drogi Zielonej oraz Tunelu pod Martwą Wisłą.Korzystając z komunikacji miejskiej, sprawnie dostaniemy się z osiedla do innych dzielnic Gdańska, dworca głównego PKP oraz dworca głównego PKS. W odległości 1,5 km od osiedla znajduje się stadion piłkarski Polsat Plus Arena oraz kompleks wystawienniczo-kongresowy AmberExpo, co pozwoli mieszkańcom osiedla uczestniczyć w wielu imprezach, wydarzeniach kulturalnych i sportowych.W dzielnicy planowany jest szereg inwestycji, w tym m.in. budowa Nautilus Gdańsk - nowoczesnego obiektu edukacyjno-rozrywkowego z multimedialnym oceanarium, gastronomią, usługami oraz centrum medycznym i spa.Nieruchomość jest z rynku pierwotnego w stanie deweloperskim.Prezentowane zdjęcia wnętrz są wizualizacjami architekta z którym współpracujemy._Zapraszamy do kontaktu w celu uzyskania więcej informacji oraz umówienia się na prezentację.Asystentka biura nieruchomości: +4████████0 678Możemy również pomóc w kredytowaniu. Skontaktuj się z nami i zapytaj o szczegóły.Pomimo, iż licencjonowani Doradcy Sweda Housing Nieruchomości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</si>
  <si>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https://otodom.pl/pl/oferta/atrakcyjne-mieszkanie-na-letnicy-ID4iNEo</t>
  </si>
  <si>
    <t>4iNEo</t>
  </si>
  <si>
    <t>Mieszkanie przy Pkp</t>
  </si>
  <si>
    <t>Żyrardów, żyrardowski, mazowieckie</t>
  </si>
  <si>
    <t>Mieszkanie P1.11Termin realizacji wiosna 2024r.:: O mieszkaniu- pokój dzienny + kuchnia 18,43m2- łazienka 3,91 m2- korytarz 3,36 m2- balkon 3,02 m2:: Krótki opis- Kameralny budynek mieszkalny składający się z 19 mieszkań położony w ścisłym centrum Żyrardowa przy ul. Piotra Wysockiego 16.- Dojście do stacji PKP zajmuje 1 minutę przez park i czas dojazdu pociągiem do centrum Warszawy wynosi 30 minut.- Budynek położony obok parku w centrum miasta oraz licznych placówek handlowych w tym targu miejskiego.:: Dla kogo?- Idealne mieszkanie dla pary, dla singla jak również dla osób które chcą potraktować mieszkanie jako inwestycje pod wynajem.Możliwość dokupienia miejsca postojowego na terenie zamkniętym + 25.000 złotychOferta wysłana z programu dla biur nieruchomości ASARI CRM ()</t>
  </si>
  <si>
    <t>https://otodom.pl/pl/oferta/mieszkanie-przy-pkp-ID4lXSG</t>
  </si>
  <si>
    <t>4lXSG</t>
  </si>
  <si>
    <t>3 niezależne pokoje na Śródmieściu!</t>
  </si>
  <si>
    <t>ul. Śluza, Śródmieście, Gdańsk, pomorskie</t>
  </si>
  <si>
    <t>Sprzedam mieszkanie 3 pokojowe o powierzchni 51 m2 w kamienicy na gdańskim Śródmieściu. Kamienica ma wymieniony dach, odświeżoną elewację oraz klatkę schodową.Mieszkanie składa się z trzech osobnych pokoi, kuchni, łazienki, dwóch przedpokoi.Znajduje się na parterze.Do mieszkania przynależy duża piwnica i strych.Przed budynkiem znajduje się monitorowane miejsce parkingowe.Zalety nieruchomości:10 minut pieszo do Fontanny Neptuna20 minut autem do plaży2 minuty do przystanku autobusowego2 minuty do biedronki i pełnej infrastrukturyApartament jest w pełni wyposażony, do wprowadzenia od zarazBudynek mieści się obok Centrum Sztuki Współczesnej. W pobliżu znajduje się również park, siłownia na świeżym powietrzu oraz rzeka.Lokal nadaje się zarówno do zamieszkania jak i pod inwestycje ze względu na świetną lokalizacje.Czynsz miesięczny wynosi około 300złZadzwoń do nas aby zyskać:- Czas - przeanalizujemy rynek pod kątem Twoich kryteriów ZA CIEBIE.- Pieniądze - znamy ceny transakcyjne podobnych nieruchomości.- Spokój - nasz doradca kredytowy pomoże Tobie wybrać i uzyskać kredyt w jednym z 15 banków ZA DARMO.- Pewność - nasi specjaliści przeprowadzą Cię przez cały proces zakupu lub sprzedaży nieruchomości.- Dyskrecję - mamy dostęp i doświadczenie w sprzedaży ofert „spod lady".- Uśmiech - mamy 98% zadowolonych Klientów.- Partnera biznesowego - wielu z naszych Klientów współpracuje z nami długoterminowo.Zostań w dobrych rękach, skontaktuj się z nami pod numerem 730 800 273 (Oddział Gdańsk) lub 730 600 311 (Oddział Gdynia) i zacznij zyskiwać."Wszystkie przedstawione powyżej informacje dotyczące nieruchomości oraz wskazane ceny mają jedynie charakter informacyjny (poglądowy) i nie stanowią oferty handlowej w rozumieniu art. 66 par. 1 Kodeksu Cywilnego"</t>
  </si>
  <si>
    <t>https://otodom.pl/pl/oferta/3-niezalezne-pokoje-na-srodmiesciu-ID4l0Cz</t>
  </si>
  <si>
    <t>4l0Cz</t>
  </si>
  <si>
    <t>Na Sprzedaż Mieszkanie 4-Pokojowe Na Zakolu-</t>
  </si>
  <si>
    <t>Na sprzedaż mieszkanie 4-pokojowe na 9 pietrze w 11 piętrowym wieżowcu. Przestronne okna wychodzą na obie strony wschód i zachód,jak i przestronne korytarze,jeden pokój z balkonem. Mieszkanie bardzo ciepłe, srodkowe wiec trzyma ciepło. W mieszkaniu byl przeprowadzony remont. Wymieniona instalacja elektryczna i kanalizacyjna. Ściany gipsowane, na podlogach panele i płytki, ściany odświeżone. Do mieszkania przynależy piwnica, oraz wózkownia na półpiętrze.  / Aktualnie trwa remont klatki schodowej i wymiana windy, która będzie dostosowana dla osób niepełnosprawnych - wejście do windy z poziomu 0 zarówno z zewnątrz budynku jak i wewnątrz.*Mozliwa zamiana na dom z dopłatą.Serdecznie zapraszam do kontaktu w celu umówienia prezentacji Kamila Moczyńska 500 371 166Przed prezentacją większości nieruchomości konieczne jest uzyskanie w Naszym biurze statusu klienta poszukującego co odbywa się poprzez podpisanie niezobowiązującej do niczego (w przypadku nie podejmowania decyzji o zakupie czy najmie zaprezentowanej nieruchomości) umowy pośrednictwa na nabycie czy najem nieruchomości. Wyjątkiem jest tutaj sytuacja gdy sprzedający poza swoją prowizją zdecydował się pokryć również prowizje przewidzianą do zapłaty przez kupującego. Kontaktując się poza informacjami związanymi z nieruchomością koniecznie zapytaj o współpracę z biurem nieruchomości, co w ramach współpracy zapewniamy, o umowę pośrednictwa i kwestie związane z prowizją. Razem z właścicielami zwracamy się z prośbą o uszanowanie prywatności i nie przybywanie na miejsce bez zapowiedzi i opiekuna z biura nieruchomości, nie chodzenie po domach, szukanie i czy o zgrozo wypytanie sąsiadów gdzie jest dokładnie ta nieruchomość na sprzedaż, tylko umawianie się z upoważnionym przez właścicieli pośrednikiem/agentem nieruchomości. ....ZE WZGLĘDÓW BEZPIECZEŃSTWA ORAZ USTAWY O OCHRONIE DANYCH OSOBOWYCH, A CZASEM NA PROŚBĘ SPRZEDAJĄCEGO ZAZWYCZAJ NIE PODAJEMY DO PUBLICZNEJ WIADOMOŚCI DOKŁADNEJ LOKALIZACJI NIERUCHOMOŚCI A DOPIERO NA OSOBISTYM SPOTKANIU LUB PREZENTACJI OFERTY. Zapraszamy też na naszą stronę Czas Nieruchomości, gdzie znajdziecie Państwo ponad 500 ofert z regionu działania naszego biura nieruchomości.</t>
  </si>
  <si>
    <t>https://otodom.pl/pl/oferta/na-sprzedaz-mieszkanie-4-pokojowe-na-zakolu-ID4ltRC</t>
  </si>
  <si>
    <t>4ltRC</t>
  </si>
  <si>
    <t>3 pokojowe mieszkanie/centrum/parking za szlabanem</t>
  </si>
  <si>
    <t>ul. Złotoryjska, Legnica, dolnośląskie</t>
  </si>
  <si>
    <t>Przedstawiamy ofertę sprzedaży przytulnego, słonecznego mieszkania 3 pokojowego, położonego w ścisłym centrum w Legnicy. Lokal mieszkalny ma powierzchnię 46,30m2, znajduje się na IV piętrze w niskim budynku czteropiętrowym.  Mieszkanie składa się z pokoju dziennego połączonego z aneksem kuchennym, dwóch niezależnych sypialni, łazienki oraz przedpokoju.  Jest to idealna propozycja do zamieszkania, jak również pod kątem inwestycyjnym. Mieszkanie jest 2 lata po generalnym remoncie. Wymieniona instalacja elektryczna, na ścianach gładzie, podłogi w jednolitych panelach. Atuty mieszkania: - atrakcyjna lokalizacja, - przychodnia, gabinety lekarzy specjalistów, - bardzo dobra komunikacja, - pełne zaplecze handlowo-usługowe, - ogrzewanie miejskie, - miejsce parkingowe za szlabanem   Czynsz wynosi ok 380zł  Do mieszkania przynależy piwnica.  Stan budynku – bardzo dobry, budynek po termomodernizacji. Zapraszam na spotkanie. Chętnie udzielę wszystkich niezbędnych informacji oraz przedstawię atuty i bogate możliwości wskazanej nieruchomości.Szczegóły oferty: INVESTOR NIERUCHOMOŚCI Oddział w Legnicy, al. Piłsudskiego 50.  Izabela Krotla, Tel.788 169 287 Bezpieczna transakcja za pośrednictwem INVESTOR NIERUCHOMOŚCI :- darmowa pomoc przy uzyskaniu najkorzystniejszego kredytu hipotecznego na rynku- preferencyjne warunki opłat i terminy u Notariusza- pełne bezpieczeństwo kupna i sprzedaży w oparciu o polisę OC PZU- doradztwo prawne- kompleksowe wsparcie agenta podczas całego procesu transakcji Wszystkie nasze oferty są dokładnie sprawdzane pod względem formalno-prawym.Przeprowadzając transakcję w naszym biurze masz pewność, że będziesz w pełni bezpieczny.    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</si>
  <si>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https://otodom.pl/pl/oferta/3-pokojowe-mieszkanie-centrum-parking-za-szlabanem-ID4lP4y</t>
  </si>
  <si>
    <t>4lP4y</t>
  </si>
  <si>
    <t>Apartamenty KASPROWICZA | apartament C410</t>
  </si>
  <si>
    <t>ul. Jana Kasprowicza, Kołobrzeg, kołobrzeski, zachodniopomorskie</t>
  </si>
  <si>
    <t>Przedmiotem ogłoszenia jest 2-pokojowy  apartament  położony na 4 piętrze w NOWO POWSTAJĄCEJ inwestycji Apartamenty KASPROWICZA w Kołobrzegu.
Idealna lokalizacja - strefa nadmorska. 400 m do plaży !
To przestronny lokal o powierzchni 42,57 m kw.
Lokal w stanie developerskim. Właściciel sam decyduje o wykończeniu lokalu wg własnej aranżacji. Istnieje możliwość wykończenia lokali "pod klucz". Lokale wyposażone w klimatyzację w cenie lokalu.
Budynek ze strefą basenu, saun, sali zabaw dla dzieci, siłownią. Dodatkowo planowana jest restauracja oraz gabinety SPA &amp;amp; WELLNESS.
Cechą inwestycji jest wysoki standard i świetna lokalizacja.
O inwestycji:
PUH AKCES Nieruchomości od 2018 roku realizuje przedsięwzięcie developerskie -  APARTAMENTY KASPROWICZA zlokalizowane w strefie uzdrowiskowej Kołobrzegu przy ul. Kasprowicza. 
Zamierzeniem inwestycyjnym jest wybudowanie kompleksu trzech budynków z pełnym zapleczem rekreacyjnym w postaci basenu, jacuzzi, saun, sauny solnej, siłowni, sali zabaw dla dzieci. Dodatkowo  właściciele lokali lub ich goście będą mogli korzystać z gabinetów przeznaczonych pod usługi Welles &amp;amp; SPA  oraz restauracji.
APARTAMENTY KASPROWICZA  to miejsce dedykowane osobom, które poszukując ciszy i relaksu w bliskim otoczeniu natury nie chcą rezygnować z komfortu i dostępności  atrakcji. Projekt inwestycji łączy w sobie wyjątkową lokalizację i dopracowaną koncepcję architektoniczną.
APARTAMENTY KASPROWICZA posiadają idealną lokalizację. Park nadmorski z szeroką plażą znajduje się w odległości 400 m. Bliskość morza i plaży oraz  dostęp do ścieżek rowerowych stwarza warunki do odpoczynku i aktywności fizycznej. Centrum miasta znajduje się w odległości 1,5 km. Do dworca PKP jest 500 m. Inwestycja zlokalizowana została w odległości kwadransa spaceru do molo oraz portu – głównej kołobrzeskiej promenady. Blisko, a jednocześnie daleko od skupisk turystów, ruchu miejskiego  czyni miejsce inwestycji wyjątkowym.
Zaletami naszej inwestycji jest pełna dowolność przyszłych  właścicieli apartamentów w zakresie sposobu ich wykorzystania:
o   brak wiążących, długoterminowych umów
o   pełna swoboda w wyborze operatora
o   możliwość wykorzystania lokali na cele własne, mieszkaniowe
o   brak jakikolwiek ograniczeń w korzystaniu z zakupionego lokalu, brak narzuconych  tzw. pobytów właścicielskich
Część rekreacyjna w zakresie części basenu (jacuzzi, sauny,sauny solna), siłowni oraz sali zabaw dla dzieci będzie częścią wspólną budynku C. To właściciele poszczególnych lokali będą o niej w pełni decydować. Będą mieć do niej pełny i swobodny dostęp. Koszty utrzymania kondygnacji parteru w części rekreacyjnej będą wkalkulowane w czynsze eksploatacyjne ponoszone na rzecz wspólnoty mieszkaniowej.
W planowanym etapie C dostępne będą lokale o powierzchni : od 29 do 54 m2   .
Przemyślane rozkłady apartamentów pozwalają na swobodną aranżację i optymalne wykorzystanie przestrzeni. Każdy lokal wyposażony jest w balkon, który obejmie całą długość lokalu. Duże przeszklenia (witryny), szklane balustrady sprawią, że wnętrza lokali będą jasne i przestronne. Apartamenty będą przekazywane w stanie developerskim, dając pełną swobodę nabywcą na ich wykończenie. Będzie istniała możliwość wykończenia lokali „pod klucz” na podstawie osobnej umowy i ustaleń.
Wraz z apartamentem będzie istniała możliwość zakupu miejsca postojowego w hali garażowej lub miejsca zewnętrznego.
W odległości 300 m od inwestycji zlokalizowane są dwa ogólnodostępne parkingi miejskie (płatne), na których z powodzeniem można zostawić samochód.</t>
  </si>
  <si>
    <t>https://otodom.pl/pl/oferta/apartamenty-kasprowicza-apartament-c410-ID4chSL</t>
  </si>
  <si>
    <t>4chSL</t>
  </si>
  <si>
    <t>Mieszkanie, 95,03 m², Kraków</t>
  </si>
  <si>
    <t>Mieszkanie w doskonałej lokalizacji przy ul. Józefa, położone w trzypiętrowej,  XVIII wiecznej kamienicy, w sercu Kazimierza! Bardzo ładna adaptacja poddasza, pow. po podłodze ok 115,1 m2 (powierzchnia użytkowa 95,03m2). Mieszkanie po kapitalnym remoncie. Składa się z 4 niezależnych pokoi, jadalni połączonej z aneksem kuchennym, łazienki i wc, antresoli.  Mieszkanie bardzo jasne, przestronne, funkcjonalny rozkład mieszkania. Wysokość pomieszczeń od 1,58 do 3,32. Kamienica w bardzo dobrym stanie (wpisana do rejestru zabytków), po remoncie, wymienione wszystkie instalacje, nowy dach.  Zainstalowany jest domofon oraz instalacja TV, internetowa, telefoniczna, alarmowa. Centralne ogrzewanie na gaz- zainstalowany piec dwufunkcyjny. Na podłogach w pokojach – wykładzina , a w jadalni – parkiet. Łazienka wykończona , duża ( około 10 m2) , jasna , wyposażona w WC, wannę, brodzik i w umywalkę. W przedpokoju położone są płytki ceramiczne. Drzwi i stolarka okienna drewniana. Wszystkie media posiadają własne opomiarowanie.ZAPRASZAM NA PREZENTACJĘ NIERUCHOMOŚCI.WIĘCEJ INFORMACJI:Janusz Pańczykkom: 605-572-355kom. 730-800-163e-mail: Kraków, ul. Lubicz 27 p. 38</t>
  </si>
  <si>
    <t>https://otodom.pl/pl/oferta/mieszkanie-95-03-m-krakow-ID46nZp</t>
  </si>
  <si>
    <t>46nZp</t>
  </si>
  <si>
    <t>Mieszkanie, 30 m², Konstancin-Jeziorna</t>
  </si>
  <si>
    <t>Konstancin-Jeziorna, Konstancin-Jeziorna, piaseczyński, mazowieckie</t>
  </si>
  <si>
    <t xml:space="preserve">Kawalerka, o pow 30 m2, 3p/3 piętrowym apartamentowcu z 2009 roku. Winda.Pokój z aneksem kuchennym o pow. 23 m2 z balkonem. Podłoga panele.Kuchnia w pełni wyposażonaPrzedpokój z dużą szafą wnękową.Łazienka wraz z WC, wanna, miejsce na pralkę. Płytki i gres na podłodze.Jedno miejsce parkingowe w garażu podziemnymNa terenie osiedla: kompleks rekreacyjny - basen, sauna sucha, fitness, duży ogród, a w nim 2 wiaty grillowe i plac zabaw dla dzieci. Cały teren ogrodzony, chroniony i monitorowany. W odległości 50 m mini centrum handlowe. Supermarket, apteka, pralnia. Własność z KW. Cena ofertowa obejmuje również miejsce parkingowe. Pośrednik odpowiedzialny zawodowo za wykonanie umowy pośrednictwa: Piotr Sołtan (licencja nr: 3154)-Niniejsze ogłoszenie jest informacją handlową i nie może być uznawane za ofertę w rozumieniu art. 66 Kodeksu Cywilnego. </t>
  </si>
  <si>
    <t>https://otodom.pl/pl/oferta/mieszkanie-30-m-konstancin-jeziorna-ID4dovj</t>
  </si>
  <si>
    <t>4dovj</t>
  </si>
  <si>
    <t>Mieszkanie w Lubsku</t>
  </si>
  <si>
    <t>Duże mieszkanie o pow. 83,90 mkw  w centrum Lubska.
Mieszkanie składa się z:
-3 pokoi (22 mkw, 17 mkw, 14 mkw 
- kuchni 11 mkw 
- łazienki 6  mkw 
- WC 4  mkw 
- garderoba 4,00 mkw 
 -przedpokoju 8 mkw
Mieszkanie znajduje się na 1 piętrze w kamienicy w centrum miasta (deptak, okolice baszty).
Przynależy strych i piwnica.
Lokal częściowo odświeżony,  pozostała część wymaga remontu i zaprojektowania wnętrz wg własnego pomysłu i potrzeb. Ogrzewanie gazowe /piec II funkcyjny. Mieszkanie środkowe, ciepłe i słoneczne, dwustronne. Wysokość pomieszczeń 2,60 m.
Kamienica po remoncie. 
SERDECZNIE ZAPRASZAM NA PREZENTACJĘ.CENA DO NEGOCJACJI. Aktualna oferta nieruchomości na: ZAPRASZAM PO SZCZEGÓŁY DO BIURA konsultant: Dorota Krakowiak mobile: (+48) 515761377 e-mail :</t>
  </si>
  <si>
    <t>https://otodom.pl/pl/oferta/mieszkanie-w-lubsku-ID4mpAG</t>
  </si>
  <si>
    <t>4mpAG</t>
  </si>
  <si>
    <t>3-pokojowe mieszkanie w centrum dla rodziny</t>
  </si>
  <si>
    <t>Polecam na sprzedaż 3-pokojowe mieszkanie mieszczące się w centrum miasta, idealnie dla rodziny.Lokal usytuowany jest na drugim piętrze w niskim bloku przy ul. 3 Maja w Świdniku.Na powierzchnię użytkową 48m2 składają się:- trzy oddzielne pokoje- łazienka z WC- przedpokój- kuchnia- duży balkonDodatkowe informacje:- Ogrzewanie z sieci miejskiej- Przynależna duża piwnica- Czynsz w wysokości 350 zł- Lokal zlokalizowany w centrum miasta- Ekspozycja okien na wschód oraz zachód- Częściowo wymieniona instalacja elektryczna- Odrębna własność - Cena wynosi 339 000 zł i podlega negocjacjiIstnieje możliwość przerobienia mieszkania i zrobienia salonu z aneksem wraz z dwoma oddzielnymi pokojami.Cena do negocjacjiWięcej informacji udzielę telefonicznieZapraszam na prezentację :)  ::oferta eksportowana z programu mediaRent::</t>
  </si>
  <si>
    <t>https://otodom.pl/pl/oferta/3-pokojowe-mieszkanie-w-centrum-dla-rodziny-ID4gafj</t>
  </si>
  <si>
    <t>4gafj</t>
  </si>
  <si>
    <t>Mieszkanie willowe + przyziemie + ogród. Wys. std.</t>
  </si>
  <si>
    <t>ul. Mazepy, Zawidawie, Psie Pole, Wrocław, dolnośląskie</t>
  </si>
  <si>
    <t>Opiekun oferty:Emilian JanuszTel: 601-102-601Podstawowe informacje:Niezależne mieszkanie na 1 piętrze dwulokalowego domu wolnostojącego wraz z zaadaptowaną kondygnacją piwniczną oraz ogrodem o pow. 250 m2. Całość po kapitalnym remoncie wewnątrz i zewnątrz.Powierzchnia:Po przeprowadzonym remoncie kapitalnym i wykonaniu prac adaptacyjnych w budynku nie dokonano szczegółowej inwentaryzacji powierzchni użytkowych piętra oraz poziomu piwnic. Według deklaracji właścicieli łączna powierzchnia użytkowa obu kondygnacji wynosi 125 m2.. Istnieje możliwość wykonania samodzielnego pomiaru przez zainteresowanych Klientów. Zgodnie z księgą wieczystą, według stanu sprzed remontu i adaptacji, pole powierzchni użytkowej lokalu wraz z powierzchnią pomieszczeń przynależnych wynosi 65 m2. Wysokość pomieszczeń na piętrze to 2,75 cm, a średnia wysokość poziomu piwnic to ok. 1.8 m2Stan techniczny:Nieruchomość po kapitalnym remoncie wewnątrz, zewnątrz oraz ogrodu. Wewnątrz, nowe podłogi, gładź, zabudowa kuchenna ze sprzętem agd oraz łazienka. Okna pcv. Zachowano oryginalną, ale poddano renowacji, przedwojenną stolarkę drzwiową. Futryny, drzwi, klamki oraz zamki zostały profesjonalnie odświeżone. Wymieniono na nową instalację wodno-kanalizacyjną, gazową oraz centralnego ogrzewania oraz częściowo elektryczną. W części piwnicznej położono płytki, pomalowano ściany i zamontowaną instalację centralnego ogrzewania. Dom ogrzewany jest piecem gazowym dwufunkcyjnym (co i ciepła woda). Zewnątrz wykonano nową elewację, wiatrołap, ogrodzenie, taras, trawniki i zadaszoną altanę wypoczynkową. Lokalizacja:Dom położony przy jednej z cichych uliczek w pobliżu zielonych terenów rekreacyjnych nad Widawą. Zainteresowane osoby zapraszam serdecznie do obejrzenia nieruchomości.Opiekun oferty:Emilian JanuszTel: 601-102-601</t>
  </si>
  <si>
    <t>https://otodom.pl/pl/oferta/mieszkanie-willowe-przyziemie-ogrod-wys-std-ID4j7n6</t>
  </si>
  <si>
    <t>4j7n6</t>
  </si>
  <si>
    <t>Na sprzedaż mieszkanie 65,4 m², m.Niwiska</t>
  </si>
  <si>
    <t>❗ WYNAGRODZENIE BIURA POKRYWA WŁAŚCICIEL NIERUCHOMOŚCI ❗Na sprzedaż prezentujemy Państwu nieruchomość położoną we wsi Niwiska, w gminie Nowogród Bobrzański, w powiecie zielonogórskim, nieopodal większych miast tj. Nowogród Bobrzański (22 km), Zielona Góra (17 km) czy Żagań (30 km).Mieszkanie znajduje się na parterze jednopiętrowego bloku i wraz z przylegającymi pomieszczeniami gospodarczymi ma powierzchnię 65,4 m². Składa się z jednej sypialni, salonu połączonego z aneksem kuchennym, łazienki oraz pomieszczenia gospodarczego i kotłowni. Mieszkanie wymaga remontu, jednakże posiada duży potencjał, dzięki czemu można z niego stworzyć bardzo przytulne i komfortowe mieszkanie. Obecny układ mieszkania można zmienić wg swoich indywidualnych potrzeb np. przenosząc kuchnię możemy stworzyć dwa niezwykle przestronne pokoje. W 2009 roku zostały wydane warunki zabudowy na rozbudowę istniejącego budynku mieszkalnego, co stanowi dodatkową możliwość powiększenia mieszkania. Wszystkie pomieszczenia są widne. Okna z przodu budynku skierowane są na północny-zachód, tylne zaś na południowy-wschód. Właściciele pozostawiają w mieszkaniu część umeblowania i sprzęt AGD:- kuchnia: meble w zabudowie, zmywarka, kuchenka gazowa, okap;- sypialnia: łóżko, sofa, biurko oraz komoda z szafą;- łazienka: kabina prysznicowa, umywalka, WC, szafka pod umywalką; - przedpokój: duża szafa oraz półki. Przy bloku znajduje się ogród oraz taras, co umożliwia wypoczynek na świeżym powietrzu. Teren jest ogrodzony, a nasadzenia wokół budynku chronią latem przed nadmiernym nagrzewaniem się mieszkania. Istnieje możliwość montażu dodatkowego źródła ogrzewania lub chłodzenia w postaci klimatyzacji, z umiejscowieniem zewnętrznym. Wszystkie okna w mieszkaniu PCV, drzwi zewnętrzne antywłamaniowe. Mieszkanie ogrzewane jest piecem centralnym (drzewo, węgiel, pellet) oraz dodatkowo dostępny jest bojler elektryczny. Nieruchomość posiada wszelkie media: prąd, wodę, szambo betonowe, które jest regularnie opróżniane (co 2 miesiące). Świadectwo energetyczne jest w trakcie realizacji. Nieruchomość idealnie nadaje się dla osób, które cenią sobie spokojne życie na wsi, ale jednocześnie chcą mieć łatwy dostęp do większych miastBlok znajduje się w spokojnej okolicy, w pobliżu miejscowego sklepu, szkoły podstawowej z oddziałem przedszkolnym oraz przystanek PKS, z którego można dostać się do Żagania (przez Urzuty oraz Kotowice). Do najbliższego supermarketu mieszkańcy mają ok. 10 km. We wsi znajdują się liczne malownicze zabytki oraz Ochotnicza Straż Pożarna, sala eventową.  _➡️ W celu uzyskania dodatkowych informacji zapraszamy do kontaktu oraz zachęcamy do zobaczenia tej nieruchomości na żywo, podczas bezpłatnej i niezobowiązującej prezentacji.➡️ DO WSPÓŁPRACY ZAPRASZAMY AGENTÓW INNYCH BIUR NIERUCHOMOŚCI. Agent prowadzący ofertę:Patryk Kujawińskitel:+4████████8 655e-mail: RE/MAX Speedwayul. Sowińskiego 30A65-419 Zielona Góratel: (68) 418 64 60e-mail: _Nota prawna:Informacje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art.66 i następnych KC. Informacja przekazana przez agenta / właściciela biura uważana jest za dokładną i rzetelną, ale nie jest gwarantowana i powinna być niezależnie zweryfikowanaW przypadku tej oferty wynagrodzenie naszego biura pokrywa właściciel nieruchomości. Opis oferty zawarty na stronie internetowej sporządzany jest na podstawie oględzin nieruchomości oraz informacji uzyskanych od właściciela, może podlegać aktualizacji i nie stanowi oferty określonej w art. 66 i następnych K.C.Oferta wysłana z programu dla biur nieruchomości ASARI CRM ()</t>
  </si>
  <si>
    <t>https://otodom.pl/pl/oferta/na-sprzedaz-mieszkanie-65-4-m-m-niwiska-ID4lXz5</t>
  </si>
  <si>
    <t>4lXz5</t>
  </si>
  <si>
    <t>Mieszkanie w cichej okolicy!</t>
  </si>
  <si>
    <t>Mińsk Mazowiecki, miński, mazowieckie</t>
  </si>
  <si>
    <t>Do sprzedania przestronne, słoneczne mieszkanie o powierzchni 51,1m2, usytuowane na II piętrze bloku mieszkalnego w Mińsku Mazowieckim przy ul. Sosnkowskiego. Mieszkanie z ogromnym potencjałem, bardzo słoneczne, do własnej aranżacji, do wejścia i zamieszkania od zaraz. Świetne pod inwestycję.Rozkład: duży salon z widokiem na zieleń, sypialnia, oddzielna i widna kuchnia, łazienka z wc oraz przedpokój.Na podłogach parkiet (do odświeżenia) Okna pcv (wychodzące na wschód i zachód)  Do mieszkania przynależy spora piwnica. Miejsca parkingowe pod blokiem dla mieszkańców.Bardzo dobra lokalizacja, cicha i spokojna okolica. Teren wokół bloku zadbany, dużo zieleni. W pobliżu szkoła, przedszkola, przychodnia, apteka, sklepy oraz inne punkty handlowo-usługowe. Dobry dojazd w kierunku Warszawy: stacja PKP w odległości ok 13 min spacerem, przystanek autobusowy ok 3min (komunikacja miejska darmowa dla mieszkańców miasta). Duży kompleks leśny ze ścieżkami do spacerowania.Cena do negocjacji!!!!Serdecznie Polecamy!!!!Zapraszamy do obejrzenia. Po kontakcie telefonicznym, informujemy o szczegółach oferty.Doradcy klienta:  Agnieszka Gańko, tel. 734-866-355 mail: Oferta wysłana z programu dla biur nieruchomości ASARI CRM ()</t>
  </si>
  <si>
    <t>https://otodom.pl/pl/oferta/mieszkanie-w-cichej-okolicy-ID4gFEg</t>
  </si>
  <si>
    <t>4gFEg</t>
  </si>
  <si>
    <t>4 Pokoje Na Wysokim Parterze 80,2 M2</t>
  </si>
  <si>
    <t>ul. Rumiankowa, Zielone Wzgórza, Białystok, podlaskie</t>
  </si>
  <si>
    <t>Tylko w Biurze Premium!Zapraszamy na prezentację 4 pokojowego mieszkania mieszczącego się na parterze IV - piętrowego bloku z płyty po termomodernizacji położonego przy ul. Rumiankowej w Białymstoku.W skład mieszkania o powierzchni 80,2 m² wchodzą:- salon z wyjściem na przestronny balkon i zejściem do ogródka- 2 sypialnie- pokój z aneksem kuchennym,- łazienka,- WC- przestronny korytarz.Do mieszkania przynależy piwnica.Mieszkanie do adaptacji. Wyremontowane WC, ściany: gładź, glazura, boazeria, podłogi: terakota, mozaika, okna PCV.Osiedle przyjazne rodzinom, ze świetną infrastrukturą. W okolicy centrum handlowe, LIDL, sklepiki osiedlowe, szkoła, przedszkole, przychodnia, przystanki autobusowe i wiele innychSerdecznie zapraszamAnna Karlińska606 163 921Ogłoszenie nie stanowi oferty handlowej w rozumieniu Kodeksu Cywilnego, treść ma jedynie charakter informacyjny.Przedstawione wizualizacje oraz zdjęcia mają charakter poglądowy i stanowią wyłącznie materiał pomocniczy, ułatwiający zorientowanie się w ogólnym wyglądzie oferowanej nieruchomości.Lokal w świetnej lokalizacji z dużą ilością sklepów, punktów usługowych i przystanków w zasięgu ręki. Idealny do odremontowania i zamieszkania lub pod wynajem (osiedle jedno z najczęściej poszukiwanych).Serdecznie zapraszamAnna Karlińska606 163 921Ogłoszenie nie stanowi oferty handlowej w rozumieniu Kodeksu Cywilnego, treść ma jedynie charakter informacyjny.Przedstawione wizualizacje oraz zdjęcia mają charakter poglądowy i stanowią wyłącznie materiał pomocniczy, ułatwiający zorientowanie się w ogólnym wyglądzie oferowanej nieruchomości.</t>
  </si>
  <si>
    <t>https://otodom.pl/pl/oferta/4-pokoje-na-wysokim-parterze-80-2-m2-ID4lLkO</t>
  </si>
  <si>
    <t>4lLkO</t>
  </si>
  <si>
    <t>3 oddzielne pokoje na Czubach, od zaraz.</t>
  </si>
  <si>
    <t>ul. Perłowa, Czuby Południowe, Lublin, lubelskie</t>
  </si>
  <si>
    <t>Polecam trzypokojowe mieszkanie o powierzchni 59,7m2, zlokalizowane w niskim bloku przy ul. Perłowej.W skład mieszkania zaliczamy:- słoneczny salon z dużym balkonem (24m2),- sypialnia (11,3m2),- sypialnia (7,4m2),- kuchnia (6,1m2),- łazienka (1,8m2),- WC,- piwnica (4,58m2).Dodatkowe cechy:- ogrzewanie i ciepła woda z sieci miejskiej,- piętro 4/4,- remont dachu i ocieplenie budynku wykonane 7 lat temu,- dwustronne,- doskonała komunikacja z centrum miasta,- ciche osiedle z doskonałą infrastrukturą,- wolne od zaraz.Polecam oraz zapraszam na prezentacje.W naszej ofercie posiadamy podobne nieruchomości.Niniejsze ogłoszenie nie stanowi oferty w rozumieniu Kodeksu Cywilnego i ma charakter wyłącznieinformacyjny.Czy wiesz że:- możemy przygotować dla Ciebie prezentację on-line nieruchomości,- możemy z Tobą przeprowadzić rozmowę Video,- możesz z nami podpisać umowę pośrednictwa on-line,- możesz u nas porozmawiać z doradcą kredytowym.Zapraszamy do współpracyZESPÓŁ 4TE PIĘTROOferta wysłana z programu dla biur nieruchomości ASARI CRM ()</t>
  </si>
  <si>
    <t>https://otodom.pl/pl/oferta/3-oddzielne-pokoje-na-czubach-od-zaraz-ID4m9os</t>
  </si>
  <si>
    <t>4m9os</t>
  </si>
  <si>
    <t>3-pokojowe mieszkanie na zielonej Porębie</t>
  </si>
  <si>
    <t>ul. Bursztynowa, Czuby Południowe, Lublin, lubelskie</t>
  </si>
  <si>
    <t>Sprzedajemy 3-pokojowe przestronne i słoneczne (okna od południa i wschodu) mieszkanie o powierzchni 68,01 m2 na os. Poręba (Czuby). Składa się z następujących pomieszczeń:- pokój dzienny I: 21,01 m2- pokój dzienny II: 15,5 m2- sypialnia: 11 m2- kuchnia: 8,5 m2- łazienka: 4,5 m2- toaleta: 1,5 m2- przedpokój: 6 m2- balkon: 7 m2.Do mieszkania przynależą:- piwnica: 5,5 m2- tzw. wózkownia (to samo piętro, na rowery, wózki itd.)NAJWIĘKSZE ATUTY MIESZKANIA- Malowniczy wąwóz (2 min. spacerem) z placami zabaw, boiskami, siłownią, z którego prowadzi ścieżka rowerowa nad Zalew Zemborzycki czy do Parku Ludowego, - Stary Gaj (7 minut spacerem),- Przepiękne widoki (nie zasłoni ich żaden nowy blok): z jednej strony na panoramę miasta (oświetlony Lublin nocą), z drugiej na Stary Gaj,- Osiedle zielone, zadbane, zawsze posprzątane,- Dwie windy w bloku,- Dwa place zabaw obok bloku,- W budynku przyległym otwarty niemalże zawsze sklepik spożywczo-przemysłowy,- W bliskiej odległości szkoła, przedszkola, żłobki, sklepy, apteki, przystanki komunikacji miejskiej.
Cena do negocjacji.
Mieszkanie gotowe do zamieszkania.
Ogłoszenie bezpośrednio od właściciela.</t>
  </si>
  <si>
    <t>https://otodom.pl/pl/oferta/3-pokojowe-mieszkanie-na-zielonej-porebie-ID4mdzP</t>
  </si>
  <si>
    <t>4mdzP</t>
  </si>
  <si>
    <t>Mieszkanie w centrum miasta Wałbrzycha</t>
  </si>
  <si>
    <t>Śródmieście, Wałbrzych, dolnośląskie</t>
  </si>
  <si>
    <t xml:space="preserve">Przedstawiam idealnie skomunikowane mieszkanie położone w centrum miasta, w pobliżu przystanków oraz sklepów. Lokal składa się z 2-ch pokoi, kuchni, łazienki, przedpokoju oraz pomieszczenia przynależnego- piwnicy. Mieszkanie po zaaranżowaniu stanowi dobrą ofertę dla  inwestorów pod wynajem lub przeznaczone jest dla osób kochających miasto. Całkowita powierzchnia z przynależnościami wynosi 72,25 m2. Lokal znajduje się na parterze. Nota prawna:Opis oferty sporządzony jest na podstawie oględzin nieruchomości oraz informacji uzyskanych od właściciela.Może podlegać aktualizacji i nie stanowi oferty handlowej w rozumieniu Kodeksu Cywilnego. Prosimy pamiętać, że do ceny transakcyjnej należy doliczyć podatek PCC, opłatę sądową, taksę notarialną i prowizję biura nieruchomości
Oferta wysłana z programu dla biur nieruchomości ASARI CRM ()
</t>
  </si>
  <si>
    <t>https://otodom.pl/pl/oferta/mieszkanie-w-centrum-miasta-walbrzycha-ID4mrte</t>
  </si>
  <si>
    <t>4mrte</t>
  </si>
  <si>
    <t>3 pokojowe mieszkanie Oś. Kilińskiego Zamość</t>
  </si>
  <si>
    <t>Zamość, lubelskie</t>
  </si>
  <si>
    <t>Biuro Nieruchomości DOMOVIA przedstawia ofertę sprzedaży 3 pokojowego mieszkania o powierzchni 54,6 m2, położonego na 2 piętrze w 4 piętrowym bloku przy Ul. Piłsudskiego w Zamościu. Lokal składa się z salonu, dwóch sypialni, kuchni, łazienki oraz toalety.Mieszkanie ma bardzo dobry rozkład, pokoje są jasne i ustawne, korytarz szeroki, kuchnia przestronna, wygodna oraz ergonomiczna, łazienka oraz toaleta w odrębnych pomieszczeniach. W salonie znajduje się wyjście na balkon, do mieszkania przynależy także piwnica.Czynsz poza okresem grzewczym wynosi 280 zł, natomiast w okresie grzewczym 620 zł.Forma własności to lokal stanowiący odrębną nieruchomość. Założona księga wieczysta.Nieruchomość wolna jest od wszelkich obciążeń.Mieszkanie położone w bardzo dogodnym punkcie, doskonale skomunikowane. W najbliższym sąsiedztwie liczne punkty handlowo-usługowe, przystanki, zielony ryneczek, galerie handlowe, apteki, szpital, przychodnia, szkoła, przedszkole, żłobek. Wszystko w promieniu kilku minut spacerem. Do Zamojskiej Starówki dojdziemy w 10 min. natomiast do parku w 5 min.Oferta obsługiwana jest tylko przez Biuro Nieruchomości DOMOVIA.Kupujący nie ponosi kosztów wynagrodzenia biura.W celu umówienia prezentacji zapraszamy do kontaktu.Gorąco polecam ze względu na potencjał nieruchomości oraz doskonałą lokalizację.Agnieszka Siedleckatel. 691 948 900e-mail: a s i e d l e c k a @ i n t . p lw w w . d o m o v i a . p lBiuro Nieruchomości DOMOVIA Agnieszka SiedleckaZapraszamy do naszego biura mieszczącego się w Zamościu przy ul. Grodzkiej 2 (wejście znajduje się naprzeciwko Nadszańca od strony ulicy Łukasińskiego).Rozważasz kredytowanie nieruchomości? Nasz ekspert porówna i dobierze finansowanie najlepiej dopasowane do Twoich potrzeb.Niniejsze ogłoszenie nie stanowi oferty w rozumieniu Kodeksu Cywilnego, lecz ma charakter informacyjny. Przedstawione wizualizacje i grafiki mają charakter wyłącznie poglądowy i stanowią wyłącznie materiał pomocniczy, ułatwiający zorientowanie się w ogólnym wyglądzie oferowanej nieruchomości. Niniejsze ogłoszenie wraz z jego elementami jest własnością Domovia Agnieszka Siedlecka lub podmiotu współpracującego.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Domovia Agnieszka Siedlecka lub podmiotów współpracujących jest zabronione i może stanowić podstawę odpowiedzialności cywilnej oraz karnej. Niniejsze materiały stanowią tajemnicę przedsiębiorstwa Domovia Agnieszka Siedlecka lub podmiotu współpracującego w rozumieniu ustawy z dnia 16 kwietnia 1993 r. o zwalczaniu nieuczciwej konkurencji (Dz. U. z 2003 r., Nr 153, poz. 1503 z późn. zm.).</t>
  </si>
  <si>
    <t>https://otodom.pl/pl/oferta/3-pokojowe-mieszkanie-os-kilinskiego-zamosc-ID4lSo9</t>
  </si>
  <si>
    <t>4lSo9</t>
  </si>
  <si>
    <t>Apartament 4 pokojowy Rataje, dwa balkony</t>
  </si>
  <si>
    <t>Na sprzedaż komfortowe mieszkanie 4 pokojowe o powierzchni  57,06 m2 na 3 piętrze z dwoma  balkonami. na RatajachDoskonała lokalizacja dla każdego.Powierzchnia pomieszczeń:SALON Z ANEKSEM KUCHENNYM 17,35 m2SYPIALNIA 6,72 m2SYPIALNIA 11,25 m2SYPIALNIA 7,28 m2ŁAZIENKA 4,03 m2KORYTARZ 8,75 m2BALKON 4,50 m2BALKON 4,50 m2Okna od strony północno południowej- mieszkania przystosowane dla osób z niepełnosprawnościami - piętra oraz garaż podziemny są dostępne dla osób poruszających się na wózkach inwalidzkich- stacja ładowania pojazdów elektrycznych- domofon- drzwi antywłamaniowe- teren zamknięty- przystanek tramwajowy 350 m- sklepy, restauracje oraz lokale usługowe- blisko Park Osiedla Armii Krajowej- odległość od centrum 5,8 kmMożliwość zmiany aranżacji.Możliwość zakupu miejsca postojowego i komórki lokatorskiejPOSIADAMY WSZYSTKIE DOSTĘPNE MIESZKANIA NA TEJ INWESTYCJI!Bezpośredni kontakt do biura sprzedażyEkspert ds NieruchomościGrażyna Drozdowska6649663892 B 3 01Zainteresowany? Zadzwoń teraz i umów się na spotkanie online</t>
  </si>
  <si>
    <t>https://otodom.pl/pl/oferta/apartament-4-pokojowy-rataje-dwa-balkony-ID4kPWB</t>
  </si>
  <si>
    <t>4kPWB</t>
  </si>
  <si>
    <t>Apartament W Hotelu Polonia, Kołobrzeg!</t>
  </si>
  <si>
    <t xml:space="preserve">Zapraszam serdecznie do zapoznania się z ofertą sprzedaży apartamentu z balkonem w doskonałej lokalizacji w Kołobrzegu w Aparthotel Polonia. Lokalizacja jest kluczowa - bezpośrednia bliskość morza oraz wszystkich najpiękniejszych atrakcji Kołobrzegu jest zdecydowanie największym atutem. Z Apartamentu traficie Państwo prosto: na główną plażę (500m), molo (400m), do latarni (600m) oraz do portu rybackiego (900m) i jachtowego (600m).Prezentowana nieruchomość to Apartament o powierzchni 40 m2, na którą znajdziemy jeden duży pokój (możliwość 2 pokoi), aneks kuchenny, łazienkę razem z WC oraz korytarz z szafą w zabudowie.Nieruchomość nie wymaga nakładów finansowych, idealnie sprawdzi się jako inwestycja jak również na własne cele wypoczynkowe lub mieszkaniowe. Wszystkie meble jak i sprzęty zostają dla nowych właścicieli!Czynsz administracyjny wynosi około 400 zł i zawiera zaliczki na wszystkie media (tj. ciepłą i zimną wodę, ogrzewanie, zużycie energii elektrycznej), administrację, części wspólne, sprzątanie, wywóz śmieci, recepcję z dostępnością 24/h. Aparthotel POLONIA ETNA to miejsce, w którym już od pierwszej chwili czuć idealne połączenie wygody, luksusu i prostoty. ​Aparthotel  położony jest w nadmorskim pasie uzdrowiska Kołobrzeg. Apartament znajduje się w nowoczesnym 11 piętrowym obiekcie, który kształtem przypomina statek.  Na terenie obiektu funkcjonuje restauracja oraz kawiarnia. Dodatkową atrakcją jest panoramiczna winda oraz taras widokowy, znajdujący się na 11 piętrze, skąd roztacza się piękny widok na port, miasto i morze.W ofercie również inne apartamenty. Zapraszam po więcej szczegółów!Oferta na wyłączność- nie szukaj dalej.Klucze w biurze::KONTAKT DO AGENTA Karolina Łukaszewska91 820 26 26511 30 10 85-PROSIMY O PODAWANIE NUMERÓW TELEFONÓW DO KONTAKT - NIE ODPOWIADAMY NA ZAPYTANIA BEZ NUMERÓW TELEFONÓW * SKUPUJEMY     NIERUCHOMOŚCI     ZA     GOTÓWKĘ- jeśli masz obciążenie komornicze - postępowanie spadkowe - problemy z windykacją - gwarantujemy pomoc prawną -------------ZADZWOŃ 500 400 855 ------------------ **Powyższa oferta ma charakter jedynie informacyjny i została utworzona na podstawie oświadczeń właściciela nieruchomości, niniejsza oferta nie stanowi oferty handlowej w rozumieniu art. 66 §1 kodeksu cywilnego oraz innych właściwych przepisów prawnych. </t>
  </si>
  <si>
    <t>https://otodom.pl/pl/oferta/apartament-w-hotelu-polonia-kolobrzeg-ID4hl4v</t>
  </si>
  <si>
    <t>4hl4v</t>
  </si>
  <si>
    <t>Apartament nad morzem - Dune Resort Mielno !</t>
  </si>
  <si>
    <t>Prezentujemy perełkę wśród nadmorskich apartamentów !Letni apartament lub dodatkowe źródło dochodu ? Nadmorski klimat i okolica stwarza wiele możliwości !Lokal mieszkalny o powierzchni 25,11 m2 położony jest na parterze w prestiżowym apartamentowcu DUNE Resort (budynek B) w Mielnie.Apartament składa się z pokoju z aneksem kuchennym i łazienki. Z pokoju wyjście na taras (10,84 m2) oraz ogródek (9,22 m2). Taras i ogród od słonecznej zachodniej strony.Aneks kuchenny wyposażony w lodówkę w zabudowie, płytę elektryczną, piekarnik, zmywarkę. W łazience pralka w zabudowie.Kompleks DUNE Resort oferuje bogatą ofertę rekreacyjną m.in. strefa wellness z wewnętrznym basenem, jacuzzi, brodzikiem dla dzieci, strefa saun, strefa fitness, strefa symulatorów DUNE Golf&amp;Racing, wypożyczalnia rowerów elektrycznych oraz całoroczne animacje dla dzieci. Obiekt dysponuje również dwoma restauracjami DUNE Beach Reastaurant oraz DUNE Brasserie&amp;Bar. Na terenie obiektu znajduje się również sklep.Apartament można użytkować na cele własne lub też powierzyć operatorowi zarządzanie najmem.Koszty związane z utrzymaniem lokalu to czynsz w kwocie 807 zł, w tym m.in fundusz remontowy, zal. na ciepłą (1m3) i zimną (5 m3) wodę, zal. na ogrzewanie, utrzymanie miejsca w hali garażowej, serwis klimatyzacji, opłata za odpady, utrzymanie części wspólnych, internet. Dodatkowo płatna energia elektryczna według zużycia.Apartament sprzedawany wraz z miejscem postojowym w hali garażowej płatnym dodatkowo w kwocie 55 000 zł.Podana cena jest ceną brutto, zawiera 8% podatku VAT. Kupujący zwolniony z opłaty 2% PCC !!Przeniesienie własności - styczeń 2024 r.Bardzo atrakcyjna lokalizacja ! Nieruchomość położona tuż przy promenadzie i plaży !Zapraszamy na prezentację !Oferta na wyłączność. Oglądanie wyłącznie z Pośrednikiem, po uprzednim uzgodnieniu terminu. Więcej ofert mieszkań na stronie biura Royal Nieruchomości</t>
  </si>
  <si>
    <t>https://otodom.pl/pl/oferta/apartament-nad-morzem-dune-resort-mielno-ID4mf2I</t>
  </si>
  <si>
    <t>4mf2I</t>
  </si>
  <si>
    <t>Gotowe do odbioru - Jastrzębia Góra Plaża 800m</t>
  </si>
  <si>
    <t>Jastrzębia Góra, Władysławowo, pucki, pomorskie</t>
  </si>
  <si>
    <t>Gotowe do odbioru!
Stellar Park to kameralne, zamknięte osiedle na którym znajdują się dwukondygnacyjne domy o powierzchni 52,19m2, idealne jako inwestycja pod wynajem lub miejsce własnego wypoczynku. Inwestycja położona jest zaledwie 800m od wejścia na jedną z najpiękniejszych nad polskim morzem plaż.
Każdy apartament składa się z salonu z aneksem kuchennym (23,65m2), toalety (2,66m2) oraz schowka (0,45m2) zlokalizowanych na parterze oraz znajdujących się na I piętrze dwóch sypialni (10,82m2i 8,60m2), łazienki (4,95 m2) oraz korytarza (1,06m2). W salonie znajduje się duże okno przesuwne z wyjściem na taras. Lokale przygotowane są pod montaż instalacji alarmowej. 
Każdy dom posiada własny ogród i taras. Do każdego lokalu przynależy miejsce postojowe.
Apartamenty wyposażone są w urządzenia grzewczo – chłodzące renomowanej firmy Daikin, które zapewnią komfort użytkowania zarówno w ciepłe jak i zimne dni.
Dodatkowo lokale posiadają instalację fotowoltaiczną o mocy 2,7kW, która znacząco zminimalizuje koszty związane z ogrzewaniem i zużyciem energii elektrycznej.
Oferta dotyczy lokalu 7A do którego przynależy ogród o powierzchni 41,70m2.
Dostępne są również lokale 7B oraz 8B
Oferta bez prowizji, bezpośrednio od dewelopera.
Niniejsza oferta nie stanowi oferty w rozumieniu Kodeksu Cywilnego, a dane w niej zawarte mają jedynie charakter informacyjny i mogą ulec zmianie.</t>
  </si>
  <si>
    <t>https://otodom.pl/pl/oferta/apartament-z-ogrodem-jastrzebia-gora-ID4hIvk</t>
  </si>
  <si>
    <t>4hIvk</t>
  </si>
  <si>
    <t>BLIŹNIAK, 191 m2, garaż+1 m. post., WIDOKOWY!!!</t>
  </si>
  <si>
    <t>ul. Generała Jana Henryka Dąbrowskiego, Radzymin, Radzymin, wołomiński, mazowieckie</t>
  </si>
  <si>
    <t>ZAKOŃCZENIE BUDOWY - IV KWARTAŁ 2022 roku
OFERTA DOTYCZY:
BUDYNEK III LOK. B / DĄBROWSKIEGO 25 LOK. 2
BUDYNEK _II LOK. A / DĄBROWSKIEGO 23 LOK. 1
Prezentujemy Państwu wygodny 5- pokojowy dom  o powierzchni całkowitej 191,11 m² z GARAŻEM.  poddasze i 1 MIEJSCE POSTOJOWYM GRATIS położony na zamkniętym osiedlu w spokojnej okolicy.
Dużym atutem inwestycji jest pełna wysokość sufitu na piętrze, umożliwia to funkcjonalne umeblowanie oraz komfort użytkowania. 
Do domu przynależy prywatny ogródek, w którym nowi właściciele będą mogli zaaranżować strefę relaksu wśród zieleni.
O inwestycji
Osiedle ,,POD DĘBAMI” to zespół domów w zabudowie szeregowej oferujący mieszkania o powierzchni użytkowej 89,22 m² lub 126,32 m². Cicha i zielonej okolica pozwoli na relaks w rodzinnej atmosferze z dala od miejskiego zgiełku. 
Nowoczesne budownictwo, spokojne sąsiedztwo, obszary zieleni w pobliżu, bezpieczne zamknięte osiedle, miejsca parkingowe i przemyślane wnętrza to przepis na idealny dom!
Lokalizacja
Osiedle ,,POD DĘBAMI” znajduje się w Radzyminie- w niewielkiej odległości od centrum Warszawy, do którego można dotrzeć w zaledwie 8 minut.
Ułatwi to linia kolejowa SKM na trasie WARSZAWA-RADZYMIN oraz nowa ścieżka rowerowa.
Usytuowane są tam placówki oświatowo-wychowawcze, kościoły, sklepy, szpitale oraz ośrodki sportowe i kulturalne. Do innych elementów coraz bogatszej infrastruktury Radzymina należy park miejski zaaranżowany w angielskim stylu, oraz nowo budowane centrum handlowe . Olbrzymim atutem osiedla jest też to, iż znajduje się ono 4 minuty (2,8 km) od zjazdu z nowej Obwodnicy Marek, drogi ekspresowej S8 do której doprowadzą nas dwie drogi. Budowa drogi znacznie ,, przybliżyła ” Radzymin do Warszawy. Droga do stolicy zajmuje teraz nie dłużej niż 7-8 minut.
Jakość wykończenia
Nasze budynki wykonane są z najwyższej klasy materiałów, gwarantują Państwu ciepło, ciszę i trwałość:
beton B-25
ściany H+H
okna - 3 szybowy, 7-komorowy profil SONAROL PASIVTHERM
brama garażowa Hormann: Pełne segmenty o grubości 42 mm gwarantują wysoką izolacyjność cieplną, dobrą stabilność i cichą pracę bramy Napęd ProMatic 700 wykorzystujący nowoczesną technologię zdalnego sterowania radiowego BiSecur wyposażolny w funkcję dodatkowej wysokości otwarcia bramy do przewietrzania garażu
dach:
folia wysokoparoprzepuszczalna o najwyższych parametrach
blacha renonowanego producenta PLANIJA, RUUKKI
elewacja – tynk silikatowo-silikonowy
gipsowy tynk wewnętrzny
instalacje:
telewizyjna
internet
elektryczna (ok. 80 punktów końcowych)
instalacja alarmowa
ogrzewanie podłogowe i grzejnikowe 
PEŁNE UZBROJENIE- INSTALACJE:
gazowa
kanalizacyjna
wodna
elektryczna
odwodnienie terenu tzw. drenaż francuski
O deweloperze
HM DEVELOPMEMT to spółka, która powstała z marzeń o tradycyjnym, a zarazem energooszczędnym budownictwie, harmonijnie wkomponowanym w otaczający krajobraz.
Każda z naszych inwestycji architektonicznych tworzy jedność z naturą. Firma jako priorytet stawia sobie na celu zapewnienie swoim klientom, budynków mieszkalnych o wysokim standardzie i najlepszej jakości.
W oparciu o tę myśl każdy etap budowy nadzorowany jest przez nas osobiście, a za jego wykonanie odpowiedzialni są wykwalifikowani wykonawcy, współpracujący z nami od lat.
Dbałość o detale, a także wyczucie estetyczne są gwarantem powstania osiedla nowoczesnego w połączeniu z klasyczną architekturą.
Naszym celem jest zapewnienie Państwu ,,domów marzeń”, w których każdy z Was będzie czuł się wyjątkowo i przede wszystkim komfortowo.</t>
  </si>
  <si>
    <t>https://otodom.pl/pl/oferta/pod-debami-191-m2-garaz-1-m-post-widokowy-ID4hoKw</t>
  </si>
  <si>
    <t>4hoKw</t>
  </si>
  <si>
    <t>Piękne mieszkanie pod klucz, bez PCC</t>
  </si>
  <si>
    <t>Ligota-Panewniki, Katowice, śląskie</t>
  </si>
  <si>
    <t>Kupujący nie płaci prowizji, bez PCC.
Zapraszamy do zapoznania się z ofertą sprzedaży mieszkania mieszczącego się w nowej inwestycji deweloperskiej w dzielnicy Ligota, oferującej mieszkania w nowoczesnym budynku, wyposażonym w windy. Idealny na start do samodzielnego życia, albo dla inwestora na wynajem. Możliwość oddania w zarządzanie.
Lokal zostanie wykończony POD KLUCZ - planowany termin oddania do użytkowania wrzesień 2023r.
Będzie składał się z umeblowanego salonu z aneksem kuchennym, szafy na wymiar w przedpokoju, sofy z funkcją spania, stołu z krzesłami oraz stolika kawowego. Sypialnia z pełnowymiarowym łóżkiem oraz miejscem na szafę.Dodatkowo, zainstalowane zostaną wszystkie sprzęty RTV/AGD: LODÓWKA W ZABUDOWIE, PŁYTA INDUKCYJNA, OKAP, PIEKARNIK, ZMYWARKA, PRALKA, SMART TV 43cale.Dużą zaletą jest dostęp do mediów miejskich (ciepła woda oraz ogrzewanie) co zapewnia niskie koszty eksploatacji mieszkania. Czynsz wynosi ok 180zł/mc.
Doskonała lokalizacja, świetna komunikacja z innymi częściami miasta. W pobliżu cała infrastruktura handlowo usługowa; sklepy, szkoły, przychodnie i apteki.Nabywca nie płaci czynszów jak w spółdzielni, nie ponosi wysokich kosztów za remonty i bieżące utrzymanie jak w starym budownictwie. Kupujący zyskuje nowoczesne mieszkanie z własną wspólnotą mieszkaniową w oszczędnym energetycznie budynku i tanią eksploatacją.Mieszkanie jest bardzo jasne – okna z ekspozycją na zachód, w ułożeniu środkowym względem pozostałych lokali, co czyni je ciepłym i dodatkowo zaizolowanym termicznie.Za dodatkową opłatą możliwe wykupienie zewnętrznego miejsca postojowego oraz komórki lokatorskiej.
Zapewniamy kompleksową obsługę transakcji, w tym bezpłatne wsparcie w uzyskaniu kredytu na zakup nieruchomości oraz ochronę ubezpieczeniową.
PW Invest Home, zapraszamy do kontaktu codziennie w godzinach 7:00 - 23:00</t>
  </si>
  <si>
    <t>https://otodom.pl/pl/oferta/piekne-mieszkanie-pod-klucz-bez-pcc-ID4kyAG</t>
  </si>
  <si>
    <t>4kyAG</t>
  </si>
  <si>
    <t>Apartament, 2 pokoje umeblowane, Becher Ogrody</t>
  </si>
  <si>
    <t>ul. Króla Kazimierza Wielkiego, Czarnów Rządowy, Kielce, świętokrzyskie</t>
  </si>
  <si>
    <t>Na sprzedaż dwupokojowy apartament na Ślichowicach "Becher Ogrody" z widokiem na Karczówkę.
Ul. Kazimierza Wielkiego 15
Metraż: 43,47m2 + balkon pół loggia 5,56m2 + przynależne miejsce postojowe zewnętrzne (zakup obowiązkowy, cena 20.000zł)
Część mieszkalna to salon z aneksem kuchennym o łącznej powierzchni ok. 26m2. Aneks kuchenny w pełni urządzony ze sprzętami marki Amica i okapem Ciarko. Pomieszczenie klimatyzowane marki LG.
Sypialnia ok. 13m2 z pojemną szafą wnękową, łóżkiem 160 i komodą.
Łazienka z prysznicem i pralką Samsung o powierzchni ok. 4m2
W przedpokoju znajduje się pojemna szafka na buty, duże lustro i wieszak.
Lokal znajduje się na I piętrze z 3 w apartamentowcu z 2016 roku. Wystaw okien wschodnia.
Forma własności: Odrębna własność z KW
Czynsz: 450zł miesięcznie
Cena mieszkania wraz z miejscem parkingowym wynosi 525.000 zł
Polecam serdecznie i zapraszam na prezentację lokalu.</t>
  </si>
  <si>
    <t>https://otodom.pl/pl/oferta/apartament-2-pokoje-umeblowane-becher-ogrody-ID4lQbL</t>
  </si>
  <si>
    <t>4lQbL</t>
  </si>
  <si>
    <t>APARTAMENT 2 pokoje 2 tarasy</t>
  </si>
  <si>
    <t>ul. ks. Jerzego Popiełuszki, Wieniawa, Lublin, lubelskie</t>
  </si>
  <si>
    <t>Ofertą sprzedaży jest dwustronne 2 pokojowe mieszkanie zlokalizowane na 3 piętrze na zamkniętym osiedlu w centrum Lublina przy ul. Ks.J.Popiełuszki.
Mieszkanie wykończone materiałami najwyższej jakości - podłogi w pokojach z drewna egzotycznego, w kuchni kamień naturalny granit. Nieruchomość jest gotowa do zamieszkania bez dodatkowych nakładów.
Tarasy z dwóch stron mieszkania - ekspozycja wschód-zachód. Na bloku instalacja fotowoltaiczna co zmniejsza miesięczne koszty eksploatacji.
Doskonała lokalizacja zarówno dla rodzin jak i studentów. W bliskiej odległości Uczelnie, sklepy, szkoły, przedszkola, plac zabaw na osiedlu.
Do mieszkania przynależy garaż na jeden samochód- dodatkowo płatny 30 000 zł
Ogłoszenie bezpośrednie.
Agencjom dziękuję</t>
  </si>
  <si>
    <t>https://otodom.pl/pl/oferta/apartament-2-pokoje-2-tarasy-ID4m7AP</t>
  </si>
  <si>
    <t>4m7AP</t>
  </si>
  <si>
    <t>Apartament pod klucz 100 M do plaży, IV etap</t>
  </si>
  <si>
    <t>Grzybowo, Kołobrzeg, kołobrzeski, zachodniopomorskie</t>
  </si>
  <si>
    <t>Luksusowe apartamenty 100 M DO PLAŻY! IV etap już w sprzedaży! Apartament 1.B.05Promocja: w cenie apartamentu wykończenie pod kluczCena brutto apartamentu wynosi: 570 670,00 zł (&amp;quot;pod klucz&amp;quot;)  Cena miejsca postojowego wraz z udziałem w działce: 28 290,00 zł brutto Powierzchnia użytkowa apartamentu: 38,30 m2Powierzchnia tarasu: 8 m2Rozpoczęcie budowy etapu IV lipiec 2021Zakończenie budowy etapu IV wrzesień 2022 IV etap naszej inwestycji jest zlokalizowany najbliżej linii brzegowej, a przy tym wykończony o klasę wyżej: mamy tutaj ogrzewanie podłogowe, duże, przesuwne okna tarasowe i wiele innych udogodnień, których nie mają poprzednie etapy. Ten etap to nasza perełka, dla najbardziej wymagających klientów. Apartament dwupokojowy, od strony zachodniej, z dużym tarasem, pięknie doświetlony, w otoczeniu zieleni. Na apartament składają się: salon z aneksem kuchennym, sypialnia, łazienka, taras. Duże witryny okienne sprawiają, że apartament jest bardzo jasny i przestronny. Możliwość wykupienia komórki lokatorskiej w cenie: 12 300,00 zł brutto. W obiekcie znajduje się cichobieżna winda. Na terenie inwestycji planowane są również restauracje, siłownie, salon SPA. Nasz nowoczesny kompleks apartamentowo-hotelowy to inwestycja z wielkimi możliwościami, położona w przepięknej nadmorskiej miejscowości. W bliskim sąsiedztwie znajdują się sklepy, restauracje, ścieżki rowerowe i spacerowe i co najważniejsze piękna, czysta, szeroka plaża. Do dyspozycji gości w Etapie IV będzie 28 apartamentów jedno-, dwu- oraz trzypokojowych o metrażu od 26,35 m2 do 98,49 m2. Teren inwestycji składa się z dwóch części: północnej i południowej. W części północnej goście będą mogli korzystać z pięknej infrastruktury relaksacyjno-rekreacyjnej na terenach Natura 2000 ogrodu i parku z drewnianymi pergolami, słonecznymi pomostami i tarasami wypoczynkowymi. Na terenie kompleksu wybudowanych zostanie 390 miejsc parkingowych. Otwarte zielone przestrzenie z trawnikami, kwietnikami, drewnianymi tarasami, małymi placami zabaw i ścieżkami spacerowymi dają możliwość błogiego odpoczynku. Możecie Państwo wybrać również opcję inwestycyjną, a wynajmem Waszego apartamentu zajmie się doświadczony operator, od lat pracujący na tym rynku. Jest to idealna propozycja dla osób poszukujących ciekawych i bezpiecznych możliwości zainwestowania swojego kapitału, właściciel apartamentu w czasie, kiedy nie korzysta z lokalu, może go wynająć i zarabiać. OPIS OTOCZENIA: To niesamowite miejsce, gdzie cisza i spokój spotyka się z pomysłem na biznes, a bliskość Kołobrzegu to świetna okazja do korzystania z atrakcji dużego i nowoczesnego kurortu. Nasza inwestycja znajduje się w wymarzonej miejscowości dla wielbicieli morskich kąpieli w ciepłe, słoneczne dni. Można śmiało powiedzieć, że są to kołobrzeskie przedmieścia, dzięki czemu łatwo można włączyć się w rytm tego pięknego i ciekawego miasta. OPIS INWESTYCJI: Nasza inwestycja jest idealnym miejscem dla osób marzących o wypoczynku w urokliwej nadmorskiej miejscowości z dala od zgiełku. Obiekty apartamentowe, wkomponowane zostały w istniejącą dookoła zieleń, przy samej szerokiej plaży. Wszystkie budynki zostały wykonane w nowoczesnej formie, dodając prestiżu inwestycji. Morze korzyści: 1. zysk przez cały rok, nie tylko w sezonie letnim 2. cena za m2 apartamentu znacznie niższa niż w Kołobrzegu 3. nowoczesna inwestycja położona przy samym morzu 4. przepiękna okolica i naturalne otoczenie 5. szerokie i niezatłoczone plaże 6. mnogość atrakcji w promieniu kilku kilometrów 7. możliwość wykończenia pod klucz. Zatoka nad którą leży nasza inwestycja, obfita jest w bursztyny, a fale w niej są znacznie mniej intensywne niż w innych nadmorskich kurortach, zatem miejsce naszej inwestycji jest idealne dla rodzin z małymi dziećmi. To właśnie w tej malowniczej nadmorskiej miejscowości, tuż przy plaży powstanie nasza inwestycja hotelowo-rekreacyjna. Nasze miejsce słynie z bardzo szerokich plaż, mających nawet 40 metrów szerokości, gdzie bez problemu można znaleźć swoją oazę spokoju. Rosnące przy wydmach lasy sosnowe dodatkowo potęgują uczucie błogiego relaksu, tworząc unikalny mikroklimat, który dobroczynnie wpływa na nasze drogi oddechowe. DLACZEGO WARTO WYBRAĆ NAS? 1. Nie pobieramy prowizji przy zakupie nieruchomości z rynku pierwotnego. * świadczymy usługi kompleksowo (sprzedajemy, podnajmujemy i zarządzamy apartamentami) 2. Posiadamy doświadczonych, rzetelnych Doradców 3. Cenimy czas naszych Klientów 4. Do każdego podchodzimy w sposób indywidualny 5. Gwarantujemy bezpieczeństwo transakcji 6. Umożliwiamy skorzystanie z szerokiej oferty kredytów gotówkowych i hipotecznych 7. Pomagamy w wyborze dodatkowych usług (np. aranżacja wnętrza nieruchomości). Zawsze jesteśmy do dyspozycji naszych KLIENTÓW! Nasi Doradcy przykładają szczególną wagę do rzetelnego prezentowania informacji o nieruchomości. ATRAKCJE TURYSTYCZNE W OKOLICY: Morze i szeroka plaża w odległości 100 m. Malownicze ścieżki i trasy rowerowe wzdłuż morza. Puby, restauracje, kluby, galerie i sklepy w Kołobrzegu. Port rybacki i turystyczny w Kołobrzegu. Labirynt grabowy i ogrody Hortulus Spectabilis. Latarnie morskie w Kołobrzegu, Gąskach i Niechorzu. Stadnina koni i park rozrywki Dziki Zachód. Bezpośrednie sąsiedztwo terenów natura 2000. Lokalizacja, walory estetyczne i wypełnienie przestrzeni wokół kompleksu sprawiają, że turyści w pierwszej kolejności wybierać będą nasz obiekt. Serdecznie zapraszamy do kontaktu: + 48 536 863 933 RYNEK PIERWOTNY. KUPUJĄCY NIE PŁACI PROWIZJI !Treść niniejszego ogłoszenia nie stanowi oferty handlowej w rozumieniu Kodeksu Cywilnego.</t>
  </si>
  <si>
    <t>https://otodom.pl/pl/oferta/apartament-pod-klucz-100-m-do-plazy-iv-etap-ID4byxK</t>
  </si>
  <si>
    <t>4byxK</t>
  </si>
  <si>
    <t>Apartamenty Jana Pawła/Mieszkanie 2 pok. 49,54m2</t>
  </si>
  <si>
    <t>Budziwój, Rzeszów, podkarpackie</t>
  </si>
  <si>
    <t>Deweloper Berg Inwestycje, 
ma przyjemność zaprezentować Państwu ofertę przedsprzedaży  nowoczesnej inwestycji budynku wielorodzinnego „Apartamenty Jana Pawła ” przy ul. Jana Pawła II  w Rzeszowie.
Oryginalny projekt architektoniczny budynku mieszkalnego oraz funkcjonalne rozwiązania sprawią, że każdy mieszkaniec poczuje się tu komfortowo. To doskonała propozycja dla osób ceniących jakość i wysoki standard.
W ramach inwestycji powstanie budynek 4 kondygnacyjny, 1 kondygnacja podziemna – garaż oraz 3 kondygnacje naziemne, w których zaprojektowano łącznie 42 funkcjonalne i przestronne lokale mieszkalne, liczące od jednego do trzech pokoi.
 Mieszkania zróżnicowane są pod względem metrażu – zaczynając od najmniejszych 25,31 m2, kończąc na 56,07 m2. Do każdego z mieszkań przynależeć będzie balkon! W celu zapewnienia komfortu przyszłym mieszkańcom w ramach projektu przewidziano widne, parkingi w garażach podziemnych. Ponadto przed budynkiem zaplanowano naziemne miejsca parkingowe. W podziemiu znajdować się będą zamykane indywidualne komórki lokatorskie.
Nieopodal Inwestycji projektowana jest Południowa obwodnica Rzeszowa 4 jezdniowa droga, połączy ul. Podkarpacką z al. Sikorskiego. Dodatkowo w najbliższym czasie powstanie trzypoziomowe rondo na skrzyżowaniu ulic Kwiatkowskiego i Powstańców Warszawy.
Masz pytania odnośnie kredytu 2% ? Zrobimy wszystko za Ciebie! Zapraszamy do kontaktu z naszym doradcą :
Specjalista ds. kredytów Monika Nowożeńska
tel:504101792
Ø  PIĘTRO II / MIESZKANIE M39:  MIESZKANIE POSIADA 2 BALKONY !
Ø  M39.01 Przedpokój 7,24 m²
Ø  M39.02  Łazienka 4,34 m²
Ø  M39.03 Sypialnia 9,24 m²
Ø  M39.04 Sypialnia 9,58 m²
Ø  M39.05 Salon z aneksem kuchennym 19,14 m²
Ø  Balkon 1-  10,99 m²
Ø  Balkon 2-  10,52 m²
Ø  MIESZKANIE M39 49,54 m²
Miejsce w garażu podziemnym -  27.000 zł.
Miejsce postojowe naziemne - 10.000 zł.
Dodatkowo płatna komórka lokatorska.
Lokalizacja: 
·         Przystanek autobusowy 1 minuta – 200 m,
·         Sklep spożywczy 1 minuta – 550 m,
·         Centrum medyczne – 1 minuta  - 700 m,
·         Paczkomat 1m – 550 m,
·         Plac zabaw 3 minuty – 2.5 km,
·         Zespół Szkolny  3 minuty – 2.9km,
·         Przedszkole 3 minuty – 2.9 km,
·         Millenium Hall 10 minut – 6.6 km,
·         Rynek Rzeszów  15 min – 7.6 km.
ü  KUPUJĄCY NIE PONOSI KOSZTÓW PROWIZJI ORAZ PODATKU PCC!
ü  MIESZKANIA W STANIE DEWELOPERSKIM!
ü  BEZPOŚREDNIO OD DEWELOPERA!
BIURO SPRZEDAŻY:
BERG Inwestycje Sp. z o. o.
Al. Armii Krajowej 21
35-307 Rzeszów
www.berginwestycje.pl
Zespół Berg Inwestycje: 
Krzysztof 790-690-949
Grzegorz  606-134-525
Maciej  609-095-555
Powyższa oferta ma charakter informacyjny i nie stanowi oferty handlowej w rozumieniu art. 66 §1 Kodeksu Cywilnego. 
 </t>
  </si>
  <si>
    <t>https://otodom.pl/pl/oferta/apartamenty-jana-pawla-mieszkanie-2-pok-49-54m2-ID4l0nD</t>
  </si>
  <si>
    <t>4l0nD</t>
  </si>
  <si>
    <t>Luksusowe apartamenty 100 M DO PLAŻY! IV etap już w sprzedaży! Apartament 1.B.06Promocja: w cenie apartamentu wykończenie pod kluczCena brutto apartamentu wynosi: 492 892,00 zł (&amp;quot;pod klucz&amp;quot;)  Cena miejsca postojowego wraz z udziałem w działce: 28 290,00 zł brutto Powierzchnia użytkowa apartamentu: 33,08 m2Powierzchnia tarasu: 8 m2Rozpoczęcie budowy etapu IV lipiec 2021Zakończenie budowy etapu IV wrzesień 2022 IV etap naszej inwestycji jest zlokalizowany najbliżej linii brzegowej, a przy tym wykończony o klasę wyżej: mamy tutaj ogrzewanie podłogowe, duże, przesuwne okna tarasowe i wiele innych udogodnień, których nie mają poprzednie etapy. Ten etap to nasza perełka, dla najbardziej wymagających klientów. Apartament dwupokojowy, od strony wschodniej, z dużym tarasem, pięknie doświetlony, w otoczeniu zieleni. Na apartament składają się: salon z aneksem kuchennym, sypialnia, łazienka, taras. Duże witryny okienne sprawiają, że apartament jest bardzo jasny i przestronny. Możliwość wykupienia komórki lokatorskiej w cenie: 12 300,00 zł brutto. W obiekcie znajduje się cichobieżna winda. Na terenie inwestycji planowane są również restauracje, siłownie, salon SPA. Nasz nowoczesny kompleks apartamentowo-hotelowy to inwestycja z wielkimi możliwościami, położona w przepięknej nadmorskiej miejscowości. W bliskim sąsiedztwie znajdują się sklepy, restauracje, ścieżki rowerowe i spacerowe i co najważniejsze piękna, czysta, szeroka plaża. Do dyspozycji gości w Etapie IV będzie 28 apartamentów jedno-, dwu- oraz trzypokojowych o metrażu od 26,35 m2 do 98,49 m2. Teren inwestycji składa się z dwóch części: północnej i południowej. W części północnej goście będą mogli korzystać z pięknej infrastruktury relaksacyjno-rekreacyjnej na terenach Natura 2000 ogrodu i parku z drewnianymi pergolami, słonecznymi pomostami i tarasami wypoczynkowymi. Na terenie kompleksu wybudowanych zostanie 390 miejsc parkingowych. Otwarte zielone przestrzenie z trawnikami, kwietnikami, drewnianymi tarasami, małymi placami zabaw i ścieżkami spacerowymi dają możliwość błogiego odpoczynku. Możecie Państwo wybrać również opcję inwestycyjną, a wynajmem Waszego apartamentu zajmie się doświadczony operator, od lat pracujący na tym rynku. Jest to idealna propozycja dla osób poszukujących ciekawych i bezpiecznych możliwości zainwestowania swojego kapitału, właściciel apartamentu w czasie, kiedy nie korzysta z lokalu, może go wynająć i zarabiać. OPIS OTOCZENIA: To niesamowite miejsce, gdzie cisza i spokój spotyka się z pomysłem na biznes, a bliskość Kołobrzegu to świetna okazja do korzystania z atrakcji dużego i nowoczesnego kurortu. Nasza inwestycja znajduje się w wymarzonej miejscowości dla wielbicieli morskich kąpieli w ciepłe, słoneczne dni. Można śmiało powiedzieć, że są to kołobrzeskie przedmieścia, dzięki czemu łatwo można włączyć się w rytm tego pięknego i ciekawego miasta. OPIS INWESTYCJI: Nasza inwestycja jest idealnym miejscem dla osób marzących o wypoczynku w urokliwej nadmorskiej miejscowości z dala od zgiełku. Obiekty apartamentowe, wkomponowane zostały w istniejącą dookoła zieleń, przy samej szerokiej plaży. Wszystkie budynki zostały wykonane w nowoczesnej formie, dodając prestiżu inwestycji. Morze korzyści: 1. zysk przez cały rok, nie tylko w sezonie letnim 2. cena za m2 apartamentu znacznie niższa niż w Kołobrzegu 3. nowoczesna inwestycja położona przy samym morzu 4. przepiękna okolica i naturalne otoczenie 5. szerokie i niezatłoczone plaże 6. mnogość atrakcji w promieniu kilku kilometrów 7. możliwość wykończenia pod klucz. Zatoka nad którą leży nasza inwestycja, obfita jest w bursztyny, a fale w niej są znacznie mniej intensywne niż w innych nadmorskich kurortach, zatem miejsce naszej inwestycji jest idealne dla rodzin z małymi dziećmi. To właśnie w tej malowniczej nadmorskiej miejscowości, tuż przy plaży powstanie nasza inwestycja hotelowo-rekreacyjna. Nasze miejsce słynie z bardzo szerokich plaż, mających nawet 40 metrów szerokości, gdzie bez problemu można znaleźć swoją oazę spokoju. Rosnące przy wydmach lasy sosnowe dodatkowo potęgują uczucie błogiego relaksu, tworząc unikalny mikroklimat, który dobroczynnie wpływa na nasze drogi oddechowe. DLACZEGO WARTO WYBRAĆ NAS? 1. Nie pobieramy prowizji przy zakupie nieruchomości z rynku pierwotnego. * świadczymy usługi kompleksowo (sprzedajemy, podnajmujemy i zarządzamy apartamentami) 2. Posiadamy doświadczonych, rzetelnych Doradców 3. Cenimy czas naszych Klientów 4. Do każdego podchodzimy w sposób indywidualny 5. Gwarantujemy bezpieczeństwo transakcji 6. Umożliwiamy skorzystanie z szerokiej oferty kredytów gotówkowych i hipotecznych 7. Pomagamy w wyborze dodatkowych usług (np. aranżacja wnętrza nieruchomości). Zawsze jesteśmy do dyspozycji naszych KLIENTÓW! Nasi Doradcy przykładają szczególną wagę do rzetelnego prezentowania informacji o nieruchomości. ATRAKCJE TURYSTYCZNE W OKOLICY: Morze i szeroka plaża w odległości 100 m. Malownicze ścieżki i trasy rowerowe wzdłuż morza. Puby, restauracje, kluby, galerie i sklepy w Kołobrzegu. Port rybacki i turystyczny w Kołobrzegu. Labirynt grabowy i ogrody Hortulus Spectabilis. Latarnie morskie w Kołobrzegu, Gąskach i Niechorzu. Stadnina koni i park rozrywki Dziki Zachód. Bezpośrednie sąsiedztwo terenów natura 2000. Lokalizacja, walory estetyczne i wypełnienie przestrzeni wokół kompleksu sprawiają, że turyści w pierwszej kolejności wybierać będą nasz obiekt. Serdecznie zapraszamy do kontaktu: + 48 536 863 933 RYNEK PIERWOTNY. KUPUJĄCY NIE PŁACI PROWIZJI !Treść niniejszego ogłoszenia nie stanowi oferty handlowej w rozumieniu Kodeksu Cywilnego.</t>
  </si>
  <si>
    <t>https://otodom.pl/pl/oferta/apartament-pod-klucz-100-m-do-plazy-iv-etap-ID4byxE</t>
  </si>
  <si>
    <t>4byxE</t>
  </si>
  <si>
    <t>Apartament 3-pokojowy OKO KARKONOSZY</t>
  </si>
  <si>
    <t>ul. Okopowa, Śródmieście, Jelenia Góra, dolnośląskie</t>
  </si>
  <si>
    <t xml:space="preserve">Przedmiotem ogłoszenia jest 3-pokojowe mieszkanie położone na trzecim piętrze w budynku B3 w Jeleniej Górze na os. Rakownica.
Apartament B3.3/19 o powierzchni 57,37m kw. składa się z :
- przestronnego salonu z aneksem kuchennym z wyjściem na balkon z widokiem na Starówkę Jeleniej Góry
- dwóch pokoi
- łazienki
Jeżeli chcesz się cieszyć bliskością centrum miasta – będąc jednocześnie wśród zieleni, mając Oko na słoneczne Karkonosze – nasza oferta jest skierowana właśnie do Ciebie
O INWESTYCJI
Budynek B3 powstanie w I etapie budowy inwestycji OKO KARKONOSZY APARTAMENTY RAKOWNICA. 
Świetna lokalizacja  (18 km do Szklarskiej Poręby, 20 km do Karpacza) stwarza doskonałe warunki dla powstania bazy wypadowej do wypraw w Karkonosze i Góry Izerskie. 
Dojazd do centrum miasta Jeleniej Góry zajmie tylko kilka minut, a pobliskie otoczenie zieleni stworzy doskonałe warunki do spacerów i wypoczynku.
Docelowo powstaną 3 apartamentowce, w których łącznie przekażemy do dyspozycji 105 prestiżowych apartamentów.
W każdym z apartamentowców znajduje się garaż podziemny oraz winda. Komórki lokatorskie, zaprojektowane indywidualnie na każdej kondygnacji, zapewnią komfort i dodatkową przestrzeń. 
W swojej ofercie posiadamy apartamenty o powierzchni użytkowej od 37m kw. do 72m kw.
Zapraszamy serdecznie do kontaktu. 
</t>
  </si>
  <si>
    <t>https://otodom.pl/pl/oferta/apartament-3-pokojowy-oko-karkonoszy-ID4g5ZM</t>
  </si>
  <si>
    <t>4g5ZM</t>
  </si>
  <si>
    <t>Apartament dla koneserów!! U stóp Wawelu!</t>
  </si>
  <si>
    <t>Wygodny apartament w prestiżowej lokalizacji  "Angel Wawel" tuż obok Zamku Królewskiego na Wawelu!!Główne atuty nieruchomości: • prestiżowa lokalizacja• piekny widok• w pełni wykończony lokal Nieruchomość złożona z: • pokój z aneksem kuchennym 32,9 m.kw• sypialnia 14,5 m.kw• łazienka 5,5 m.kw• przedpokój 3 m.kw W skład nieruchomości wchodzą też:• balkon• komórka lokatorska• garaż• miejsce parkingoweTyp ogrzewania: ogrzewanie na gaz miejski. Typ własności: własność. Komfortowy, 2-pokojowy (56 m 2) w pełni wyposażony apartament w najbardziej prestiżowym  miejscu Krakowa, u podnóża Zamku Królewskiego na Wawelu. Nie ma to jak obudzić się rankiem i ujrzeć Wawel; można wręcz poczuć się jak Królowa ewentualnie Król:-)). Królewski Zamek jest bowiem na " wyciągnięcie ręki" dosłownie 300 m w linii prostej od apartamentu.  Lokalizacja  unikatowa, genialna i pożądana. Perełka w każdym calu. Budynek jak na tę lokalizację przystało posiada całe mnóstwo udogodnień począwszy od Spa z basenem i fitnessem, sauną , strefą gier, kawiarni, którą można zaanektować na prywatną imprezę dla znajomych, bibliotekę z czytelnią, pokojem zabaw dla dzieci czy kameralnym 10 osobowym kinem. Bardzo wygodny 2-poziomowy garaż podziemny z wjazdem od ul.Sukienniczej dopełnia obraz tego miejsca.Budynek zbudowany w kształcie litery "O" składa się z części nowoczesnej zbudowanej w 2015 r,  oraz z części dawnej kaplicy z XVI wieku użytkowanej jako 3 poziomowy luksusowy 600 m 2 Penthouse.Szczególnie rekomendowany dla miłośników miejsc niezwykłych, prestiżowych potrafiących docenić tak genialną i unikatową lokalizację. Komfortowy, 2 pokojowy apartament, kompletnie urządzony, wyposażony we wszystkie potrzebne urządzenia i sprzęty. Miejsce dla konesera genialnych miejsc i lokalizacji!Oferta dostępna tylko w Metrohouse. ZADZWOŃ: 883 356 525.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doradcyREAD ABOUT THE PROPERTY IN ENGLISH An apartment for connoisseurs at the foot of Wawel!A comfortable, 2-room (56m2) fully equipped apartment in the most prestigious place in Krakow, at the foot of the Wawel Royal Castle. There's nothing like waking up in the morning and seeing Wawel, you can really feel like royalty! The Royal Castle is at your fingertips; literally 300 m in a straight line from the apartment. Desirable, brilliant and unique location. A gem in every inch. The building, as befits this location, has a whole lot of amenities, ranging from a spa with a swimming pool and fitness room, a sauna, a game zone, a cafe that can be annexed for a party for friends, a library with a reading room, a room for children and ending with an intimate 10-seat cinema. Very comfortable 2-level garage with entrance from ul. Sukiennicza completes the image of this place. The building, built in the shape of the letter "O" (desired symmetry!), consists of a modern part built in 2015 and a part with a former chapel from the 16th century, currently used as a 3-level 600 m 2 luxury penthouse.Concierge services included in fees.With its monuments, theatres, rich cultural, educational and tourist offer, Krakow is not inferior to other European metropolises. We cordially invite you to the "Land of White Bears" :-)). I assure you that absolutely no one will leave here disappointed! Not to mention living here permanently or visiting the city regularly: the apartment awaits!Price negotiable for serious castomers!!Czy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</si>
  <si>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https://otodom.pl/pl/oferta/apartament-dla-koneserow-u-stop-wawelu-ID4jlJj</t>
  </si>
  <si>
    <t>4jlJj</t>
  </si>
  <si>
    <t>4 pokoje w ścisłym Centrum / Duży Balkon / 66m2</t>
  </si>
  <si>
    <t>Koniecpol, Koniecpol, częstochowski, śląskie</t>
  </si>
  <si>
    <t>Oferta sprzedaży czteropokojowego mieszkania o powierzchni ~66m2 w ścisłym Centrum Miasta.Nieruchomość znajduję się na piątym piętrze w wieżowcu po termomodernizacji.Klatka schodowa odświeżona, zabezpieczona domofonem.W budynku nowoczesna winda z 2018r.Mieszkanie składa się z:- sypialni z wyjściem na duży balkon,- 2 oddzielnych pokoi,- salonu,- przedpokoju,- łazienki z WC.W pierwotnym układzie (zdjęcie planu) - w mieszkaniu znajdowały się cztery osobne pomieszczenia (w łatwy sposób można przywrócić ten stan). W łazience zarówno wanna, jak i prysznic.Wystawa okien: wschód-zachód.Pod blokiem parking dla mieszkańców zamykany bramą na pilota.Do mieszkania przynależy piwnica.Nieruchomość położona w bardzo dobrej lokalizacji - bliskość Centrum, dużo zieleni, liczne sklepy osiedlowe, środki komunikacji miejskiej, szkoła, apteka.Polecam i zapraszam do oglądania.  Zainteresowanym klientom pomagamy w uzyskaniu kredytu hipotecznego.Pośrednik odpowiedzialny zawodowo za wykonanie umowy pośrednictwa: Eliza Pabis (licencja nr: 21721)</t>
  </si>
  <si>
    <t>https://otodom.pl/pl/oferta/4-pokoje-w-scislym-centrum-duzy-balkon-66m2-ID4eUTa</t>
  </si>
  <si>
    <t>4eUTa</t>
  </si>
  <si>
    <t>PINEA | zainwestuj nad morzem</t>
  </si>
  <si>
    <t>Pobierowo, Rewal, gryficki, zachodniopomorskie</t>
  </si>
  <si>
    <t xml:space="preserve">Przedstawiamy Państwu ekskluzywny hotelowy apartament inwestycyjny w powstającym obecnie budynku B inwestycji PINEA Resort &amp;amp; Apartments.
PREZENTOWANY APARTAMENT MIEŚCI SIĘ W CZĘŚCI CONDO HOTELU KOMPLEKSU PINEA – JEST OBJĘTY 10-LETNIĄ UMOWĄ NAJMU OPERATORSKIEGO Z WYPŁACANYM MIESIĘCZNIE CZYNSZEM PODLEGAJĄCYM COROCZNEJ WALORYZACJI O WSKAŹNIK INFLACJI GUS.
Apartament zostanie oddany do użytku w stanie wykończonym pod klucz. Oferta obejmuje klimatyzację oraz wyposażenie łazienki (z ogrzewaniem podłogowym).
PINEA to położony w pierwszej linii brzegowej kompleks trzech budynków apartamentowo-hotelowych mieszczących: 
uzdrowiskowy condohotel (obecnie w budowie) 
całoroczne luksusowe apartamenty w 2 stylach wykończenia do wyboru (175 apartamentów oddanych do użytkowania latem 2021 roku w ramach 1. etapu oraz 43 apartamenty obecnie w budowie)
PINEA to także całoroczne restauracje, kompleks basenów oraz luksusowe SPA i gabinety fizjoterapii. 
Za projekt architektoniczny odpowiadają dwa wielokrotnie nagradzane zespoły projektantów - międzynarodowe biuro projektowe Chapman Taylor - autorzy nowoczesnego projektu architektonicznego oraz polsko-belgijskie biuro projektowe ELD - twórcy klimatycznych wnętrz. 
Propozycja zagospodarowania terenu i projekt mebli zostały przygotowane przez Pawła Grobelnego - jednego z najbardziej utytułowanych polskich projektantów sztuki użytkowej.
Inwestycja zlokalizowana została w zachodniej części polskiego wybrzeża, w kameralnym gęsto porośniętym sosnowym lasem Pobierowie. To niezwykłe miejsce szczyci się krystalicznie czystym powietrzem, pięknymi plażami i niezwykłymi terenami rekreacyjnymi. 
PINEA to doskonała inwestycja - lokata kapitału zapewniająca regularne zyski z wynajmu oraz skuteczna ochrona przed inflacją. Unikalne walory lokalizacji w połączeniu z całoroczną ofertą usługową gwarantują wzrost wartości inwestycji w dłuższej perspektywie. Płatność realizowana jest w transzach zgodnych z etapem budowy, a ceny podlegają gwarancji w chwili podpisania umowy. 
Generalnym wykonawcą inwestycji jest renomowana firma STRABAG. 
Zainwestuj, ciesz się wolnością i zabezpiecz się przed inflacją.
</t>
  </si>
  <si>
    <t>https://otodom.pl/pl/oferta/pinea-mieszkanie-nad-morzem-ID4jR7b</t>
  </si>
  <si>
    <t>4jR7b</t>
  </si>
  <si>
    <t>Apartament, ul. Pomarańczowa blisko ZTM</t>
  </si>
  <si>
    <t>ul. Pomarańczowa, Marki, wołomiński, mazowieckie</t>
  </si>
  <si>
    <t>Mamy do zaoferowania Państwu mieszkania w Markach przy ulicy Pomarańczowej:Mieszkania 53m2 na parterze, dwupokojowej z garderobą.Wykaz powierzchni:- wiatrołap - 1,75 m2- komunikacja - 2,68 m2- pokój z aneksem kuchennym - 27,34 m2- pokój - 10,08 m2- garderoba 4,21 m2- łazienka 6,97 m2Cena mieszkania wraz z ogródkiem i miejscem parkingowym 499tys.złlubmieszkanie 119,26m2 dwupoziomoweWykaz powierzchni:Parter: przedsionek 1,37m2Piętro:- komunikacja - 4,93 m2- przedpokój - 3,64 m2- pokój z aneksem kuchennym - 27,19 m2- pokój - 10,08 m2- garderoba 4,21 m2- pokój - 8,39m2- łazienka 7,26 m2Poddasze:- podest - 1,40m2- pokój - 28,85m2/ 31,42m2- pokój - 9,14m2/10,85m2- pokój - 8,64/ 14,74m2- łazienka - 4,25m2/ 5,68m2Za mieszkania górnego można zrobić dwa oddzielne mieszkania.Poddasze jest ocieplone pianką poliuretanową.Cena mieszkania górnego to 599tys.złW mieszkaniach ogrzewanie podłogowe w łazienkach oraz w aneksie kuchennym.Blisko do autobusu, 400m do przystanku autobusowego przy ulicy Legionowej.Zapraszam do oglądania każdego dnia tygodnia.</t>
  </si>
  <si>
    <t>https://otodom.pl/pl/oferta/apartament-ul-pomaranczowa-blisko-ztm-ID4frsP</t>
  </si>
  <si>
    <t>4frsP</t>
  </si>
  <si>
    <t>Piękny Nowy Dom Kredyt 2% możliwy osobny Gabinet</t>
  </si>
  <si>
    <t>Dom warty uwagi, Poznania i Pokochania!
Drodzy Państwo ta Nieruchomość Czeka na Was!
Zapraszamy do zapoznania się z ofertą sprzedaży tego domu a przy okazji bezproblemowo zajmiemy się sfinansowaniem zakupu nieruchomości.
LOKALIZACJA Dom znajduje się w miejscowości Oborniki, około 1 km do centrum Obornik , około 15 km od Szamotuł i Rogoźna, 30 km od Poznania.
 NAJBLIŻSZE OTOCZENIE Dom znajduje się na osiedlu domków jednorodzinnych, niedaleko znajdują się markety, szkoły, przedszkola, centrum rekreacji.
OPIS
Prezentujemy  świetnie zaprojektowany na sprzedaż 4-letni dom w zabudowie szeregowej o powierzchni 141 m2 z 5 pokojami.
Parter: Wiatrołap prowadzi Nas do salonu z aneksem kuchennym, dalej wyjściem na zadaszony i zagospodarowany taras. Pod schodami wykonanymi z litego drewna prowadzącymi na piętro domu znajduje się toaleta dla gości, a tuż obok skrytka z umieszczonym piecem gazowym i zasobnikiem wody.
Drugimi drzwiami z wiatrołapu wchodzimy do niezależnej wykończonej części nieruchomości stanowiącej pokój z łazienką, a które może stanowić również   np. gabinet kosmetyczny, salon fryzjerski, gabinet lekarski, biuro, garderobę, pomieszczenie gospodarcze  lub inne funkcyjne pomieszczenie przeznaczone na własne potrzeby. W tej części są dostępne wszystkie media.
Na piętrze znajdują się 3 duże pokoje oraz duża łazienka z wanną i prysznicem.
Nieruchomość jest w całości opłotowana, z frontem wita kostka brukowa, a na tyle budynku wychodząc z gustownego salonu wychodzimy na pięknie zazielenianie i w pełni zagospodarowany ogród z tarasem będącym idealnym miejscem na wypoczynek.
ZAPRASZAMY NA PREZENTACJĘ Chętnie przedstawimy ofertę podczas osobistego spotkania i prezentacji nieruchomości. Zachęcamy do umówienia się! Ponad to oferujemy pełne wsparcie w uzyskaniu kredytu, porównamy dla Ciebie ofertę wszystkich banków!  Krystian Kędzia tel. 501-160-513
 Opis oferty zawarty na stronie internetowej sporządzany jest na podstawie oględzin nieruchomości oraz informacji uzyskanych od właściciela, może podlegać aktualizacji i nie stanowi oferty określonej w art. 66 i następnych K.C
Przy zakupie nieruchomości do ceny należy doliczyć kwotę podatku od czynności cywilno- prawnych, koszt taksy notarialnej oraz koszt obsługi transakcji przez biuro nieruchomości"
Prezentacja nieruchomości przy udziale agenta nieruchomości wiąże się z obowiązkiem podania swoich danych osobowych a także wyrażeniem pisemnej zgody na wykonanie usługi pośrednictwa w zakupie lub najmie nieruchomości.
 </t>
  </si>
  <si>
    <t>https://otodom.pl/pl/oferta/piekny-nowy-dom-kredyt-2-mozliwy-osobny-gabinet-ID4mlpe</t>
  </si>
  <si>
    <t>4mlpe</t>
  </si>
  <si>
    <t>Pensjonat po remoncie Wisła.</t>
  </si>
  <si>
    <t>Wisła, cieszyński, śląskie</t>
  </si>
  <si>
    <t>NIERUCHOMOŚĆ Z POTENCJAŁEM. Wisła do sprzedaży pensjonat po remoncie o powierzchni 450 m2 na działce o powierzchni 1280 m2. Budynek z przełomu lat 60/70 w 2013 roku przeszedł kapitalny remont. Wykonany z bardzo dobrych materiałów. Wybudowany z cegły i pustaka Maxa,ocieplony,dach pokryty blachą miedzianą, Media; prąd,woda,gaz,kanalizacja. Ogrzewanie gazowe/piec Viessmann/instalacja grzewcza wykonana w miedzi. Dodatkowo internet i telefon. Pensjonat składa się z 8 pokoi o wysokim standardzie z łazienkami,wyposażone w meble i TV.Niektóre z nich posiadają również kominki /pokój trzy osobowy,dwa pokoje typu studio (sypialnia + pokój dzienny) dwu lub czteroosobowe,dwa pokoje dwu osobowe z kominkami ( jeden z nich w stylu góralskim),trzy pokoje dwu osobowe standard/,aneks kuchenny dostępny dla klientów,duża świetlica jadalnia z aneksem kuchennym dostępna dla gości,duża kuchnia wyposażona w windę gospodarczą daje możliwość uruchomienia własnego wyżywienia dla klientów,w pełni wyposażona sauna. Do dyspozycji gości pozostaje ogród w którym znajduje się duża altana z grillem, a także wyodrębnione miejsce na organizowanie ognisk. Bardzo ładnie położony z pięknym widokiem na góry. Wisła oferuje wiele kilometrów pieszych szlaków, licznych wyciągów narciarskich oraz kilkunastu kilometrów tras zjazdowych. Centralne położenie Wisły daje możliwość zwiedzania okolicznych miejscowości Koniakowa, Szczyrku, Ustronia,Cieszyna czy Bielska. Dla spragnionych wrażeń są do dyspozycji parki linowe, quady, tory gokartowe, paintball, łucznictwo oraz wiele innych atrakcji. Serdecznie zapraszam na prezentację. Rozmawiamy po angielsku,niemiecku i włosku. Zapewniamy pomoc w doborze oraz uzyskaniu najkorzystniejszego kredytu hipotecznego na zakup bądź remont nieruchomości. Powyższe informacje zostały sporządzone na podstawie oświadczeń i nie są ofertą handlowa w rozumieniu przepisów kodeksu cywilnego ART.66KC, mają tylko charakter informacyjny i reklamowy, a zawarte w niej informacje mogą ulec zmianie. Wszystkie teksty, rysunki, zdjęcia oraz wszystkie inne informacje opublikowane na niniejszych stronach podlegają prawom autorskim. Wszelkie kopiowanie,dystrybucja,elektroniczne przetwarzanie oraz przesyłanie zawartości bez zezwolenia zabronione. Wszelkie prawa zastrzeżone. WGN zapewnia rynkowe ceny, bezpieczeństwo korzystnej transakcji oraz pomoc notariusza. Wyróżniamy się pełnym zaangażowaniem, ekspercką wiedzą i najwyższym poziomem usług opartych na ponad 30-letnim doświadczeniu. Stosujemy System Jakości ZJ WGN oraz Kodeks Etyki Zawodowej Polskiej Federacji Rynku Nieruchomości.</t>
  </si>
  <si>
    <t>https://otodom.pl/pl/oferta/pensjonat-po-remoncie-wisla-ID4iGGZ</t>
  </si>
  <si>
    <t>4iGGZ</t>
  </si>
  <si>
    <t>Apartament przy plaży Tre Mare Jelitkowo</t>
  </si>
  <si>
    <t>ul. Jelitkowska, Jelitkowo, Gdańsk, pomorskie</t>
  </si>
  <si>
    <t>Na sprzedaż apartament w pasie nadmorskim, zaledwie 200 m od plaży.Apartament zlokalizowany jest w kompleksie inwestycyjnym "Tre Mare Rsidence", na pograniczu Gdańska i Sopotu. W bezpośrednim sąsiedztwie znajdują się korty tenisowe, pływalnie, szkółki windsurfingowe i żeglarskie oraz ośrodki spa. Zdrowo czas spędzać można na licznych ścieżkach rowerowych i alejkach spacerowych Parku Jelitkowskiego. Bliskość Sopotu gwarantuje dostęp nie tylko do infrastruktury uzdrowiskowej, ale także szerokiej gamy restauracji i bogatego życia nocnego. W części podziemnej budynku, oprócz hali garażowej, znajduje się specjalna strefa  wypoczynkowo-rekreacyjna z klubem fitness, sauną oraz pokojem klubowym. Najmłodsi mieszkańcy inwestycji mają do swojej dyspozycji plac zabaw. Cały teren inwestycji ogrodzony i monitorowany.Apartament o powierzchni 42 m2 składa się z: - salonu z aneksem kuchennym, - sypialni oddzielonej od salonu dużymi, rozsuwanymi drzwiami, - łazienki z dużym prysznicem, - przedpokoju. Całość wykończona w stylu marynistycznym. Do apartamentu przynależy komórka lokatorska. Istnieje możliwość kupienia miejsca postojowego w hali garażowej w cenie 100.000 zł. Prestiżowa, bezpieczna i cicha okolica. Dodatkowym atutem jest taras na dachu z widokiem na morze, wyłącznie do korzystania przez zaledwie właścicieli 3 apartamentów. Nieruchomość idealnie nadaje się na wakacyjne mieszkanie, jak i do najmu krótkoterminowego. Serdecznie zapraszam na prezentacje.</t>
  </si>
  <si>
    <t>https://otodom.pl/pl/oferta/apartament-przy-plazy-tre-mare-jelitkowo-ID4mmmS</t>
  </si>
  <si>
    <t>4mmmS</t>
  </si>
  <si>
    <t>60 M 2, 1sze piętro , 3 pkojowe</t>
  </si>
  <si>
    <t xml:space="preserve">Sprzedam mieszkanie na Męczenników Oświęcimskich koło sklepu Netto . 3 pokojowe  , 60 m 2 . Mieszkanie dwustronne rozkładowe z balkonem długim na 4 m . Oddzielna kuchnia , jasna z oknem , osobno WC . Ciepła woda z sieci , ogrzewanie miejskie . Zostają meble w kuchni . Czynsz 700 zł.  Do mieszkania należy piwnica 5m 2. Blok po termomodernizacji , domofony , teren zagospodarowany zielenią .  Parking strzeżony 200 m od bloku . Blisko galeria , sklepy , lekarz , kościół. Stan prawny  czysty . Pełna własność z ziemią .Pośrednik odpowiedzialny zawodowo za wykonanie umowy pośrednictwa: Alicja Chabraś (licencja nr: 3672)-Wszystkie informacje dotyczące opisu nieruchomości podane są przez właściciela, mają charakter wyłącznie informacyjny i mogą podlegać aktualizacji. Oferta dotycząca nieruchomości stanowi zaproszenie do rokowań zgodnie z art.71 KC i nie stanowi oferty określonej w art.66 i następnych KC.   Informacja  przekazana przez agenta / właściciela biura uważana jest za dokładną i rzetelną, ale nie jest gwarantowana i powinna być niezależnie zweryfikowana.  </t>
  </si>
  <si>
    <t>https://otodom.pl/pl/oferta/60-m-2-1sze-pietro-3-pkojowe-ID4k9vw</t>
  </si>
  <si>
    <t>4k9vw</t>
  </si>
  <si>
    <t>4 pokoje z dużym balkonem na Jagodnie</t>
  </si>
  <si>
    <t>ul. Buforowa, Jagodno, Krzyki, Wrocław, dolnośląskie</t>
  </si>
  <si>
    <t>Opiekun Oferty:Patrycja Kaczmarektel. 602 101 602Mieszkania o powierzchni 59,43 m2 położonego na 1 piętrze 4 pokoje z balkonem w nowoczesnym budownictwie .Istnieje możliwość dokupienia miejsca postojowego i komórki. Mieszkanie składa się z:Sypialni 10m2Pokoju 7m2pokoju 10 m2Pokoju dziennego z aneksem kuchennym 20 m2Łazienki 4,5 m2Przedpokoju 9 m2taras ok. 8 m2Atrakcyjna lokalizacja zapewniająca pełen dostęp do infrastruktury miejskiej w bardzo prężnie rozwijającej się dzielnicy. Lokalizacja:Jedna z najbardziej cenionych lokalizacji we Wrocławiu. Charakteryzuje się szybkim dojazd do centrum środkami komunikacji autobusowej i tramwajowej, bliskością terenów zielonych, punktów handlowo-usługowych i innych obiektów użyteczności publicznej. Rekomendacja Eksperta SDP Nieruchomości:Tę nieruchomość szczególnie polecam zakupić osobom, poszukującym mieszkania w miejskiej okolicy. Spokojni sąsiedzi, piękne tereny spacerowe, place zabaw oraz dogodny dojazd do centrum to atuty, które na pewno przypadną do gustu najbardziej wymagającym. To również świetna oferta inwestycyjna.Niedostateczne środki? To nie problem:Pomagamy w uzyskaniu finansowania na tę i inne nieruchomości. Zadzwoń i zapytaj o szczegóły.Posiadamy więcej mieszkań w tej inwestycji.Mieszkania sprzedawane w stanie deweloperskim.Zapraszam do kontaktu.Patrycja Kaczmarektel. 602 101 602</t>
  </si>
  <si>
    <t>https://otodom.pl/pl/oferta/4-pokoje-z-duzym-balkonem-na-jagodnie-ID4fOgx</t>
  </si>
  <si>
    <t>4fOgx</t>
  </si>
  <si>
    <t>Apartament na Starym Żoliborzu</t>
  </si>
  <si>
    <t>ul. Generała Józefa Zajączka, Stary Żoliborz, Żoliborz, Warszawa, mazowieckie</t>
  </si>
  <si>
    <t>OGŁOSZENIE BEZPOŚREDNIE / BEZ PROWIZJI!
Komfortowo zaprojektowany, słoneczny (wschód / zachód), klimatyzowany i cichy apartament zlokalizowany na ostatnim 5 piętrze w apartamentowcu wybudowanym przez SKANSKA w 2006 roku w samym sercu Starego Żoliborza. 
Apartament znajduje się na terenie zamkniętego i monitorowanego 24/7 kameralnego osiedla z recepcją, zielonym i zadbanym patio oraz ze strefą relaksu dla wyłącznego użytku mieszkańców, w której mieści się basen, sauna oraz siłownia.
Apartament został funkcjonalnie zaprojektowany i wykończony wysokiej klasy materiałami z licznymi meblami pod zabudowę maksymalnie wykorzystującymi przestrzeń. Mieszkanie składa się z części dziennej, z reprezentacyjnym holem, przestronnym salonem wraz z marmurowym kominkiem, oraz kuchni oddzielonej przesuwnymi drzwiami. W apartamencie znajdują się ponadto 3 sypialnie w tym jedna master z łazienką z wanną. Druga łazienka z prysznicem jest dostępna od hallu mieszkania.
Od zachodu, znajduje się taras, z którego rozciąga się malowniczy widok na Stary Żoliborz i jego zieleń.
Ponad standardowa wysokość mieszkania 3,0 m (tylko na ostatnim piętrze) oraz wykończenie w drewnie i kamieniu czynią wnętrze przyjemnymi i eleganckimi.
Apartament jest bardzo dobrze doposażony technicznie z zainstalowanymi pod sufitem podwieszanym 3 klimatyzatorami, system mechanicznej wentylacji z rekuperacją, podgrzewanymi podłogami oraz instalacją alarmową. Apartament jest odmalowany, gotowy do wprowadzenia od zaraz. Na piętrze mieszczą się tylko trzy lokale.
Do lokalu o powierzchni 98 m2 przynależą dwie komórki lokatorskie oraz jedno podwójne miejsce garażowe (parkowanie obok siebie) dodatkowo płatne w cenie 90,000 zł.
Atutem Starego Żoliborza jest niewielka odległość do centrum, gdzie w kilka minut można dojechać autobusem, tramwajem lub metrem. W pobliżu w pełni rozwinięta infrastruktura, mnóstwo terenów rekreacyjnych oraz obiektów sportowych. W bliskiej okolicy znajdziemy świetne restauracje i klimatyczne kawiarnie a zarazem spokój, ciszę i zieleń.
Cena:
2,450,000 PLN (25,000 / m2) plus 90,000 PLN za podwójne miejsce garażowe, łącznie 2,540,000 PLN
Dla pośredników:
Nie zezwalamy na powielanie ogłoszenia oraz zdjęć na portalach nieruchomości. Współpraca tylko przy prowizji płatnej przez nabywcę. Nie zgadzamy się na doliczenie prowizji do ceny mieszkania.</t>
  </si>
  <si>
    <t>https://otodom.pl/pl/oferta/apartament-na-starym-zoliborzu-ID4lmEH</t>
  </si>
  <si>
    <t>4lmEH</t>
  </si>
  <si>
    <t>Dla singla, z balkonem i pięknym widokiem na wodę</t>
  </si>
  <si>
    <t>Na sprzedaż całkowicie wyremontowana  kawalerka o powierzchni 19,78m2Położona na 1 piętrze z balkonem przy ul. Wybrzeże Wład. IV z pięknym, rozległym  widokiem na wodę.W skład kawalerki wchodzi pokój dzienny z aneksem kuchennym, łazienka z kabiną prysznicową, korytarz oraz balkon.Aneks kuchenny wyposażony jest w meble w zabudowie, lodówko-zamrażarkę,kuchnię indukcyjną 2- palnikową, w kuchenkę mikrofalową oraz czajnik.Remont został wykonany z należytą starannością o każdy szczegół, nowe jest praktycznie wszystko.Wymieniono również elektrykę oraz piony kanalizacyjne.Mieszkanie całkowicie umeblowane i gotowe do zamieszkania lub pod wynajem.Idealne jako punkt wypadowy lub pod wynajem krótkoterminowy.Ogrzewanie miejskie.Niski czynsz w wysokości 270złZapraszam do kontaktu.Oferta wysłana z programu dla biur nieruchomości ASARI CRM ()</t>
  </si>
  <si>
    <t>https://otodom.pl/pl/oferta/perfekcyjna-mikrokawalerka-z-widokiem-na-wode-ID4lYKR</t>
  </si>
  <si>
    <t>4lYKR</t>
  </si>
  <si>
    <t>4 pokoje z balkonem/60m2/Narciarska</t>
  </si>
  <si>
    <t>ul. Narciarska, Karolew, Polesie, Łódź, łódzkie</t>
  </si>
  <si>
    <t xml:space="preserve">Na sprzedaż czteropokojowe mieszkanie o powierzchni 59,5m2 zlokalizowane na parterze w bloku czteropiętrowym przy ul. Narciarskiej w Łodzi.Mieszkanie dwustronne na które składa się: salon z aneksem kuchennym, trzy pokoje,  przedpokój, łazienka, osobne WC oraz balkon z widokiem na zieleń.Zdjęcia przedstawiają standard wykończenia poprzedniej realizacji.Oferowane mieszkanie będzie wykonane w praktycznie identycznym standardzie.Planowany koniec prac remontowych przewidziany na połowę września.W mieszkaniu będzie wymieniona elektryka. Nowe drzwi, futryny, kaloryfery.W przedpokoju, kuchni na podłodze kafle, w pokojach panele. Meble kuchenne na wymiar.W łazience szafka z umywalką, prysznic, misa WC miejsce na pralkę. Na przedpokoju szafy na wymiar.Na obecnym etapie jest możliwość wejścia na inwestycję i ewentualne zmiany.Blok po termomodernizacji, wyremontowane klatki schodowe.Mieszkanie znajduje się w dogodnej lokalizacji. W pobliżu markety, Przedszkole, Szkoła Podstawowa, Park Na Zdrowiu, Aquapark Fala, ZOO .Do przystanków tramwajowych i autobusowych dojdziemy zaledwie w kilka minut.Inwestycja świetnie sprawdzi się pod wynajem. Zielona i spokojna okolica.Do mieszkania przynależna piwnica.Przed budynkiem ogólnodostępne miejsca postojowe. Warto z nami współpracować ponieważ:pomożemy wynegocjować najlepszą cenę dla Ciebieoferujemy wsparcie przy uzyskaniu finansowania na zakup nieruchomości z opcją dodatkowych korzyścipomożemy we wszystkich formalnościach.oferujemy szereg innych usług związanych z zakupem nieruchomości Serdecznie zapraszam do kontaktu i prezentacji mieszkania.*Prezentowana oferta nie stanowi oferty handlowej w rozumieniu Art. 66&amp;sect;1 Kodeksu Cywilnego, a dane w niej zawarte mają charakter jedynie informacyjny i mogą ulec zmianie. </t>
  </si>
  <si>
    <t>https://otodom.pl/pl/oferta/4-pokoje-z-balkonem-60m2-narciarska-ID4m7CB</t>
  </si>
  <si>
    <t>4m7CB</t>
  </si>
  <si>
    <t xml:space="preserve">Przedstawiamy Państwu ekskluzywny hotelowy apartament inwestycyjny w powstającym obecnie budynku B inwestycji PINEA Resort &amp;amp; Apartments.
PREZENTOWANY APARTAMENT MIEŚCI SIĘ W CZĘŚCI CONDO HOTELU KOMPLEKSU PINEA – JEST OBJĘTY 10-LETNIĄ UMOWĄ NAJMU OPERATORSKIEGO Z WYPŁACANYM MIESIĘCZNIE CZYNSZEM PODLEGAJĄCYM COROCZNEJ WALORYZACJI O WSKAŹNIK INFLACJI GUS.
Apartament zostanie oddany do użytku w stanie wykończonym pod klucz. Oferta obejmuje klimatyzację oraz wyposażenie łazienki (z ogrzewaniem podłogowym).
PINEA to położony w pierwszej linii brzegowej kompleks trzech budynków apartamentowo-hotelowych mieszczących: 
uzdrowiskowy condohotel (obecnie w budowie) 
całoroczne luksusowe apartamenty w 2 stylach wykończenia do wyboru (175 apartamentów oddanych do użytkowania latem 2021 roku w ramach 1. etapu oraz 43 apartamenty obecnie w budowie)
PINEA to także całoroczne restauracje, kompleks basenów oraz luksusowe SPA i gabinety fizjoterapii. 
Za projekt architektoniczny odpowiadają dwa wielokrotnie nagradzane zespoły projektantów - międzynarodowe biuro projektowe Chapman Taylor - autorzy nowoczesnego projektu architektonicznego oraz polsko-belgijskie biuro projektowe ELD - twórcy klimatycznych wnętrz. 
Propozycja zagospodarowania terenu i projekt mebli zostały przygotowane przez Pawła Grobelnego - jednego z najbardziej utytułowanych polskich projektantów sztuki użytkowej.
Inwestycja zlokalizowana została w zachodniej części polskiego wybrzeża, w kameralnym gęsto porośniętym sosnowym lasem Pobierowie. To niezwykłe miejsce szczyci się krystalicznie czystym powietrzem, pięknymi plażami i niezwykłymi terenami rekreacyjnymi. 
PINEA to doskonała inwestycja - lokata kapitału zapewniająca regularne zyski z wynajmu oraz skuteczna ochrona przed inflacją. Unikalne walory lokalizacji w połączeniu z całoroczną ofertą usługową gwarantują wzrost wartości inwestycji w dłuższej perspektywie. Płatność realizowana jest w transzach zgodnych z etapem budowy, a ceny podlegają gwarancji w chwili podpisania umowy. 
Generalnym wykonawcą inwestycji jest renomowana firma STRABAG. 
Zainwestuj, ciesz się wolnością i zabezpiecz się przed inflacją. Rentowność nawet do 9,9%.
</t>
  </si>
  <si>
    <t>https://otodom.pl/pl/oferta/pinea-zainwestuj-nad-morzem-ID4jRcZ</t>
  </si>
  <si>
    <t>4jRcZ</t>
  </si>
  <si>
    <t>apartament 2 pokojowy w Dune, Mielno, 20m od plaży</t>
  </si>
  <si>
    <t>ul. Pionierów, Mielno, Mielno, koszaliński, zachodniopomorskie</t>
  </si>
  <si>
    <t>apartament 2 pokojowy w Dune, Mielno, 20m od plaży! KOMFORTOWY W PEŁNI WYPOSAŻONY LUKSUSOWY APARTAMENT - 20m OD PLAŻY.Polecamy 2 pokojowy apartament z aneksem kuchennym i łazienką o łącznej powierzchni 58,35m2 oraz dużym o pow. 58,42m2 tarasem, położony bezpośrednio przy promenadzie nadmorskiej i plaży w najbardziej znanym w Mielnie kompleksie apartamentowym DUNE.Apartament położony jest na II piętrze w nowoczesnym V-kondygnacyjnym budynku apartamentowym DUNE zrealizowanym w 2018r., w którym znajdują się apartamenty na kondygnacjach od parteru do V-go piętra, elegancka restauracja, siłownia oraz część SPA z basenem wewnętrznym, natomiast na kondygnacji podziemnej zlokalizowana jest hala garażowa z miejscami postojowymi.Piękny wystrój apartamentu w bardzo dobrym eleganckim stylu oraz bezpośrednia lokalizacja przy promenadzie i plaży, pełna oferta kompleksu rekreacyjnego - pozwolą na pełny relaks Tobie oraz wszystkim, którzy zechcą spędzić tutaj swoje wakacje.Apartament posiada duży pięknie zaaranżowany prywatny taras połączony z ogródkiem o łącznej powierzchni aż 58,42m2. Tylko 2 takie apartamenty (z takim tarasem w całym DUNE).Wspólnota mieszkaniowa wyraziła zgodę na lokalizację prywatnego jacuzzi na tarasie (wraz ze wszystkimi podłączeniami), które zapewni wszystkim gościom pełny relaks w każdym momencie dnia. Idealne miejsce na odpoczynek po całym dniu plażowania. STANDARD I WYPOSAŻENIE APARTAMENTU.- powierzchnie pomieszczeń: salon z kuchnią 29,3m2, sypialnia 17,66m2, łazienka z wc 4,80m2, korytarz 6,86m2, taras z ogródkiem 58,42m2;- duża przeszklona ściana okien od strony wschodniej oraz od strony południowej daje pełne nasłonecznienie apartamentu w całym apartamencie;- wyjście poprzez drzwi balkonowe na taras o powierzchni 58,42m2 – wyjście na taras zarówno z salonu, jak i z jadalni;- pełne umeblowanie i wyposażenie niezbędne do prowadzenia wynajmu apartamentu zawarte w cenie sprzedaży;- ogrzewanie: zaawansowany system VRV (system nawiewowy z klimatyzacji);- możliwość zgłoszenia apartamentu do firmy zajmującej się profesjonalnym wynajmem apartamentów; aktualna cena wynajmu tego apartamentu w sezonie to kwota 1.300,- zł/dobę.OPŁATY.Czynsz do wspólnoty:- 870,- zł apartament;- 190,- zł miejsce postojowe w hali garażowej;Rozliczenie mediów następuje na podstawie indywidualnego zużycia. APARTAMENTOWIEC DUNE.Budynek DUNE usytuowany bezpośrednio przy promenadzie i plaży. Do dyspozycji gości: basen zewnętrzny, siłownia, SPA, plac zabaw, restauracja, winda.Kompleks DUNE to nowoczesny obiekt zawierający 3 budynki: DUNE A z basenem zewnętrznym i restauracją od strony promenady, DUNE B z basenem wewnętrznym, restauracją, siłownią oraz DUNE C.DUNE RESORT to spektakularny kompleks 330 apartamentów ze strefą rekreacyjną z basenami, sauną i ekskluzywną salą fitness. Zlokalizowany tuż przy nadmorskiej promenadzie, z bezpośrednim dostępem do piaszczystej plaży. PRZEZNACZENIE.Apartament służy właścicielom na potrzeby własne oraz powierzony jest firmie zajmującej się wynajmowaniem apartamentów (możliwość kontynuowania tej umowy o zarządzanie). Apartament ten cieszy się dużym powodzeniem wśród turystów i posiada wiele bardzo wysokich not i opinii.CENA.Cena apartamentu wynosi: 1.744.665 ,- zł. Do apartamentu należy dokupić miejsce postojowe w podziemnej hali garażowej w cenie 80.000,- zł.Przy zakupie brak możliwości skorzystania z odliczenia podatku Vat.PREZENTACJA APARTAMENTU.Wyłącznie po uprzednim kontakcie z biurem.KOMUNIKACJA.Poznań – Mielno: 250km, Warszawa – Mielno: 469km, Wrocław - Mielno: 425km, Berlin – Mielno: 312km.OPIS MIEJSCOWOŚCI.Mielno to jeden z najbardziej znanych kurortów na Pomorzu Środkowym, słynący z piaszczystych, czystych plaż, rokrocznie nagradzany za kąpielisko spełniające wymogi bezpieczeństwa i czystości wody. Morze Bałtyckie oraz bliskość J. Jamno to doskonałe połączenie dla osób ceniących wypoczynek nad wodą.Zainteresowała Ciebie ta oferta? Zadzwoń lub napisz do nas i dowiedz się więcej.Zapraszamy!</t>
  </si>
  <si>
    <t>https://otodom.pl/pl/oferta/apartament-2-pokojowy-w-dune-mielno-20m-od-plazy-ID4fWPo</t>
  </si>
  <si>
    <t>4fWPo</t>
  </si>
  <si>
    <t>Luksusowe apartamenty 100 M DO PLAŻY! IV etap już w sprzedaży! Apartament 0.A.1Promocja: wykończenie pod klucz w cenie lokaluCena brutto apartamentu wynosi: 636 379,00 zł (&amp;quot;pod klucz&amp;quot;)  Cena miejsca postojowego wraz z udziałem w działce: 33 000,00 zł brutto Powierzchnia użytkowa apartamentu: 42,71 m2Powierzchnia tarasu: 10,9 m2Rozpoczęcie budowy etapu IV lipiec 2021Zakończenie budowy etapu IV wrzesień 2022 IV etap naszej inwestycji jest zlokalizowany najbliżej linii brzegowej, a przy tym wykończony o klasę wyżej: mamy tutaj ogrzewanie podłogowe, duże, przesuwne okna tarasowe i wiele innych udogodnień, których nie mają poprzednie etapy. Ten etap to nasza perełka, dla najbardziej wymagających klientów. Apartament dwupokojowy, od strony południowej, z dużym tarasem, pięknie doświetlony, w otoczeniu zieleni. Na apartament składa się: salon z aneksem kuchennym, sypialnia, łazienka, taras. Duże witryny okienne sprawiają, że apartament jest bardzo jasny i przestronny. Możliwość wykupienia komórki lokatorskiej w cenie: 12 300,00 zł brutto. W obiekcie znajduje się cichobieżna winda. Na terenie inwestycji planowane są również restauracje, siłownie, salon SPA. Nasz nowoczesny kompleks apartamentowo-hotelowy to inwestycja z wielkimi możliwościami, położona w przepięknej nadmorskiej miejscowości. W bliskim sąsiedztwie znajdują się sklepy, restauracje, ścieżki rowerowe i spacerowe i co najważniejsze piękna, czysta, szeroka plaża. Do dyspozycji gości w Etapie IV będzie 28 apartamentów jedno-, dwu- oraz trzypokojowych o metrażu od 26,35 m2 do 98,49 m2. Teren inwestycji składa się z dwóch części: północnej i południowej. W części północnej goście będą mogli korzystać z pięknej infrastruktury relaksacyjno-rekreacyjnej na terenach Natura 2000 ogrodu i parku z drewnianymi pergolami, słonecznymi pomostami i tarasami wypoczynkowymi. Na terenie kompleksu wybudowanych zostanie 390 miejsc parkingowych. Otwarte zielone przestrzenie z trawnikami, kwietnikami, drewnianymi tarasami, małymi placami zabaw i ścieżkami spacerowymi dają możliwość błogiego odpoczynku. Możecie Państwo wybrać również opcję inwestycyjną, a wynajmem Waszego apartamentu zajmie się doświadczony operator, od lat pracujący na tym rynku. Jest to idealna propozycja dla osób poszukujących ciekawych i bezpiecznych możliwości zainwestowania swojego kapitału, właściciel apartamentu w czasie, kiedy nie korzysta z lokalu, może go wynająć i zarabiać. OPIS OTOCZENIA: To niesamowite miejsce, gdzie cisza i spokój spotyka się z pomysłem na biznes, a bliskość Kołobrzegu to świetna okazja do korzystania z atrakcji dużego i nowoczesnego kurortu. Nasza inwestycja znajduje się w wymarzonej miejscowości dla wielbicieli morskich kąpieli w ciepłe, słoneczne dni. Można śmiało powiedzieć, że są to kołobrzeskie przedmieścia, dzięki czemu łatwo można włączyć się w rytm tego pięknego i ciekawego miasta. OPIS INWESTYCJI: Nasza inwestycja jest idealnym miejscem dla osób marzących o wypoczynku w urokliwej nadmorskiej miejscowości z dala od zgiełku. Obiekty apartamentowe, wkomponowane zostały w istniejącą dookoła zieleń, przy samej szerokiej plaży. Wszystkie budynki zostały wykonane w nowoczesnej formie, dodając prestiżu inwestycji. Morze korzyści: 1. zysk przez cały rok, nie tylko w sezonie letnim 2. cena za m2 apartamentu znacznie niższa niż w Kołobrzegu 3. nowoczesna inwestycja położona przy samym morzu 4. przepiękna okolica i naturalne otoczenie 5. szerokie i niezatłoczone plaże 6. mnogość atrakcji w promieniu kilku kilometrów 7. możliwość wykończenia pod klucz. Zatoka nad którą leży nasza inwestycja, obfita jest w bursztyny, a fale w niej są znacznie mniej intensywne niż w innych nadmorskich kurortach, zatem miejsce naszej inwestycji jest idealne dla rodzin z małymi dziećmi. To właśnie w tej malowniczej nadmorskiej miejscowości, tuż przy plaży powstanie nasza inwestycja hotelowo-rekreacyjna. Nasze miejsce słynie z bardzo szerokich plaż, mających nawet 40 metrów szerokości, gdzie bez problemu można znaleźć swoją oazę spokoju. Rosnące przy wydmach lasy sosnowe dodatkowo potęgują uczucie błogiego relaksu, tworząc unikalny mikroklimat, który dobroczynnie wpływa na nasze drogi oddechowe. DLACZEGO WARTO WYBRAĆ NAS? 1. Nie pobieramy prowizji przy zakupie nieruchomości z rynku pierwotnego. * świadczymy usługi kompleksowo (sprzedajemy, podnajmujemy i zarządzamy apartamentami) 2. Posiadamy doświadczonych, rzetelnych Doradców 3. Cenimy czas naszych Klientów 4. Do każdego podchodzimy w sposób indywidualny 5. Gwarantujemy bezpieczeństwo transakcji 6. Umożliwiamy skorzystanie z szerokiej oferty kredytów gotówkowych i hipotecznych 7. Pomagamy w wyborze dodatkowych usług (np. aranżacja wnętrza nieruchomości). Zawsze jesteśmy do dyspozycji naszych KLIENTÓW! Nasi Doradcy przykładają szczególną wagę do rzetelnego prezentowania informacji o nieruchomości. ATRAKCJE TURYSTYCZNE W OKOLICY: Morze i szeroka plaża w odległości 100 m. Malownicze ścieżki i trasy rowerowe wzdłuż morza. Puby, restauracje, kluby, galerie i sklepy w Kołobrzegu. Port rybacki i turystyczny w Kołobrzegu. Labirynt grabowy i ogrody Hortulus Spectabilis. Latarnie morskie w Kołobrzegu, Gąskach i Niechorzu. Stadnina koni i park rozrywki Dziki Zachód. Bezpośrednie sąsiedztwo terenów natura 2000. Lokalizacja, walory estetyczne i wypełnienie przestrzeni wokół kompleksu sprawiają, że turyści w pierwszej kolejności wybierać będą nasz obiekt. Serdecznie zapraszamy do kontaktu: + 48 536 863 933 RYNEK PIERWOTNY. KUPUJĄCY NIE PŁACI PROWIZJI !Treść niniejszego ogłoszenia nie stanowi oferty handlowej w rozumieniu Kodeksu Cywilnego.</t>
  </si>
  <si>
    <t>https://otodom.pl/pl/oferta/apartament-pod-klucz-100-m-do-plazy-iv-etap-ID4byaO</t>
  </si>
  <si>
    <t>4byaO</t>
  </si>
  <si>
    <t>Oferujemy Państwu najwyższy standard w Żywcu!</t>
  </si>
  <si>
    <t>ul. Świętokrzyska, Żywiec, żywiecki, śląskie</t>
  </si>
  <si>
    <t xml:space="preserve">Najlepsza lokalizacja i najwyższy standard w Żywcu!
Nasza nowa inwestycja realizowana jest w centrum Żywca przy ulicy Świętokrzyskiej i obok świetnej lokalizacji wyróżnia się bardzo wysokim standardem, który z całą pewnością zaspokoi oczekiwania nawet najbardziej wymagających:
wygodne dla mieszkańców windy osobowe,
najwyższej jakości stolarka okienna,
do wyjścia na przestronne tarasy o powierzchni około 9 mkw prowadzą okna uchylno / przesuwne,
elektryczne rolety zewnętrzne zapewniają dodatkowy komfort oraz oczekiwaną prywatność,
najwyższej jakości drzwi wejściowe do budynków jak również apartamentów,
ogrzewanie podłogowe zapewniający komfort mieszkania w okresie zimowym,
wylewki anhydrytowe charakteryzuje się doskonałym przewodnictwem cieplnym co w połączeniu z oferowanym ogrzewaniem podłogowym pozwala na znacznie szybsze nagrzewanie pomieszczeń i lepszy komfort użytkowania systemów z ogrzewaniem podłogowym, 
instalacja pod przyszły montaż klimatyzacji zapewniająca komfort w okresie letnim,
wygodne miejsca postojowe w garażu podziemnym,
komórki lokatorskie w garażu podziemnym,
monitoring osiedla...
Do apartamentu można dodatkowo nabyć:
komórkę lokatorską w cenie 10.000,- PLN
zewnętrzne miejsce postojowe w cenie 15.000,- PLN
miejsce postojowe w garażu podziemnym w cenie 35.000,- PLN
</t>
  </si>
  <si>
    <t>https://otodom.pl/pl/oferta/a13-winda-garaz-rolety-podlogowka-klimatyzacja-ID4lunS</t>
  </si>
  <si>
    <t>4lunS</t>
  </si>
  <si>
    <t>Po generalnym remoncie za 250 tyś</t>
  </si>
  <si>
    <t>ul. Bolesławicka, Bródno, Targówek, Warszawa, mazowieckie</t>
  </si>
  <si>
    <t xml:space="preserve">KUPUJACY NIE PŁACI PROWIZJI!Fantastyczne mieszkanie na Bródnie, do którego możemy sie wprowadzić "ze szczoteczką do zębów" ;)Mieszkanie przeszło kompleksowy remont dwa lata temu. Było zrobione "dla siebie".Oczywiście w remoncie pomógł architekt wnętrz, wszystko jest więc dokładnie dopasowane kolorystycznie i wymiarem.Stary układ mieszkania zmieniono na dwie sypialnie, łazienkę oraz salon połączony z kuchnią.Poprowadzono nowe instalacje elektryczną i hydrauliczną. Wymienione są kaloryfery. Zlikwidowano instalację gazową w mieszkaniu. (zamontowana jest płyta indukcyjna).W kuchni , przedpokoju i sypialni zamontowano meble na wymiar. Jest więc pełna zabudowa kuchenna oraz szafy.W sypialni dodatkowo na wymiar dopasowano łóżko i szafki nocne.W całym mieszkaniu jednolita podłoga (nie ma progów) drzwi wewnętrzne również robione na zamówienie, idealnie zlicowane za zabudową szaf.W mieszkaniu zostaje również zabudowany sprzęt agd, marmurowe blaty i parapety.Dodatkowo mogą zostać meble ruchome, w uzgodnieniu. Chociażby dopasowany narożnik. :)Mieszkanie ma piękną przestrzeń, widok na zieleń. Wokół tereny zielone, Lasu Bródnowskiego, przedszkola, szkoły i place zabaw. Dodatkowo jest świetnie skomunikowane. ok 10min spacerem jest stacja metra !Do mieszkania przynależy piwnica.Czynsz wynosi około 750zł/mcSpółdzielczo-własnościowe prawo do lokalu grunty nie uregulowane wobec czego zakup tylko za gotówkę.xObserwuj Nas aby w pierwszej kolejności dowiedzieć się o nowych ofertach i zmianach ich cen:Więcej propozycji nieruchomości pod adresem:xOświadczam, że wysyłając przy pomocy systemów teleinformatycznych (m.in. zapytania ze stron internetowych, formularzy kontaktowych, adresów poczty elektronicznej, smsów, portali społecznościowych itp.) zapytanie dotyczące danej nieruchomości, usługi lub umowy pośrednictwa, lub bezpośrednio z nimi nie związanych, ale skierowanych bezpośrednio do firmy Kuźnia Nieruchomości sp. z o.o., wyrażam zgodę na przetwarzanie podanych danych osobowych w zakresie określonym pod adresem:  </t>
  </si>
  <si>
    <t>https://otodom.pl/pl/oferta/po-generalnym-remoncie-za-250-tys-ID4m3g6</t>
  </si>
  <si>
    <t>4m3g6</t>
  </si>
  <si>
    <t>Apartament z widokiem na morze, k. Gdyni</t>
  </si>
  <si>
    <t>Ogrody Tesoro, Pogórze, Kosakowo, pucki, pomorskie</t>
  </si>
  <si>
    <t xml:space="preserve"> 
Oferujemy do sprzedaży mieszkanie o powierzchni 77m2   na nowym osiedlu OGRODY TESORO w cenie 653.100 zł POZOSTAŁ JUŻ TYLKO 2 OSTATNIE TAKIE APARTAMENTY  w tak korzystnej cenie z terminem realizacji 06/2023!!!
Lokal ma salon z aneksem kuchennym, 3 sypialnie, łazienkę oraz poddasze z możliwością przeznaczenia na dodatkowy pokój a także 2 tarasy.
Salon jest od strony bardzo słonecznej - południowo-zachodniej
Inwestycja Ogrody Tesoro  zlokalizowana jest w Pogórzu, 7 km od centrum Gdyni, w sąsiedztwie zabudowy jednorodzinnej i terenów zielonych.
Osiedle jest bardzo dobrze skomunikowane, przystanek autobusu miejskiego jest przy samym wjeździe na osiedle.
Całość osiedla jest ogrodzona i profesjonalnie chroniona, zapewniając pełne bezpieczeństwo mieszkańcom.
W sercu osiedla znajduje się zadbany park o powierzchni 4,5 ha z jeziorkiem, placem zabaw i licznymi alejkami do spacerowania czy jazdy rowerami. Dodatkową atrakcją jest duży, nowoczesny grill z zapleczem, do ogólnego korzystania przez mieszkańców i ich gości.
Z okien domów rozpościera się widok na Zatokę Pucką.
Ogrody Tesoro to spójna architektonicznie inwestycja, którą stanowią:
Kamieniczki rezydencjonalne z apartamentami
Domy bliźniacze i jednorodzinne
Rezydencje.
Apartamenty w kamieniczkach rezydencjonalnych są  jedno i dwukondygnacyjne o powierzchni od 51m2 do 164m2 (wszystkie apartamenty można łączyć w pionie).
W każdej kamieniczce są tylko 4 apartamenty: 2 na parterze  i 2 na piętrze.
Apartamenty na parterze mają prywatne ogródki z opcją wybudowana basenu.  
Apartamenty na piętrze mają 2 tarasy oraz nieużytkowe poddasze z oknem dachowym i zamontowanymi schodami strychowymi.                    
W cenę apartamentów wliczone jest zadaszone, oświetlone miejsce parkingowe.
Całkowita wysokość opłat miesięcznych za ochronę, utrzymanie terenów zielonych, drogi oraz całą infrastrukturę osiedla a także za fundusz remontowy, wszelkie wymagane cykliczne przeglądy, administrację wynosi zależnie od wielkości lokalu od 495zł do 520zł
Oferujemy również:
wyposażenie pod klucz w cenie od 1000 zł/1m2. W załączeniu przesyłam wizualizację przykładowego wyposażenia
wsparcie Doradcy Finansowego w zakresie dostosowania najdogodniejszej formy kredytu
Lokalizacja w bezpośredniej bliskości centrum Gdyni, jednocześnie zapewniająca uroki zacisznego miejsca, z dala od codziennego zgiełku miasta
9 km od centrum Gdyni
6 km do Obwodnicy Trójmiasta
8 km do plaży w Rewie
30 km do lotniska w Gdańsku
5 km do promu do Karlskrony
W bezpośrednim sąsiedztwie:
Ośrodki zdrowia
Galeria handlowa Szperk
Gimnazjum z basenem i szkoła podstawowa z boiskiem sportowym
3 przedszkola
Banki
W przypadku zainteresowania ofertą prosimy o kontakt.
Zapraszamy na teren inwestycji oraz do biura sprzedaży tel. 782 200 200
Adres: ul. Szkolna 24, 81-198 Suchy Dwór
</t>
  </si>
  <si>
    <t>https://otodom.pl/pl/oferta/apartament-z-widokiem-na-morze-k-gdyni-ID2XnGX</t>
  </si>
  <si>
    <t>2XnGX</t>
  </si>
  <si>
    <t>Apartament z pieknym widokiem na Palac Kultury</t>
  </si>
  <si>
    <t>pl. Plac Konstytucji, Śródmieście Południowe, Śródmieście, Warszawa, mazowieckie</t>
  </si>
  <si>
    <t>Narożny apartament położony na 3. piętrze w zabytkowym zespole mieszkaniowym MDM (Marszałkowska Dzielnica Mieszkaniowa), wzniesionym w latach 50.
Unikat - Widok - wszystkie okna z balkonem francuskim!
Apartament wyróżnia się wyjątkowym, bezpośrednim widokiem na cały Plac Konstytucji, wysokością pomieszczeń, przestrzenią i dużą ilością wysokich okien z pięknymi balkonami francuskimi. Jest to jeden z niewielu apartamentów na placu Konstytucji z widokiem na Pałac Kultury i centrum Warszawy.
Opis nieruchomości
Oferujemy Państwu na sprzedaż wyjątkowy, wysoki, 3-pokojowy apartament o powierzchni 86 m2* położony na 3 piętrze w odrestaurowanym i zabytkowym budynku na placu Placu Konstytucji. 
Apartament ma unikatowy widok na skalę Warszawy - widać z niego cały plac Konstytucji oraz Pałac Kultury. Lokal jest w kształcie litery L, z dużą ilością okien (6) zarówno w sypialni (1), gabinecie (1) jak i strefie dziennej (4) (wszystkie okna są od podłogi do sufitu, z balkonami francuskimi). 
Mieszkanie jest po kapitalnym remoncie przeprowadzonym w 2022 roku (nowa elektryka, tynki, okna, podłogi, hydraulika, grzejniki, centralna klimatyzacja) który został przeprowadzony według projektu architekta wnętrz.
Mimo ścisłego centrum w apartamencie panuje cisza! W trakcie remontu zostały wymienione okna (Okna Petecki) najwyższej klasy akustycznej (do 45 decybeli). Sypialnia ma dodatkowo wyciszone ściany od strony sąsiada.
Lokal został zaprojektowany w stylu klasycznym z domieszką nowoczesności. W mieszkaniu znajdziemy wiele odwołań do architektury widocznej za oknem -  Socrealizmu. Dodatki takie jak Polski marmur Bolechowice, symetryczne listwy sufitowe, wysokie (15cm) listwy przypodłogowe, piękne lustro z marmurowa rama, perłowa ściana w salonie, kryształowe żyrandole oraz odwołanie się do patynowanego / niebieskiego kolory słynnych kandelabrów z Placu Konstytucji, wprowadzają niesamowitą synergie między stylem w mieszkaniu a widokiem z okna. 
Na podłodze w całym mieszkaniu leży naprzemiennie podłoga dębowa w chłodnym odcieniu oraz marmur (również w chłodnym odcieniu czego nie oddają zdjęcia). W mieszkaniu zostały podwyższone otwory drzwiowe do 2,40m co nadaje wnętrzu przestrzeni. Warto wspomnieć że apartament jest utrzymany w spokojnej chłodnej kolorystyce - beżu, czarnego, srebrnego,  jasnoniebieskiego oraz patyny.
Wchodząc do mieszkania wita nas wielkie lustro w marmurowej ramie. W holu znajdziemy ponad 3m czarna szafę w której jest miejsce na ubrania, buty oraz sprzęty domowe. 
Część dzienna składa się z części salonowej (telewizor i kanapa) oraz jadalniano-kuchennej. Mieszkanie zostało tak zaprojektowane aby okna w części dziennej miały najpiękniejszy widok w całym mieszkaniu (widać Marszałkowska aż do Rotundy!). W kuchni znajdziemy sprzęty kuchenne są z najwyższej półki firm takich jak Samsung, Whirlpool, Electrolux oraz czarny granitowy blat. 
Bardzo duży pokój kąpielowy składający się z oddzielnej wanny oraz prysznica, dużej toaletki, zabudowanej szafy, pralki oraz WC. W łazience na ścianach znajdziemy duże płyty (120x120) włoskiej firmy Florim.
Sypialnia składa się z jasnoniebieskiego łóżka 160x200, dużej szafy oraz toaletk z lustremi (na wzór projektu z lat 30tych). Pokój jest ozdobiony piękna i unikatowa tapeta w stylu art deco. 
W jasno błękitnym gabinecie (lub pokoju dla dziecka) mieści się piękna beżowa szafa (półki/ wieszaki na ubrania, szuflady). Elektryka w pokoju została zaprojektowana tak aby z łatwością dostosować go do sypialni. 
Warto wspomnieć, że wszystkie meble w apartamencie stale zostały zrobione według autorskiego projektu przez stolarza. 
Inne informacje:
Wymienione okna (Okna Pytecki) najwyzej klasy z dodatkowa akustyka do 45 decybeli - mieszkanie jest ciche!
Całe mieszkanie jest wyposażone w klimatyzacje centralna
Budynek posiada windę (remont windy planowany na 2023)
Bardzo niski czynsz (około 722 PLN)
Wyjątkowo przestronna klatka schodowa
Piwnica (przydzielona do mieszkania)
Miejsce parkingowe (wynajmowane od ZGN, dodatkowo płatne)
Lokalizacja:
Lokal mieści się na Placu Konstytucji w samym centrum Warszawy. 
Przystanek autobusowe i tramwajowe znajduje się tuż przed budynkiem. Stacja Metro Politechnika znajduje w odległości 500m. 
W odległości 600m: sklepy spożywcze, apteki, KFC, Desa, Restauracje, siłownia, Żabka, Rossmann
Nie pracuje z agencjami nieruchomości! 
*86 m stan faktyczny, 85 m w księdze wieczystej.</t>
  </si>
  <si>
    <t>https://otodom.pl/pl/oferta/apartament-z-pieknym-widokiem-na-palac-kultury-ID4m2dY</t>
  </si>
  <si>
    <t>4m2dY</t>
  </si>
  <si>
    <t>Apartament w prestiżowej inwestycji przy Wiśle</t>
  </si>
  <si>
    <t>Royal Space ma przyjemność zaprezentować apartament o powierzchni 66 m2 w nowej inwestycji "Kościuszki 22".INWESTYCJAElegancka ponadczasowa architektura na wzór klasycznej XIX-wiecznej kamienicy połączona z nowoczesnymi rozwiązaniami. Projektanci w pełni zadbali o komfort przyszłych mieszkańców. W mieszkaniach znajdują się izolacje akustyczne stropów oraz pionów, a także filtry antysmogowe i klimatyzacja. Na wejściu przywita nas konsjerż, bezpieczeństwo zapewni zaawansowany system monitoringu. Jako jedna z niewielu inwestycji Kościuszki 22 wyposażona będzie w panele fotowoltaiczne, co jest niesamowicie przyszłościowym rozwiązaniem. Zwieńczeniem będą zielone dachy, z których będzie rozciągał się widok na Kraków.LOKALIZACJAKościuszki 22 to idealna lokalizacja dla osób, które nie chcą iść na kompromisy. Położona w centrum nieruchomość jest doskonale skomunikowana, oddalona zaledwie kilkaset metrów od Wzgórza Wawelskiego, położona tuż nad Wisłą. W bardzo bliskim sąsiedztwie największych zielonych terenów Krakowa — Błoń i Pasma Sowińca ze Wzgórzem św. Bronisławy i Kopcem Kościuszki. Nieruchomość znajduje się w pobliżu licznych tras spacerowych i ścieżek rowerowych. Położenie w bezpośrednim sąsiedztwie Wisły zapewnia walory widokowe oraz pozwala na codzienny relaks i korzystanie z szerokiej oferty aktywności, jakie oferuje miasto. Tuż obok znajduje się przystań kajakarska Klubu Sportowego Nadwiślan.  APARTAMENT Apartament zostanie wykonany z materiałów najwyższej jakości. Składać się będzie na niego:  • hol  • pokój dzienny z aneksem kuchennym,  • 2 pokoje,  • łazienka,   • pralnia  • balkon 6 m2 DODATKOWE INFORMACJE   • system smart home,  • rowerownia,  • stacja do ładowania samochodów elektrycznych,  • stacja do sprzątania samochodów,  • ekspozycja północ-południe.TERMIN ODDANIA wrzesień 2023 roku CENA  - 1 890 000 PLN *możliwość zakupu miejsca parkingowego w cenie 100 000 PLNSerdecznie zapraszamy do obejrzenia nieruchomości. Мы также говорим на русском! We speak English!  Kontakt do Brokera Angelina Volska +4████████████4  ROYAL . SPACEOferta wysłana z programu dla biur nieruchomości ASARI CRM ()</t>
  </si>
  <si>
    <t>https://otodom.pl/pl/oferta/apartament-w-prestizowej-inwestycji-przy-wisle-ID4mgJQ</t>
  </si>
  <si>
    <t>4mgJQ</t>
  </si>
  <si>
    <t>Apartament z basenem i kortem tenisowym</t>
  </si>
  <si>
    <t xml:space="preserve">Prezentujemy Państwu piękny dwupokojowy apartament o powierzchni 56,48 m2 z przestronnym tarasem w szybko rozwijającej się miejscowości jaką jest Pobierowo. Apartament wchodzi w skład kompleksu czterech apartamentowców. Należy dodać, że w pobliskim sąsiedztwie osiedla powstaje Hotel Gołębiewski oraz Apartamentowce należące do Grupy Hilton. Powstająca infrastruktura zapewni miejscowości ogromną popularność oraz prestiż.  Apartament składa się z :  - pokój z aneksem kuchennym ( 22,99 m2 , sypialnia (16,81 m2), łazienka (5,25 m2), hol(11,43 m2), taras ( 8,36 m2)  Możliwość użytkowania apartamentu przez cały rok zapewnia indywidualny dwufunkcyjny piec gazowy. Do apartamentu przynależy oznaczone miejsce parkingowe.  Bezpieczeństwo mieszkańcom zapewni ogrodzenie, monitoring, automatyczna brama otwierana przy pomocy pilota, furtka z domofonem oraz całoroczna ochrona, która dba o każde potrzeby lokatorów, a w szczególności trzyma piecze nad całym kompleksem. Każdy budynek zabezpieczony jest osobnym domofonem, który uniemożliwia wejście do środka nieproszonym gościom. Cały teren posiada lampy stojące, które zapewniają klimatyczne oświetlenie. W budynkach znajduje się stałe oświetlenie LED na klatkach schodowych, a na korytarzach znajdują się oszczędne lampy na fotokomórkę. Zarówno drogi wewnętrzne jak i miejsca parkingowe zostały wykonane z kostki brukowej.  Inwestor zadbał o aktywny tryb życia mieszkańców kompleksu, przygotowując kort tenisowy oraz dwa baseny zewnętrzne. W pobliżu kompleksu znajdziemy liczne szlaki rowerowe i piesze prowadzące chociażby wzdłuż morza oraz pobliskich miejscowości. Dla wygody rowerzystów na przestrzeni wspólnej znajduje się boks rowerowy. Oba baseny posiadają podgrzewaną wodę, oświetlenie wewnętrzne oraz masaże wodne. W ich sąsiedztwie znajdują się natryski, plac zabaw oraz ogromna przestrzeń, na której znajdują się liczne leżaki. Można tez skorzystać z wydzielonego miejsca do grillowania. Inwestycja jest usytuowana na przepięknie zagospodarowanym terenie, w pobliżu lasu oraz licznych lokali usługowych, handlowych, gastronomicznych, punków medycznych oraz obiektów sportowych i rekreacyjnych. Miejsce parkingowe o wartości 30 000 brutto jest wliczone w cenę.  Powyższa inwestycja zapewni przyszłym właścicielom możliwość wypoczynku, jak i możliwość uzyskiwania dochodów z najmu.  Podana cena jest ceną netto - wystawiamy fakturę VAT (cena brutto wynosi 859 770 zł).  Zapraszam na prezentację. Andrzej - 799 96 68 05 Mirek - 694 45-19 63  Powyższy opis ma charakter informacyjny i nie stanowi oferty w rozumieniu przepisów Kodeksu Cywilnego.  NASZE BIURO JEST UBEZPIECZONE W ZAKRESIE PROWADZONEJ DZIAŁALNOŚCI POŚREDNICTWA.  OFERUJEMY BEZPŁATNĄ POMOC SPRAWDZONYCH DORADCÓW KREDYTOWYCH OFERTA BANKU DOBRANA INDYWIDUALNIE DO POTRZEB KLIENTA.  Z NAMI JESTEŚ BEZPIECZNY OD POCZĄTKU DO PRZEKAZANIA KLUCZY==ZAPRASZAMY==  LOGRO Sp. z o.o. Nieruchomości i Finanse BIURO WYSOGOTOWO ul SKÓRZEWSKA 37 lok. 8 </t>
  </si>
  <si>
    <t>https://otodom.pl/pl/oferta/apartament-z-basenem-i-kortem-tenisowym-ID4f7UN</t>
  </si>
  <si>
    <t>4f7UN</t>
  </si>
  <si>
    <t>Apartament Oko Karkonoszy II etap przedsprzedaż</t>
  </si>
  <si>
    <t xml:space="preserve">II etap inwestycji Oko Karkonoszy już w przedsprzedaży!!! Zarezerwuj już dziś!!!
Przedmiotem ogłoszenia jest 2-pokojowe mieszkanie położone na piątym piętrze w budynku B1 w Jeleniej Górze na os. Rakownica. 
Lokal B1.5/32 o powierzchni 37,01 m kw. składa się z :
- przestronnego salonu z aneksem kuchennym z wyjściem na balkon
- pokoju
- łazienki
Jeżeli chcesz się cieszyć bliskością centrum miasta – będąc jednocześnie wśród zieleni, mając Oko na słoneczne Karkonosze – nasza oferta jest skierowana właśnie do Ciebie
O INWESTYCJI
Budynek B1 powstanie w II etapie budowy inwestycji OKO KARKONOSZY APARTAMENTY RAKOWNICA. 
Świetna lokalizacja  (18 km do Szklarskiej Poręby, 20 km do Karpacza) stwarza doskonałe warunki dla powstania bazy wypadowej do wypraw w Karkonosze i Góry Izerskie. 
Dojazd do centrum miasta Jeleniej Góry zajmie tylko kilka minut, a pobliskie otoczenie zieleni stworzy doskonałe warunki do spacerów i wypoczynku.
Docelowo powstaną 3 apartamentowce, w których łącznie przekażemy do dyspozycji 105 prestiżowych apartamentów.
W każdym z apartamentowców znajduje się garaż podziemny oraz winda. Komórki lokatorskie, zaprojektowane indywidualnie na każdej kondygnacji, zapewnią komfort i dodatkową przestrzeń. 
Istnieje również możliwość zakupu miejsca parkingowego w garażu w podziemnym.
W swojej ofercie posiadamy apartamenty o powierzchni użytkowej od 37m kw. do 72m kw.
Zapraszamy serdecznie do kontaktu. 
</t>
  </si>
  <si>
    <t>https://otodom.pl/pl/oferta/apartament-oko-karkonoszy-ii-etap-przedsprzedaz-ID4kIbZ</t>
  </si>
  <si>
    <t>4kIbZ</t>
  </si>
  <si>
    <t>Apartament dwupoziomowy 133,5 m2 Ruczaj</t>
  </si>
  <si>
    <t>Do sprzedania mieszkanie dwupoziomowe z rynku wtórnego o powierzchni 133,5 m2. Bliskość budynków uczelni powoduje, że zakup jest świetnym pomysłem inwestycyjnym. Istnieje możliwość podziału mieszkania na trzy mniejsze. Budynek umiejscowiony jest w dzielnicy Dębniki rejon Ruczaj-Zaborze przy ul. Kobierzyńskiej. W bloku na parterze mieszczą się lokale handlowo-usługowe.  W bliskiej okolicy sklep spożywczy, warzywniak, salon fryzjerski, przedszkole, szkoła podstawowa. Przystanek autobusowy 5 min. na nogach. Wyjście z bloku od strony wewnętrznej bezpośrednio do parku i na plac zabaw. Mieszkanie znajduje się na 4 piętrze. (4/4 p.). Składa się z szerokiego przedpokoju połączonego z holem, dużą sypialnią, kuchni, pomieszczenia gospodarczego, wc, łazienki, przestronnego pokoju dziennego. Dodatkowo 17 m2 poddasze w cenie (po podłodze netto pow. ok. 60 m2). Zestawienie pomieszczeń:Parter- przedpokój 12,56 m2- sypialnia 34,74 m2- kuchnia z jadalnią 18,35 m2- spiżarnia 2,17 m2- wc 1,65 m2- łazienka 8,52 m2- pokój dzienny 58,21 m2Poddasze- komunikacja 2,52 m2- pokój 6,06 m2- pokój 8,52 m2Informacje dodatkowe:- Internet- domofon- ogrzewanie MPEC- płyta grzejna (brak gazu)- meble w cenie zakupu lokalu- teren osiedla zamykanyCena 1 190 000 złZapewniamy bezpłatne wsparcie w zakresie uzyskania kredytu hipotecznegoZapraszamy do kontaktuŁukasz Fit nr licencji 28437729 993 265For sale a duplex apartment from the secondary market with an area of 133.5 m2. The proximity of the university buildings makes the purchase a great investment idea. It is possible to divide the apartment into three smaller ones.The building is located in the Dębniki district, Ruczaj-Zaborze district, at ul. Kobierzyńska. There are commercial and service premises in the block on the ground floor. In the vicinity of the grocery store, greengrocer, hairdresser, kindergarten, primary school. Bus stop 5 min. on legs. Exit from the block from the inside directly to the park and playground.The apartment is located on the 4th floor. (4/4 p.). It consists of a wide hall connected to a hall, a large bedroom, a kitchen, a utility room, a toilet, a bathroom, and a spacious living room. Additionally, 17 m2 of the attic is included in the price (net floor area of approx. 60 m2).List of rooms:Ground floor- hall 12.56 m2- bedroom 34.74 m2- kitchen with dining room 18.35 m2- pantry 2.17 m2- toilet 1.65 m2- bathroom 8.52 m2- living room 58.21 m2Attic- communication 2.52 m2- room 6.06 m2- room 8.52 m2Additional information:- Internet- entry phone- MPEC heating- hob (no gas)- furniture included in the purchase price of the premises- the estate area is closedPrice PLN 1,190,000We provide free support in obtaining a mortgage loanFeel free to contact usŁukasz Fit license number 28437729 993 265Продается двухуровневая квартира со вторичного рынка площадью 133,5 м2. Близость университетских зданий делает покупку отличной инвестиционной идеей. Есть возможность разделить квартиру на три меньшие.Здание находится в районе Дембники, Ручайско-Забожский район, на ул. Кобежинская. В блоке на первом этаже расположены коммерческие и служебные помещения. В непосредственной близости продуктовый магазин, овощной магазин, парикмахерская, детский сад, начальная школа. Автобусная остановка 5 мин. на ногах. Выход из квартала изнутри прямо в парк и на детскую площадку.Квартира расположена на 4 этаже. (4/4 стр.). Он состоит из просторного холла, соединенного с холлом, большой спальни, кухни, подсобного помещения, туалета, ванной комнаты и просторной гостиной. Дополнительно в цену включено 17 м2 чердака (чистая площадь около 60 м2).Список номеров:Первый этаж- зал 12,56 м2- спальня 34,74 м2- кухня со столовой 18,35 м2- кладовая 2,17 м2- туалет 1,65 м2- ванная комната 8,52 м2- гостиная 58,21 м2Чердак- коммуникации 2,52 м2- комната 6,06 м2- комната 8,52 м2Дополнительная информация:- Интернет- домофон- нагрев МПЭК- плита (без газа)- мебель включена в покупную стоимость помещения- территория усадьбы закрытаЦена 1 190 000 злотыхОказываем бесплатную поддержку в получении ипотечного кредитаНе стесняйтесь связаться с намиЛукаш Фит номер лицензии 28437729 993 265</t>
  </si>
  <si>
    <t>https://otodom.pl/pl/oferta/apartament-dwupoziomowy-133-5-m2-ruczaj-ID4kOfg</t>
  </si>
  <si>
    <t>4kOfg</t>
  </si>
  <si>
    <t>Apartament z ogródkiem na osiedlu zamkniętym</t>
  </si>
  <si>
    <t>ul. Powstańców Wielkopolskich, Gniewkowo, Gniewkowo, inowrocławski, kujawsko-pomorskie</t>
  </si>
  <si>
    <t>Nowoczesne kameralne osiedle w otoczeniu zieleni, zlokalizowane przy ulicy Powstańców Wielkopolskich w pieszej odległości od centrum. W sąsiedztwie Park Wolności gdzie powstaje nowy kompleks rekreacyjny; wodny park zabaw z basenami, zjeżdżalnią i dodatkowymi atrakcjami dla miłośników rolek i rowerów.
Ściany domu wykonane z Porothermu, docieplone styropianem grafitowym 20cm. Instalacja podłogowa, ogrzewanie pompą ciepła.
Apartamenty przy Parku w Gniewkowie.
Zapraszamy do skorzystania z oferty.
Promocja! Do mieszkania drugie miejsce parkingowe oraz stacja uzdatniania wody Gratis!
Więcej informacji pod numerem telefonu 536 236 933</t>
  </si>
  <si>
    <t>https://otodom.pl/pl/oferta/apartament-z-ogrodkiem-na-osiedlu-zamknietym-ID4lgXG</t>
  </si>
  <si>
    <t>4lgXG</t>
  </si>
  <si>
    <t>Apartamenty KASPROWICZA | apartament C215</t>
  </si>
  <si>
    <t> 
Przedmiotem ogłoszenia jest 1-pokojowy  apartament  położony na 2 piętrze w NOWO POWSTAJĄCEJ inwestycji Apartamenty KASPROWICZA w Kołobrzegu.
Idealna lokalizacja - strefa nadmorska. 400 m do plaży!
To przestronny lokal o powierzchni 38,13 m kw.
Lokal w stanie developerskim. Właściciel sam decyduje o wykończeniu lokalu wg własnej aranżacji. Istnieje możliwość wykończenia lokali "pod klucz". Lokale wyposażone w klimatyzację w cenie lokalu.
Budynek ze strefą basenu, saun, sali zabaw dla dzieci, siłownią. Dodatkowo planowana jest restauracja oraz gabinety SPA &amp;amp; WELLNESS.
Cechą inwestycji jest wysoki standard i świetna lokalizacja.
O inwestycji:
PUH AKCES Nieruchomości od 2018 roku realizuje przedsięwzięcie developerskie -  APARTAMENTY KASPROWICZA zlokalizowane w strefie uzdrowiskowej Kołobrzegu przy ul. Kasprowicza. 
Zamierzeniem inwestycyjnym jest wybudowanie kompleksu trzech budynków z pełnym zapleczem rekreacyjnym w postaci basenu, jacuzzi, saun, sauny solnej, siłowni, sali zabaw dla dzieci. Dodatkowo  właściciele lokali lub ich goście będą mogli korzystać z gabinetów przeznaczonych pod usługi Welles &amp;amp; SPA  oraz restauracji.
APARTAMENTY KASPROWICZA  to miejsce dedykowane osobom, które poszukując ciszy i relaksu w bliskim otoczeniu natury nie chcą rezygnować z komfortu i dostępności  atrakcji. Projekt inwestycji łączy w sobie wyjątkową lokalizację i dopracowaną koncepcję architektoniczną.
APARTAMENTY KASPROWICZA posiadają idealną lokalizację. Park nadmorski z szeroką plażą znajduje się w odległości 400 m. Bliskość morza i plaży oraz  dostęp do ścieżek rowerowych stwarza warunki do odpoczynku i aktywności fizycznej. Centrum miasta znajduje się w odległości 1,5 km. Do dworca PKP jest 500 m. Inwestycja zlokalizowana została w odległości kwadransa spaceru do molo oraz portu – głównej kołobrzeskiej promenady. Blisko, a jednocześnie daleko od skupisk turystów, ruchu miejskiego  czyni miejsce inwestycji wyjątkowym.
Zaletami naszej inwestycji jest pełna dowolność przyszłych  właścicieli apartamentów w zakresie sposobu ich wykorzystania:
o   brak wiążących, długoterminowych umów
o   pełna swoboda w wyborze operatora
o   możliwość wykorzystania lokali na cele własne, mieszkaniowe
o   brak jakikolwiek ograniczeń w korzystaniu z zakupionego lokalu, brak narzuconych  tzw. pobytów właścicielskich
Część rekreacyjna w zakresie części basenu (jacuzzi, sauny,sauny solna), siłowni oraz sali zabaw dla dzieci będzie częścią wspólną budynku C. To właściciele poszczególnych lokali będą o niej w pełni decydować. Będą mieć do niej pełny i swobodny dostęp. Koszty utrzymania kondygnacji parteru w części rekreacyjnej będą wkalkulowane w czynsze eksploatacyjne ponoszone na rzecz wspólnoty mieszkaniowej.
W planowanym etapie C dostępne będą lokale o powierzchni : od 29 do 54 m2   .
Przemyślane rozkłady apartamentów pozwalają na swobodną aranżację i optymalne wykorzystanie przestrzeni. Każdy lokal wyposażony jest w balkon, który obejmie całą długość lokalu. Duże przeszklenia (witryny), szklane balustrady sprawią, że wnętrza lokali będą jasne i przestronne. Apartamenty będą przekazywane w stanie developerskim, dając pełną swobodę nabywcą na ich wykończenie. Będzie istniała możliwość wykończenia lokali „pod klucz” na podstawie osobnej umowy i ustaleń.
Wraz z apartamentem będzie istniała możliwość zakupu miejsca postojowego w hali garażowej lub miejsca zewnętrznego.
W odległości 300 m od inwestycji zlokalizowane są dwa ogólnodostępne parkingi miejskie (płatne), na których z powodzeniem można zostawić samochód.</t>
  </si>
  <si>
    <t>https://otodom.pl/pl/oferta/apartamenty-kasprowicza-apartament-c215-ID4chQ3</t>
  </si>
  <si>
    <t>4chQ3</t>
  </si>
  <si>
    <t>Apartament pod inwestycję z klimatyzacją i tarasem</t>
  </si>
  <si>
    <t>al. Aleje Jerozolimskie, Raków, Włochy, Warszawa, mazowieckie</t>
  </si>
  <si>
    <t>Kup apartament i zarabiaj już od dnia zakupu! Bezpośrednio od dewelopera bez prowizji!
Przedstawiam Państwu gotowy i wyposażony apartament z klimatyzacją. Dostępne powierzchnie apartamentów od 29 do 60 m2.
Nasze apartamenty są w pełni wykończone i wyposażone:
- kuchnia wraz ze sprzętem AGD,
- Sypialnia,
- łazienka z prysznicem,
- Salon,
W apartamentach zamontowana jest klimatyzacja.
Informacje dodatkowe:
- Przy zakupie tego apartamentu należy doliczyć 12 000 zł za jego wyposażenie,
- W budynku jest recepcja, pralnia oraz miejsca postojowe.
Lokalizacja:
- Świetna lokalizacja: Aleje Jerozolimskie 216,
- 10 min. od Lotniska Chopina,
- 20 min. od Dworca Centralnego,
- 10 min. do galerii handlowej, 
Inwestycja:
- Gotowe do zamieszkania apartamenty w prestiżowej lokalizacji. Osoby zarejestrowane zakupem apartamentu jako czynni podatnicy VAT mogą wysokość VAT odliczyć od opodatkowania.
- Zabezpieczona aktem notarialnym i wpisem do księgi wieczystej nieruchomość jako lokata długoterminowa jest doskonałą alternatywą dla lokat bankowych i innych inwestycji finansowych, stabilną i bezpieczną. 
Serdecznie polecam i zapraszam na prezentacje!
 </t>
  </si>
  <si>
    <t>https://otodom.pl/pl/oferta/apartament-pod-inwestycje-z-klimatyzacja-i-tarasem-ID4kvcp</t>
  </si>
  <si>
    <t>4kvcp</t>
  </si>
  <si>
    <t>Apartament w Inwestycji "Pensjonat Polna" - Rowy</t>
  </si>
  <si>
    <t>ul. Polna, Rowy, Ustka, słupski, pomorskie</t>
  </si>
  <si>
    <t>Apartament o powierzchni 37,95 m2 znajduje się na parterze  III-piętrowego budynku. Z apartamentu wyjście na taras o powierzchni 7,35m2.
W budynku zaprojektowano również apartamenty na I piętrze o powierzchniach od37,91m2 do 52,45m2 - każdy z nich ma balkon o powierzchni 9,95m2-, oraz na
II pietrze i antresoli - dwupoziomowe o powierzchniach od 70,90m2 do 106,40m2 z tarasami o pow. od 34,506m2 do 61,80m2
CENA 368 000zł brutto, w tym 23% VAT obejmuje  wykończenie apartamentu : panele na podłogach, glazura, terakota i urządzeniami sanitarnymi w łazience (bez mebli w kuchni), ogrzewanie podłogowe (elektryczne).
Budynek pensjonatowy Polna w Rowach położony będzie około 750 metrów od plaży we wschodniej części kurortu- 5 minut spokojnego spaceru.
Niebanalny projekt budynku gwarantuje poczucie prestiżu i dyskretnego luksusu.Apartamenty, jakie mamy przyjemność przedstawić Państwu to idealna propozycja dla osób ceniących sobie komfort i wygodę korzystania z uroków pobytu nad Bałtykiem. 
APARTAMENTY
W naszej ofercie znajdują się 54 się komfortowe i nowoczesne apartamenty będące połączeniem wygody i  funkcjonalności. Apartamenty zlokalizowane na parterze będą posiadały tarasy, na piętrze – balkony. W apartamentach na drugim piętrze dodatkowo znajdą się antresole oraz tarasy na dachu.
Apartamenty wystawione do sprzedaży będą w pełni wykończone: z panelami na podłogach, glazurą, terakotą i urządzeniami sanitarnymi w łazienkach (bez mebli w kuchni)Powierzchnie apartamentów od 38 do 106 m2. Cena za metr już od 7840 zł bruttoIstnieje możliwość wykupienia miejsca postojowego w hali garażowej w cenie 40 000zł + 23% VAT oraz miejsca postojowego przed budynkiem w cenie 25 000zł + 23% VAT.
Przewidywany termin zakończenia budowy: 2025 rok.</t>
  </si>
  <si>
    <t>https://otodom.pl/pl/oferta/apartament-w-inwestycji-pensjonat-polna-rowy-ID4ldpH</t>
  </si>
  <si>
    <t>4ldpH</t>
  </si>
  <si>
    <t>Piękny dom z dużą działką - Chyby</t>
  </si>
  <si>
    <t>Szanowni Państwo,
W sprzedaży wyjątkowa nieruchomość położona w podpoznańskich Chybach. Posiadłość składa się z trzech działek o łącznej powierzchni 2473 m2 oraz domu o powierzchni 359,7 m2 wraz z pięknym dużym ogrodem.
Nieruchomość posiada również wydzieloną cześć usługową z pozwoleniem na prowadzenie poradni specjalistyczno-medycznej o powierzchni ok. 114,34 m2. Dodatkowa przestrzeń może zostać dowolnie zagospodarowana np. jako domek dla gości.
Dom jest oryginalny i wyjątkowy. Posiada funkcjonalny rozkład podzielony na strefę dzienną oraz nocną. Nieruchomość wita nas obszernym holem i pięknymi reprezentacyjnymi schodami. Parter to duża otwarta kuchnia z jadalnią oraz przestronna sala kominkowa. Piętro jest bardzo ciepłe i przytulne. Znajdują się tu dwa pokoje oraz urządzona w stylu klasycznym sypialnia z prywatną łazienką. Otwartą przestrzeń pomiędzy pokojami dopełnia elegancki kącik czytelniczy.
Podsumowując w trzech słowach: elegancja, wygoda i dobry smak!   
Idealne rozwiązanie dla osób poszukujących domu z wydzieloną częścią usługową lub biurową.
Lokalizacja:
Nieruchomość położona w bliskim sąsiedztwie Jeziora Kierskiego,
Działka granicząca z jednym sąsiadem,
W najbliższym otoczeniu piekarnia, sklepy, restauracja,
Świetna komunikacja z Poznaniem,
Pomieszczenia:
Parter:
Hall – 35,11 m2
Pokój dzienny – 38,94 m2
Kuchnia – 12,09 m2
Jadalnia – 14,66 m2
Toaleta – 2,18 m2
Garaż – 19,67 m2
Pom. gospodarcze – 5,43 m2
Taras – ok. 50 m2
Całkowita powierzchnia parteru: 128,08 m2
Poddasze użytkowe:
Przestrzeń otwarta – 38 m2
Salon TV – 20,48 m2  
Sypialnia – 21,16 m2
Łazienka – 13,81 m2
Pokój – 14,10 m2
Łazienka – 7,35 m2
Pokój – 14,10 m2
Całkowita powierzchnia piętra: 129 m2
Przyziemie:
[Kotłownia + pralnia] + komunikacja - 27,3 m2
Część rozrywkowa z barem - 38,42 m2
Pomieszczenie gospodarcze – 15,05 m2
Siłownia – 11,70 m2
[Toaleta] + [łazienka] – 10,15 m2
Całkowita powierzchnia przyziemie: 102,62 m2
Budynek poradni specjalistyczno–medycznej
Pomieszczenia:
Parter:
Wiatrołap – 5,19 m2 
[Poczekalnia] + [toaleta] – 21,5 m2
Pomieszczenia biurowe – 22,7 m2
Gabinet lekarski – 23,75 m2
Gabinet zabiegowy – 19,80 m2
Przyziemie:
Toaleta i pomieszczenia gospodarcze – 21,4 m2
Całkowita powierzchnia budynku poradni: 114,34 m2
Kluczowe informacje:
Dach pokryty dachówką ceramiczną, ocieplony wełną mineralną,
Ogrzewanie podłogowe i grzejniki,
2 - funkcyjny kocioł gazowy z dużym zasobnikiem, (jedna kotłownia zasila cały kompleks)
Studnia z instalacją hydroforową,
Klimatyzacja,
Jednostanowiskowy garaż w bryle budynku,
Instalacja alarmowa,
Monitoring – 8 kamer,
Media: prąd, woda, gaz, kanalizacja, internet,
Duży parking przed nieruchomością,
Teren zamknięty murowanym ogrodzeniem,
Brama automatyczna na pilota,
Ogród: automatyczne nawadnianie, fontanna, oświetlenie, duży zadaszony taras,
Pełna własność, brak obciążeń hipotecznych,
Ważne informacje:
Oferta dostępna wyłącznie u nas!
Pomagamy w kredycie hipotecznym,
Krok po korku wyjaśnimy i przeprowadzimy przez cały proces zakupu,
Powyższa oferta ma charakter informacyjny i nie stanowi oferty handlowej w rozumieniu art. 66 §1 kodeksu cywilnego oraz innych właściwych przepisów prawnych.
Posiadamy licencje PFRN nr 27376.
Serdecznie zapraszamy do oglądania !</t>
  </si>
  <si>
    <t>https://otodom.pl/pl/oferta/piekny-dom-z-duza-dzialka-chyby-ID4mg5A</t>
  </si>
  <si>
    <t>4mg5A</t>
  </si>
  <si>
    <t>Piękne mieszkanie dla rodziny! Miejsce parkingowe!</t>
  </si>
  <si>
    <t>ul. gen. Jana Henryka Dąbrowskiego, Strzelno, Strzelno, mogileński, kujawsko-pomorskie</t>
  </si>
  <si>
    <t>Nowoczesna inwestycja o podwyższonym standardzie.Na sprzedaż mieszkanie dwu pokojowe, pierwsze piętro o powierzchni 49,30m².Układ:sypialnia (ok. 11,76 m ²),salon z aneksem kuchennym (ok.22,20 m²) z wyjściem na balkon (ok. 3,60 m²),łazienka (ok. 4m²),hol (ok.4 m²).Bezpieczeństwo: domofon.Udogodnienia: winda, parking naziemny w cenie. Komórka lokatorska (dodatkowa płatność 5000 zł).Komunikacja: Przedszkole 600 metrów, szkoła podstawowa 600 metrów. Odległość od Centrum: 600 metrówInwestycję stanowią 3 budynki wielorodzinne, w których mieści się łącznie 96 lokali mieszkalnych. oferta dotyczy lokalu nr 14.Zapraszam na prezentację.Andrzej Caputa661512052Zainteresowany? Zadzwoń teraz i umów się na spotkanie online</t>
  </si>
  <si>
    <t>https://otodom.pl/pl/oferta/piekne-mieszkanie-dla-rodziny-miejsce-parkingowe-ID4cZzA</t>
  </si>
  <si>
    <t>4cZzA</t>
  </si>
  <si>
    <t>Apartamenty KASPROWICZA | apartament C323</t>
  </si>
  <si>
    <t>Przedmiotem ogłoszenia jest 2-pokojowy  apartament  położony na 3 piętrze w NOWO POWSTAJĄCEJ inwestycji Apartamenty KASPROWICZA w Kołobrzegu.
Idealna lokalizacja - strefa nadmorska. 400 m do plaży!
To przestronny lokal o powierzchni 42,76 m kw.
Lokal w stanie developerskim. Właściciel sam decyduje o wykończeniu lokalu wg własnej aranżacji. Istnieje możliwość wykończenia lokali "pod klucz". Lokale wyposażone w klimatyzację w cenie lokalu.
Budynek ze strefą basenu, saun, sali zabaw dla dzieci, siłownią. Dodatkowo planowana jest restauracja oraz gabinety SPA &amp;amp; WELLNESS.
Cechą inwestycji jest wysoki standard i świetna lokalizacja.
O inwestycji:
PUH AKCES Nieruchomości od 2018 roku realizuje przedsięwzięcie developerskie -  APARTAMENTY KASPROWICZA zlokalizowane w strefie uzdrowiskowej Kołobrzegu przy ul. Kasprowicza. 
Zamierzeniem inwestycyjnym jest wybudowanie kompleksu trzech budynków z pełnym zapleczem rekreacyjnym w postaci basenu, jacuzzi, saun, sauny solnej, siłowni, sali zabaw dla dzieci. Dodatkowo  właściciele lokali lub ich goście będą mogli korzystać z gabinetów przeznaczonych pod usługi Welles &amp;amp; SPA  oraz restauracji.
APARTAMENTY KASPROWICZA  to miejsce dedykowane osobom, które poszukując ciszy i relaksu w bliskim otoczeniu natury nie chcą rezygnować z komfortu i dostępności  atrakcji. Projekt inwestycji łączy w sobie wyjątkową lokalizację i dopracowaną koncepcję architektoniczną.
APARTAMENTY KASPROWICZA posiadają idealną lokalizację. Park nadmorski z szeroką plażą znajduje się w odległości 400 m. Bliskość morza i plaży oraz  dostęp do ścieżek rowerowych stwarza warunki do odpoczynku i aktywności fizycznej. Centrum miasta znajduje się w odległości 1,5 km. Do dworca PKP jest 500 m. Inwestycja zlokalizowana została w odległości kwadransa spaceru do molo oraz portu – głównej kołobrzeskiej promenady. Blisko, a jednocześnie daleko od skupisk turystów, ruchu miejskiego  czyni miejsce inwestycji wyjątkowym.
Zaletami naszej inwestycji jest pełna dowolność przyszłych  właścicieli apartamentów w zakresie sposobu ich wykorzystania:
o   brak wiążących, długoterminowych umów
o   pełna swoboda w wyborze operatora
o   możliwość wykorzystania lokali na cele własne, mieszkaniowe
o   brak jakikolwiek ograniczeń w korzystaniu z zakupionego lokalu, brak narzuconych  tzw. pobytów właścicielskich
Część rekreacyjna w zakresie części basenu (jacuzzi, sauny,sauny solna), siłowni oraz sali zabaw dla dzieci będzie częścią wspólną budynku C. To właściciele poszczególnych lokali będą o niej w pełni decydować. Będą mieć do niej pełny i swobodny dostęp. Koszty utrzymania kondygnacji parteru w części rekreacyjnej będą wkalkulowane w czynsze eksploatacyjne ponoszone na rzecz wspólnoty mieszkaniowej.
W planowanym etapie C dostępne będą lokale o powierzchni : od 29 do 54 m2   .
Przemyślane rozkłady apartamentów pozwalają na swobodną aranżację i optymalne wykorzystanie przestrzeni. Każdy lokal wyposażony jest w balkon, który obejmie całą długość lokalu. Duże przeszklenia (witryny), szklane balustrady sprawią, że wnętrza lokali będą jasne i przestronne. Apartamenty będą przekazywane w stanie developerskim, dając pełną swobodę nabywcą na ich wykończenie. Będzie istniała możliwość wykończenia lokali „pod klucz” na podstawie osobnej umowy i ustaleń.
Wraz z apartamentem będzie istniała możliwość zakupu miejsca postojowego w hali garażowej lub miejsca zewnętrznego.
W odległości 300 m od inwestycji zlokalizowane są dwa ogólnodostępne parkingi miejskie (płatne), na których z powodzeniem można zostawić samochód.</t>
  </si>
  <si>
    <t>https://otodom.pl/pl/oferta/apartamenty-kasprowicza-apartament-c323-ID4chSb</t>
  </si>
  <si>
    <t>4chSb</t>
  </si>
  <si>
    <t>Piękna Kamienica I Wymienione Instalacje I Oliwa</t>
  </si>
  <si>
    <t>Oliwa, Gdańsk, pomorskie</t>
  </si>
  <si>
    <t>Szukasz wyjątkowej nieruchomości w kamienicy mieszczącej się w centrum Oliwy? Ta oferta jest dla Ciebie!ATUTY:- fantastyczna lokalizacja - serce gdańskiej Oliwy, nieopodal Parku Oliwskiego,- zrewitalizowana kamienica,- spokojna, bezpieczna okolica,- doskonale skomunikowane,- pełna własność nieruchomości,- mieszkanie z wymienionymi instalacjami,- miejsca parkingowe na terenie posesji.NIERUCHOMOŚĆ: Na nieruchomość składają się 4 pokoje,  korytarz, łazienka, kuchnia, pomieszczenie gosp. i spiżarnia z wysokimi sufitami 310cm co dodaje unikalności i stylu całemu mieszkaniu. Mieszkanie jest do własnego zagospodarowania. Cała kamienica została zrewitalizowana, nowa elewacja, nowy dach, wymienione piony wodnokanalizacyjne, instalacja elektryczna w całym budynku, w mieszkaniu zarówno instalacja elektryczna jak wodnokanalizacyjna również wymieniona. Działka na której mieści się nieruchomość ma ok. 1200m2, jest ogrodzona a na posesje prowadzi brama otwierana na pilota, gdzie mamy możliwość zaparkowania samochodu.  W mieszkaniu jest świeży 2-letni piec gazowy dwu funkcyjny mający na celu ogrzać wodę jak i mieszkanie. Są również wymienione grzejniki. W całej nieruchomości są wymienione okna zarówno w mieszkaniu jak i na klatce schodowej.Do nieruchomości przynależy również sucha piwnica o wielkości ok.20m2 również z wymienionym oknem. Z pomieszczenia gosp./pokoju do którego wchodzimy z kuchni będzie możliwość zagospodarowania wyjścia na taras ok. 16m2 już w I kwartale 2023 roku.Na strychu zwyczajowo każdy z mieszkańców ma wydzieloną swoją przestrzeń, jest to ok. 20m2 przy naszym mieszkaniu.MIESZKANIE O POW. 93,42M2 SKŁADA SIĘ Z:-pokój  1, 20m2/ południowy zachód-pokój 2, 16,5m2 / południowy zachód-pokój 3, 19,5m2 / południowy zachód-pokój 4, 11m2 / południowy wchód-pomieszczenie gosp. / północny zachód-spiżarnia / północny zachód-kuchnia 13,6m2 / północny zachód-łazienka 5,5m2 / --korytarz / -Z centralnego pokoju mamy również wyjście na spory balkon.Stan prawny: Pełna własność bez obciążeń.BUDYNEKMieszkanie znajdują się w dwupiętrowej kamienicy wybudowanej w 1900 roku.Budynek wybudowany z cegły w tradycyjnej technologii, kryty czerwoną dachówką ceramiczną.Kamienica została odrestaurowana, a pokrycie dachu wymienione. Teren wokół budynku należy wyłącznie do 6 lokali, jest ogrodzony i zagospodarowany. Miejsca parkingowe znajdują się na terenie posesji..Wspólnota nie ma żadnych zadłużeń.LOKALIZACJAKamienica położona jest w Starej Oliwie, nieopodal Trójmiejskiego Parku Krajobrazowego.Oliwa to jedna z najbardziej pożądanych okolic Gdańska. Charakteryzuje się wszechstronną infrastrukturą, piękną historią i świetną komunikacją.Zabudowę Starej Oliwy tworzą kameralne przedwojenne wille położone wzdłuż wąskich uliczek, stylowe kamienice oraz domy jednorodzinne.Nieopodal znajdują się średniowieczna katedra i majestatyczny Park Oliwski z pałacem cystersów.Oliwa zapewnia jednocześnie ciszę, świetny dostęp do terenów zielonych oraz bliskość centrum.Miejsce wspaniałe do zamieszkania dla rodziny jak i zainwestowania celem najmu.Ponadto, niewątpliwym atutem jest bliskość komunikacji miejskiej. W kilka minut dotrzemy do przystanków komunikacji miejskiej oraz stacji kolejowej.FINANSE:Mieszkania: 1 549 000 zł,Opłaty: 960 zł, (w tym min: zaliczka na wodę, fundusz remontowy, administracja).Masz pytania, chcesz zobaczyć tę wyjątkową nieruchomość? Zadzwoń do DOMOTEKI już dziś!Oferta wysłana z programu dla biur nieruchomości ASARI CRM ()</t>
  </si>
  <si>
    <t>https://otodom.pl/pl/oferta/piekna-kamienica-i-wymienione-instalacje-i-oliwa-ID4lnTh</t>
  </si>
  <si>
    <t>4lnTh</t>
  </si>
  <si>
    <t>Apartament w inwestycji Starter 2 Piękny Widok</t>
  </si>
  <si>
    <t>pl. Grunwaldzki, Plac Grunwaldzki, Śródmieście, Wrocław, dolnośląskie</t>
  </si>
  <si>
    <t>Mam przyjemność zaprezentować państwu 2 pokojowy apartament w inwestycji STARTER 2 przy placu Grunwaldzkim. Idealna propozycja dla inwestora. Możliwość podpisania umowy z operatorem na wynajem bezobsługowy. Lokal sprawdzi się także jako pierwsze mieszkanie. Kupujący nie płaci podatku PCC. Możliwość odliczenia podatku VAT.Oferta wyłącznie w Kompas Nieruchomości.Możliwość prezentacji w dowolnym terminie, po uprzednim umówieniu spotkania.Zapraszam do kontaktu - 883 58 36 36We can speak English, German and Russian.Contact us and the appropriate Agent will take care of you - 883 58 36 36Lokal o powierzchni 34,29 m2 składa się z:- salonu z aneksem kuchennym ok. 20 m2 - sypialni ok. 8 m2- przedpokoju ok. 2,5 m2- łazienki z wc ok. 4 m2Standard wykończenia:Apartament w bardzo dobrym stanie sprzedawany w opcji &amp;quot;pod klucz&amp;quot; z całym wyposażeniem. Nie wymaga żadnego wkładu finansowego. Lokal znajduje się na 9 piętrze, z okien roztacza się piękny widok na panoramę Wrocławia. Dodatkowym atutem apartamentu są wysokie sufity (miejscami ponad 4 m2) co daje nam poczucie przestrzeni. W lokalu klimatyzacja, która odpowiada także za ogrzewanie. Budynek z 2017 roku. 24 godzinna recepcja i ochrona. Obiekt monitorowany. W budynku znajduje się klub fitness, pralnia, restauracja oraz wypożyczalnia samochodów elektrycznych. Na 7 piętrze powstał zielony taras widokowy z panoramą na miasto dostępny dla mieszkańców budynku. Dostępna jest także duża rowerownia.Istnieje możliwość dokupienia miejsc postojowych w garażu podziemnym w cenie 30 tyś zł. brutto za każde (miejsca mają osobne księgi wieczyste)Lokalizacja, komunikacja i infrastruktura:Doskonałe położenie w centrum Wrocławia. Plac Grunwaldzki to miejsce tętniące życiem i doskonała baza wypadowa do innych części Wrocławia. Bliskość pięciu największych Wrocławskich uczelni sprawia, że jest to idealna lokalizacja na wynajem studencki.W niedalekiej okolicy znajdują się: Hala Stulecia, Pergola, Ogród Japoński, Wrocławskie ZOO. W bezpośrednim sąsiedztwie nowy właściciel będzie miał dostęp do lokali gastronomicznych, usługowych oraz licznych linii tramwajowych i autobusowych.Cena lokalu jest ceną brutto z możliwością odliczenia podatku VAT.ZAPRASZAM NA PREZENTACJĘ!Jakub Pruszyński Tel.: 883 58 36 36DANE KONTAKTOWE:Jakub Pruszyński883 58 36 36Treść niniejszego ogłoszenia nie stanowi oferty handlowej w rozumieniu Kodeksu Cywilnego.</t>
  </si>
  <si>
    <t>https://otodom.pl/pl/oferta/apartament-w-inwestycji-starter-2-piekny-widok-ID4m4NP</t>
  </si>
  <si>
    <t>4m4NP</t>
  </si>
  <si>
    <t>Piękny apartament w stylu klasycznym na sprzedaż</t>
  </si>
  <si>
    <t>ul. Bałtycka, Kołobrzeg, kołobrzeski, zachodniopomorskie</t>
  </si>
  <si>
    <t>Na sprzedaż oferujemy Państwu apartament 2-pokojowy o powierzchni 41,26 m2, znajdujący się na I pietrze w 4-piętrowym, nowowybudowanym apartamentowcu Baltic Marina Residence przy ul. Bałtyckiej 2 w Kołobrzegu.Baltic Marina Residence mieści się w zachodniej części Kołobrzegu, naprzeciw Portu Jachtowego i Rybackiego, a w bliskiej odległości znajduje się Aquapark, stadion oraz liczne sklepy i restauracje. Prezentowany apartament jest nowy, wykończony pod klucz w wysokim standardzie w stylu klasycznym. Do wykończenia użyto materiałów najwyższej jakości.Jest to świetna opcja zarówno na wynajem jak i do zamieszkania.Apartament składa się z:-pokoju dziennego z aneksem o pow. 21,55 m2-sypialni o pow. 11,68 m2 -łazienki o pow. 4,86 m2-komunikacji o pow. 4,17 m2 -balkonu Na ostatniej kondygnacji znajduje się taras wypoczynkowy z widokiem na morze oraz strefa rekreacji (jacuzzi, sauna, siłownia z profesjonalnym sprzętem do ćwiczeń).Obiekt jest ogrodzony i całodobowo monitorowany.Na parterze mieści się prestiżowa klinika odnowy Smart Aging Clinic, oferująca zabiegi na twarz i ciało, a w pobliżu znajdują się liczne atrakcje turystyczne oraz infrastuktura społeczna Cena apartamentu wynosi 640 000 PLN brutto, a w niej zawiera się również wyposażenie w sprzęt AGD (pralka, lodówka, zmywarka, płyta indukcyjna, mikrofalówka).Istnieje możliwość dokupienia zewnętrznego miejsca postojowego w cenie 70 000 PLN brutto.Zapraszamy do umówienia prezentacji.Treść niniejszego ogłoszenia nie stanowi oferty handlowej w rozumieniu Kodeksu Cywilnego. Dane dotyczące nieruchomości oparte są na informacjach uzyskanych od właściciela nieruchomości i mogą różnic się od stanu faktycznego. Podane ceny i czynsze mogą ulec zmianie. Zalecamy osobiste zapoznanie się ze stanem nieruchomości. Zapraszamy!</t>
  </si>
  <si>
    <t>https://otodom.pl/pl/oferta/piekny-apartament-w-stylu-klasycznym-na-sprzedaz-ID4iJXQ</t>
  </si>
  <si>
    <t>4iJXQ</t>
  </si>
  <si>
    <t>Apartament dwupoziomowy z balkonem i dużym tarasem</t>
  </si>
  <si>
    <t>Ekskluzywny apartament w kameralnej okolicy wśród lasu sosnowego. Pobierowo to jeden z najważniejszych ośrodków wczasowych nad polskim morzem. Miejscowość stanowi szczególnie atrakcyjne miejsce dla inwestorów i dla osób pragnących wypoczywać w pobliżu plaży. Bliskość morza, czyste powietrze i woda oraz okoliczna natura pozwalają wyciszyć się i cieszyć urokami Bałtyku o każdej porze roku.Oferowany apartament o powierzchni 68,06m2 znajduje sie na 3 piętrze i składa się z:I POZIOM:- pokój z aneksem kuchennym 24,67 m2- pokój 5,45 m2- pokój 7,61 m2- łazienka 4 93 m2II POZIOM:- pokój 25,59 m2Do mieszkania przynależy również balkon o powierzchni 15,65 m2 oraz taras o powierzchni 30,20 m2Apartamenty powstają w ekskluzywnym kompleksie z całodobowym monitoringiem zewnętrznym. Na terenie kompleksu do dyspozycji mieszkańców basen, plac zabaw, pokój zabaw dla dzieci, wiaty rowerowe, tenis stołowy, wygodne windy oraz parkingi. Inwestycja w apartament nad polskim morzem jest obecnie jedną z najlepszych lokat kapitału z oczekiwaną stopą zwrotu na poziomie 7-8% – czyli znacznie więcej niż z lokat bankowych czy obligacji. Mogą Państwo wynajmować apartament przez cały rok. Mogą Państwo prowadzić wynajem apartamentu samodzielnie lub skorzystać z usług naszego partnera, który będzie kompleksowo zarządzał apartamentem w Państwa imieniu.Cena za apartament 1197856 PLN jest cena netto. Należy dodać 23% podatku VAT.Serdecznie zapraszam na prezentację :)Oferta wysłana z programu dla biur nieruchomości ASARI CRM ()</t>
  </si>
  <si>
    <t>https://otodom.pl/pl/oferta/apartament-dwupoziomowy-z-balkonem-i-duzym-tarasem-ID4ljFJ</t>
  </si>
  <si>
    <t>4ljFJ</t>
  </si>
  <si>
    <t>Pilska 2 | etap I | A.2.8 ROLETY W CENIE, OD RĘKI</t>
  </si>
  <si>
    <t>Oferta:
Zapraszamy do zapoznania się z ofertą mieszkań w nowym wrzesińskim apartamentowcu Pilska 2. W inwestycji zaprojektowano mieszkania o różnej powierzchni od 28m2 kawalerek po dwupoziomowe 100m2 apartamenty. 
Ogłoszenie dotyczy mieszkania  A.2.8 o powierzchni 57,7 m2 usytuowanego na 1 piętrze. Atutem mieszkania jest przestronna strefa dzienna na bazie kwadratu obejmująca salon z aneksem kuchennym. W cenie uwzględniono rolety elektryczne zewnętrzne. 
Zróżnicowana bryła zewnętrzna budynku, tarasy na różnych piętrach, wykusze to tylko kilka elementów architektonicznych wyróżniających budynek.
Apartamentowiec Pilska 2  to wysoki standard wykończenia oraz niepowtarzalność części wspólnych, które utrzymane zostaną w kolorystyce bieli, czerni oraz złota. Podłogi korytarzy i schodów wyłożone zostaną granitem, który podkreśli unikatowy charakter wnętrza.
Wysoka jakość wewnątrz idzie w parze z doskonale zaprojektowaną przez architektów krajobrazu przestrzenią zewnętrzną, wypełnioną bujną roślinnością z łąką kwiatową.
Lokalizacja: Apartamentowiec położony jest we Wrześni przy ul. Pilskiej. Bliskość centrum miasta z jednoczesną łatwością dojazdu do autostrady A2 i strefy aktywności gospodarczej to niewątpliwy atut inwestycji.
Więcej informacji dostępne pod nr telefonu. Zapraszamy na naszą stronę internetową, gdzie znajduje się pełna oferta mieszkań lub do biura sprzedaży znajdującego się przy ul. Warszawskiej 13/6 we Wrześni.</t>
  </si>
  <si>
    <t>https://otodom.pl/pl/oferta/pilska-2-etap-i-a-2-8-rolety-w-cenie-od-reki-ID4e7Tr</t>
  </si>
  <si>
    <t>4e7Tr</t>
  </si>
  <si>
    <t>47m ul. Modlińska 6 kameralny blok</t>
  </si>
  <si>
    <t>ul. Modlińska 6, Bojary, Białystok, podlaskie</t>
  </si>
  <si>
    <t>Sprzedam mieszkanie na osiedlu Bojary o powierzchni 47 m przy ulicy Modlińskiej 6. Mieszkanie składa się z salonu z aneksem kuchennym, sypialni i łazienki. Znajduje się na 1 z 3 pięter. 
Obok sklep spożywczy Pss Społem oraz Urząd Miasta . 
Niska zabudowa powoduje, iż jest to kameralny, cichy i spokojny blok. Okolica natomiast, iż jest to wygodne i przyjemne miejsce do zamieszkania, z centrum miasta na wyciągnięcie ręki. 
Do mieszkania przynależy piwnica oraz miejsce postojowe w garażu podziemnym dodatkowe płatne 30.000 zł.
Zapraszam na prezentację.</t>
  </si>
  <si>
    <t>https://otodom.pl/pl/oferta/65m-przy-ul-sobieskiego-os-bojary-blisko-centrum-ID4lCFL</t>
  </si>
  <si>
    <t>4lCFL</t>
  </si>
  <si>
    <t>4 POKOJE z balkonem</t>
  </si>
  <si>
    <t>Marki, wołomiński, mazowieckie</t>
  </si>
  <si>
    <t>Osiedle „STARA CEGIELNIA” w Markach, przy ul. Lwowskiej.
Inwestycja prowadzona przez sprawdzonego dewelopera z wieloletnim doświadczeniem w branży budowlanej.
Osiedle będzie enklawą spokoju i bezpieczeństwa przez to, że będzie zamkniętym kompleksem z indywidualną bramą wjazdową.
Na osiedlu mamy zróżnicowane wielkości mieszkań:
- mieszkania 3 pokojowe na parterach budynków o powierzchni 61,55 m2 do których przynależą ogródki lokatorskie,
- mieszkania 4 pokojowe w dwóch wielkościach 77,84 m2 i 78,95 m2 na piętrach budynków,
- segmenty 5 pokojowe o powierzchni 129,77 m2 do których przynależą ogródki lokatorskie,
- segmenty 6 pokojowe o powierzchni 134,88 m2 do których również przynależą ogródki lokatorskie.
Wszystkie mieszkania mają indywidualne przyłącza mediów miejskich, przez co osiedle może być bezczynszowe.
Nowoczesna architektura zaprojektowanych budynków wspaniale komponuje się z lokalną niską zabudową. Płaskie dachy i detale architektoniczne nadają budynkom indywidualnego wyglądu i lekkości.
Dbałość o każdy szczegół inwestycji od etapu projektowania, aż do końca budowy zapewni przyszłym nabywcom gwarancję dobrej lokaty kapitału.
Materiały użyte do budowy pochodzą od sprawdzonych i renomowanych dostawców co zapewni trwałość wykonanym budynkom.
Do każdego mieszkania jest zapewnione indywidualne miejsce parkingowe na terenie osiedla.
Lokalizacja inwestycji zapewnia przyszłym nabywcom wygodę i komfort użytkowania nieruchomości.
Zapewniamy pomoc w uzyskaniu kredytu na zakup przedmiotowej inwestycji.
Zakup bezpośrednio od dewelopera zwalnia kupujących z podatku PCC-3.
Pierwszy etap osiedle kończymy w maju 2024 r., a drugi w grudniu 2024 r.</t>
  </si>
  <si>
    <t>https://otodom.pl/pl/oferta/4-pokoje-z-balkonem-ID4jGxm</t>
  </si>
  <si>
    <t>4jGxm</t>
  </si>
  <si>
    <t>PENTRHOUSE, 390m2 tarasów, 303m2 APARTAMENTU</t>
  </si>
  <si>
    <t>ul. Adama Naruszewicza, Wierzbno, Mokotów, Warszawa, mazowieckie</t>
  </si>
  <si>
    <t>Stary Mokotów penthouse z dwoma dużymi tarasami przy Metro Wierzbno ; 3 miejsca postojowe; bez PCCNiepowtarzana nieruchomość dla wymagającego klienta w stanie deweloperskim. Prestiżowa i kameralna (tylko 76 apartamentów) rezydencja położona w sercu Starego Mokotowa w pobliżu wejścia do Metro Wierzbno. Okolica cicha i zielona, w sąsiedztwie liczne tereny zielone, tym Park Arkadia oraz niska zabudowa przedwojennych wilii. 13 minut do Centrum i 5 minut do Galerii Mokotów. W pobliżu bogata oferta edukacyjna z prestiżowymi liceami. “Rezydencja Naruszewicza” to połączenie nowoczesnej architektury z klasycznym wystrojem wnętrz nawiązującym do francuskich rezydencji z przełomu XVIII i XIX wieku. Na działce o powierzchni 1700 m2 powstała 8-io piętrowa rezydencja z podziemnym garażem, ochroną, recepcją oraz prywatnym ogrodem na dachu.Apartament skierowany na 3 strony świata. Pierwotny układ to 3 niezależne mieszkania (105, 125 i 53 mkw ) z możliwością przywrócenia pierwotnego układu. Lokal posiada 3 niezależne KW, prywatną windę oraz 3 miejsca postojowe w garażu podziemnym po 50 000złDuże tarasy w widokiem na panoramę centrum Warszawy i Starego Mokotowa. Pierwszy taras -153 mkw; drugi - 82 mkw pomocnicze tarasy: 60mkw, 37mkw, 24 mkw, 23mkw, 12 mkw. Pomieszczenia przestronne, wysokie 3 metry oraz optymalnie doświetlone dużymi oknami. Podana cenna netto -należy powięszyć o VAT 8%.</t>
  </si>
  <si>
    <t>https://otodom.pl/pl/oferta/pentrhouse-390m2-tarasow-303m2-apartamentu-ID4jUOx</t>
  </si>
  <si>
    <t>4jUOx</t>
  </si>
  <si>
    <t>Apartament z balkonem, Osiedle Pastelowe.</t>
  </si>
  <si>
    <t>Przedstawiamy Państwu II etap inwestycji Osiedle Pastelowe w dzielnicy Łostowice w Gdańsku. Doskonała propozycja dla os&amp;oacute;b, kt&amp;oacute;re na co dzień poszukują spokoju i możliwości relaksu w otoczeniu natury. W II etapie powstanie pięć budynków o nowoczesnej architekturze z licznymi przeszkleniami. Atutem osiedla będą duże, ponad 30 metrowe, odległości między budynkami. MIESZKANIE: Lokal składa się z:- salonu z aneksem kuchennym,- 2 sypialni,- łazienki,- WC- przedpokoju,- balkonu.Do mieszkania istnieje możliwość wykupienia miejsca w hali garażowej w kwocie 30.000zł, miejsca naziemnego w cenie 15.000zł oraz kom&amp;oacute;rki lokatorskiej 2.000zł/m2.Wszystkie ceny zawierają podatek VAT 8%.Odbi&amp;oacute;r &amp;ndash; II kwartał 2024 r. LOKALIZACJA: Osiedle znajduje się przy ul. Pastelowej, kt&amp;oacute;ra słynie z dobrego zaplecza usługowego oraz komunikacyjnego. Do osiedla dojazd jest zapewniony od ul. Starogardzkiej i Przemian. Ulica Pastelowa, przy kt&amp;oacute;rej położony jest budynek, bezpośrednio łączy się z ulicą Niepołomicką (ok. 1 minuty), a ta prowadzi do ulicy Świętokrzyskiej &amp;ndash; gł&amp;oacute;wnej trasy prowadzącej na obwodnicę Tr&amp;oacute;jmiasta. Do centrum Gdańska z łatwością dojedziemy środkami komunikacji miejskiej (tramwaj, autobus), a na Stare Miasto jedynie w 15 minut samochodem.WYKOŃCZENIE: Istnieje możliwość skorzystania z usług wykończenia pod klucz, kt&amp;oacute;re obejmują:&amp;ndash; koordynację wszelkich działań związanych z wykończeniem mieszkania,&amp;ndash; starannie przeprowadzone prace wykończeniowe,&amp;ndash; kompleksowe sprzątanie przed odbiorem mieszkania,&amp;ndash; wsp&amp;oacute;łpracę z doświadczonymi projektantami.Posiadamy więcej nieruchomości na tym osiedlu.Zadzwoń i poznaj pełną ofertę!KUP NIERUCHOMOŚĆ Z NAMI!- Tylko u nas najbardziej atrakcyjne oferty!- Potrzebujesz finansowania? U nas otrzymasz kredyt na najlepszych warunkach.- Nasi Doradcy przeprowadzą Cię przez cały proces zakupu od A do Z. - Zaproponujemy Ci również oferty, które nie widnieją na portalach ogłoszeniowych.- Zapewnimy Ci kompleksowe wykończenie mieszkania jak i projekt od architekta wnętrz!Oferta wysłana z programu dla biur nieruchomości ASARI CRM ()</t>
  </si>
  <si>
    <t>https://otodom.pl/pl/oferta/apartament-z-balkonem-osiedle-pastelowe-ID4g6h8</t>
  </si>
  <si>
    <t>4g6h8</t>
  </si>
  <si>
    <t>piękna kamienica w kapitalnej lokalizacji</t>
  </si>
  <si>
    <t>ul. Robotnicza, Śródmieście, Gdańsk, pomorskie</t>
  </si>
  <si>
    <t xml:space="preserve">ATUTY NIERUCHOMOŚCI:- atrakcyjna lokalizacja w samym sercu Gdańska - 5 min do Starego Miasta,- idealne do zamieszkania dla rodziny lub pod inwestycję,- spokojna i bezpieczna okolica,- funkcjonalny rozkład mieszkania,- dwustronna ekspozycja,- słoneczne i przestronne,- doskonale rozwinięta komunikacja,- bogata infrastruktura handlowo-usługowa,- duża piwnica,- pomieszczenie gospodarcze na piętrze,- balkon,- ogrodzone miejsca postojowe, za bramą, jedynie dla mieszkańców,- klatka schodowa po remoncie,- wysokość pomieszczeń 2,9m,- szybkie wydanie,- duże możliwości aranżacyjne.NIERUCHOMOŚĆ:Mieszkanie położone jest na 2 piętrze zadbanej, urokliwej kamienicy z cegły. Budynek w bardzo dobrym stanie wizualno- technicznym, zabezpieczony domofonem. W kamienicy wyremontowana została klatka schodowa, wykonane izolacje, odnowione piwnice i dach. W najbliższym czasie planowany remont elewacji.Mieszkańcy mogą parkować na ogrodzonym podwórku znajdującym się na tyłach budynku - brama na pilota.Lokal mieszkalny o powierzchni 65m2 składa się z: - przestronnego salonu,- sypialni z garderobą,- przedpokoju z dużą szafą w zabudowie,- kuchni z jadalnią oraz wyjściem na balkon,- łazienki z oknem.  Dodatkowo do lokalu przynależą: komórka znajdująca się na półpiętrze i piwnica. Dla mieszkańców dostępny jest również strych, znajdujący się bezpośrednio nad mieszkaniem (istnieje możliwość wykupu strychu od wspólnoty oraz połączenia go z mieszkaniem).Pierwotnie mieszanie składało się z 3 niezależnych pokoi i istnieje możliwość powrotu do tego stanu. Ogrzewanie miejskie. Opłaty kształtują się na poziomie: latem około 500 zł, zimą około 700 zł.LOKALIZACJA:Nieruchomość zlokalizowana w historycznej, prestiżowej oraz prężnie rozwijającej się części miasta. Tereny postoczniowe wokół nieruchomości z roku na rok nabierają nowego blasku. Dzięki uregulowaniu dróg dojazdowych oraz rozwojowi placówek kulturalnych to jedno z najciekawszych miejsc w tej części Gdańska. Z okien widok na Europejskie Centrum Solidarności, a obok budynku powstanie niebawem Muzeum Sztuki Współczesnej.Gorąco polecam i zapraszam na prezentację!Jagoda WolffNr oferty: PH624972 </t>
  </si>
  <si>
    <t>https://otodom.pl/pl/oferta/piekna-kamienica-w-kapitalnej-lokalizacji-ID4l37Z</t>
  </si>
  <si>
    <t>4l37Z</t>
  </si>
  <si>
    <t>A7 - dwa pokoje, pomieszczenie gospodarcze+balkon</t>
  </si>
  <si>
    <t>ul. Augustyna Weltzla, Żory, śląskie</t>
  </si>
  <si>
    <t xml:space="preserve"> Dwupokojowy lokal mieszkalny numer A7, z przynależnym balkonem, usytuowany na parterze budynku, składający się z:
- holu o powierzchni użytkowej 4,86 m2.
- łazienki o powierzchni użytkowej 3,74 m2.
- sypialni o powierzchni użytkowej 10,64 m2.
- salonu z aneksem kuchennym o powierzchni użytkowej 27,25 m2.
- pomieszczenia gospodarczego o powierzchni 2,17 m2.
 o łącznej powierzchni użytkowej 48,66 m2.
Do lokalu przynależy balkon.
Osiedle Park Weltzla w Żorach, to nowa inwestycja realizowana przez Spółkę Domy Śląskie Sp. z o.o., w ramach której powstanie 127 lokali mieszkalnych w trzech budynkach i łącznie 190 miejsc postojowych w garażach podziemnych oraz przed budynkami. W każdym z budynków na wysokim parterze zaprojektowano mieszkania z ogródkiem, a na ostatnich piętrach - mieszkania z tarasem.
Inwestycja realizowana będzie w dwóch etapach:
W pierwszym etapie powstanie budynek nr 2 - segment C w skład którego wchodzi 39 lokali mieszkalnych o powierzchniach od 41,41 m2 do 121,38 m2 oraz dwa poziomy garaży podziemnych.
W drugim etapie powstanie budynek nr 1 w skład którego wchodzi segment A, składający się z 44 lokali mieszkalnych o powierzchniach od 41,51 m2 do 74,68 m2 oraz dwa poziomy garaży podziemnych, a także segment B w skład którego wchodzą 44 lokale mieszkalne o powierzchniach od 41,51 m2 do 74,68 m2 plus dwa poziomy garaży podziemnych.
W ramach całego przedsięwzięcia powstanie również budynek nr 3, który będzie dodatkowym parkingiem podziemnym.
Realizacja inwestycji zaplanowana jest na lata 2023. – 2025.
Osiedle Park Weltzla to przede wszystkim nowoczesna architektura budynków, funkcjonalność mieszkań, komfort i bezpieczeństwo, jak również:
Doskonała lokalizacja pod względem skomunikowania ze wszystkimi dzielnicami Żor oraz sąsiadującymi miastami - dzięki bezpośredniemu dostępowi do lokalnych rozwiązań komunikacyjnych i drogowych. Znajdujące się w najbliższym otoczeniu m.in.: szkoły, żłobek, przedszkola, ośrodki zdrowia, ośrodki sportowe, sklepy oraz Rynek Żor sprawiają, że inwestycja staje się jeszcze bardziej atrakcyjna i przyjazna dla potencjalnych mieszkańców.
Osiedle będzie monitorowane i w pełni ogrodzone, zapewniając mieszkańcom poczucie prywatności i bezpieczeństwa.
Wjazd na teren osiedla zapewniony jest od ulicy Handlowej, a dostęp do bramy wjazdowej będą mieli tylko mieszkańcy osiedla. Pilot do jej obsługi posiadać będzie każdy nabywca mieszkania. Dla osób, które nabędą miejsca postojowe w garażach podziemnych, piloty będą dodatkowo obsługiwać bramy tych garaży. Pod każdym z budynków garaże zaprojektowano na dwóch podziemnych poziomach, a osobny garaż podziemny stanowić będzie dodatkowe miejsca postojowe dla mieszkańców.
Zagospodarowanie terenu osiedla poprzez liczne tereny zielone, plac zabaw czy strefę relaksu, zachęci mieszkańców do spędzania wolnego czasu na świeżym powietrzu.
W obu segmentach mieszkalnych zaplanowano 13 osobowe windy, którymi dostaniemy się na każdy poziom mieszkalny i oba poziomy garaży.
Większość mieszkań ma wyjście na balkon/taras zarówno z salonu jak i sypialni.
Mieszkania posiadają oddzielne pomieszczenie gospodarcze przeznaczone na pralkę i suszarkę, dzięki czemu w pełni można wykorzystać powierzchnię łazienki.
Zastosowanie w mieszkaniach ogrzewania podłogowego zasilanego z sieci miejskiej, to komfort zarówno pod względem użytkowym jak i finansowym.
Na miejscach postojowych w garażach podziemnych istnieje możliwość zabudowy ażurowych boksów, pełniących funkcję komórek lokatorskich.
</t>
  </si>
  <si>
    <t>https://otodom.pl/pl/oferta/a7-dwa-pokoje-pomieszczenie-gospodarcze-balkon-ID4l36H</t>
  </si>
  <si>
    <t>4l36H</t>
  </si>
  <si>
    <t>A20 - przestronne 2 pokoje + balkon</t>
  </si>
  <si>
    <t xml:space="preserve"> Dwupokojowy lokal mieszkalny numer A20, z przynależnym balkonem, usytuowany na pierwszym piętrze budynku, składający się z:
- holu o powierzchni użytkowej 4,85 m2.
- łazienki o powierzchni użytkowej 5,66 m2.
- sypialni o powierzchni użytkowej 10,18 m2.
- salonu z aneksem kuchennym o powierzchni użytkowej 25,14 m2.
 o łącznej powierzchni użytkowej 45,83 m2.
Do lokalu przynależy balkon.
Osiedle Park Weltzla w Żorach, to nowa inwestycja realizowana przez Spółkę Domy Śląskie Sp. z o.o., w ramach której powstanie 127 lokali mieszkalnych w trzech budynkach i łącznie 190 miejsc postojowych w garażach podziemnych oraz przed budynkami. W każdym z budynków na wysokim parterze zaprojektowano mieszkania z ogródkiem, a na ostatnich piętrach - mieszkania z tarasem.
Inwestycja realizowana będzie w dwóch etapach:
W pierwszym etapie powstanie budynek nr 2 - segment C w skład którego wchodzi 39 lokali mieszkalnych o powierzchniach od 41,41 m2 do 121,38 m2 oraz dwa poziomy garaży podziemnych.
W drugim etapie powstanie budynek nr 1 w skład którego wchodzi segment A, składający się z 44 lokali mieszkalnych o powierzchniach od 41,51 m2 do 74,68 m2 oraz dwa poziomy garaży podziemnych, a także segment B w skład którego wchodzą 44 lokale mieszkalne o powierzchniach od 41,51 m2 do 74,68 m2 plus dwa poziomy garaży podziemnych.
W ramach całego przedsięwzięcia powstanie również budynek nr 3, który będzie dodatkowym parkingiem podziemnym.
Realizacja inwestycji zaplanowana jest na lata 2023. – 2025.
Osiedle Park Weltzla to przede wszystkim nowoczesna architektura budynków, funkcjonalność mieszkań, komfort i bezpieczeństwo, jak również:
Doskonała lokalizacja pod względem skomunikowania ze wszystkimi dzielnicami Żor oraz sąsiadującymi miastami - dzięki bezpośredniemu dostępowi do lokalnych rozwiązań komunikacyjnych i drogowych. Znajdujące się w najbliższym otoczeniu m.in.: szkoły, żłobek, przedszkola, ośrodki zdrowia, ośrodki sportowe, sklepy oraz Rynek Żor sprawiają, że inwestycja staje się jeszcze bardziej atrakcyjna i przyjazna dla potencjalnych mieszkańców.
Osiedle będzie monitorowane i w pełni ogrodzone, zapewniając mieszkańcom poczucie prywatności i bezpieczeństwa.
Wjazd na teren osiedla zapewniony jest od ulicy Handlowej, a dostęp do bramy wjazdowej będą mieli tylko mieszkańcy osiedla. Pilot do jej obsługi posiadać będzie każdy nabywca mieszkania. Dla osób, które nabędą miejsca postojowe w garażach podziemnych, piloty będą dodatkowo obsługiwać bramy tych garaży. Pod każdym z budynków garaże zaprojektowano na dwóch podziemnych poziomach, a osobny garaż podziemny stanowić będzie dodatkowe miejsca postojowe dla mieszkańców.
Zagospodarowanie terenu osiedla poprzez liczne tereny zielone, plac zabaw czy strefę relaksu, zachęci mieszkańców do spędzania wolnego czasu na świeżym powietrzu.
W obu segmentach mieszkalnych zaplanowano 13 osobowe windy, którymi dostaniemy się na każdy poziom mieszkalny i oba poziomy garaży.
Większość mieszkań ma wyjście na balkon/taras zarówno z salonu jak i sypialni.
Mieszkania posiadają oddzielne pomieszczenie gospodarcze przeznaczone na pralkę i suszarkę, dzięki czemu w pełni można wykorzystać powierzchnię łazienki.
Zastosowanie w mieszkaniach ogrzewania podłogowego zasilanego z sieci miejskiej, to komfort zarówno pod względem użytkowym jak i finansowym.
Na miejscach postojowych w garażach podziemnych istnieje możliwość zabudowy ażurowych boksów, pełniących funkcję komórek lokatorskich.
</t>
  </si>
  <si>
    <t>https://otodom.pl/pl/oferta/a20-przestronne-2-pokoje-balkon-ID4l5hH</t>
  </si>
  <si>
    <t>4l5hH</t>
  </si>
  <si>
    <t>Apartamenty KASPROWICZA | apartament C604</t>
  </si>
  <si>
    <t>Przedmiotem ogłoszenia jest 2-pokojowy  apartament  położony na 6 piętrze w NOWO POWSTAJĄCEJ inwestycji Apartamenty KASPROWICZA w Kołobrzegu. Idealna lokalizacja - strefa nadmorska.
To przestronny lokal o powierzchni 43,73 m kw.
Lokal w stanie developerskim. Właściciel sam decyduje o wykończeniu lokalu wg własnej aranżacji. Istnieje możliwość wykończenia lokali "pod klucz".
Budynek ze strefą basenu, saun, sali zabaw dla dzieci, siłownią. Dodatkowo planowana jest restauracja oraz gabinety SPA &amp;amp; WELLNESS.
Cechą inwestycji jest wysoki standard i świetna lokalizacja.
O inwestycji:
PUH AKCES Nieruchomości od 2018 roku realizuje przedsięwzięcie developerskie -  APARTAMENTY KASPROWICZA zlokalizowane w strefie uzdrowiskowej Kołobrzegu przy ul. Kasprowicza. 
Zamierzeniem inwestycyjnym jest wybudowanie kompleksu trzech budynków z pełnym zapleczem rekreacyjnym w postaci basenu, jacuzzi, saun, sauny solnej, siłowni, sali zabaw dla dzieci. Dodatkowo  właściciele lokali lub ich goście będą mogli korzystać z gabinetów przeznaczonych pod usługi Welles &amp;amp; SPA  oraz restauracji.
APARTAMENTY KASPROWICZA  to miejsce dedykowane osobom, które poszukując ciszy i relaksu w bliskim otoczeniu natury nie chcą rezygnować z komfortu i dostępności  atrakcji. Projekt inwestycji łączy w sobie wyjątkową lokalizację i dopracowaną koncepcję architektoniczną.
APARTAMENTY KASPROWICZA posiadają idealną lokalizację. Park nadmorski z szeroką plażą znajduje się w odległości 400 m. Bliskość morza i plaży oraz  dostęp do ścieżek rowerowych stwarza warunki do odpoczynku i aktywności fizycznej. Centrum miasta znajduje się w odległości 1,5 km. Do dworca PKP jest 500 m. Inwestycja zlokalizowana została w odległości kwadransa spaceru do molo oraz portu – głównej kołobrzeskiej promenady. Blisko, a jednocześnie daleko od skupisk turystów, ruchu miejskiego  czyni miejsce inwestycji wyjątkowym.
Zaletami naszej inwestycji jest pełna dowolność przyszłych  właścicieli apartamentów w zakresie sposobu ich wykorzystania:
o   brak wiążących, długoterminowych umów
o   pełna swoboda w wyborze operatora
o   możliwość wykorzystania lokali na cele własne, mieszkaniowe
o   brak jakikolwiek ograniczeń w korzystaniu z zakupionego lokalu, brak narzuconych  tzw. pobytów właścicielskich
Część rekreacyjna w zakresie części basenu (jacuzzi, sauny,sauny solna), siłowni oraz sali zabaw dla dzieci będzie częścią wspólną budynku C. To właściciele poszczególnych lokali będą o niej w pełni decydować. Będą mieć do niej pełny i swobodny dostęp. Koszty utrzymania kondygnacji parteru w części rekreacyjnej będą wkalkulowane w czynsze eksploatacyjne ponoszone na rzecz wspólnoty mieszkaniowej.
W planowanym etapie C dostępne będą lokale o powierzchni : od 29 do 54 m2   .
Przemyślane rozkłady apartamentów pozwalają na swobodną aranżację i optymalne wykorzystanie przestrzeni. Każdy lokal wyposażony jest w balkon, który obejmie całą długość lokalu. Duże przeszklenia (witryny), szklane balustrady sprawią, że wnętrza lokali będą jasne i przestronne. Apartamenty będą przekazywane w stanie developerskim, dając pełną swobodę nabywcą na ich wykończenie. Będzie istniała możliwość wykończenia lokali „pod klucz” na podstawie osobnej umowy i ustaleń.
 Lokale wyposażone w klimatyzację w cenie lokalu.
Wraz z apartamentem będzie istniała możliwość zakupu miejsca postojowego w hali garażowej lub miejsca zewnętrznego.
W odległości 300 m od inwestycji zlokalizowane są dwa ogólnodostępne parkingi miejskie (płatne), na których z powodzeniem można zostawić samochód.</t>
  </si>
  <si>
    <t>https://otodom.pl/pl/oferta/apartamenty-kasprowicza-apartament-c604-ID4chUs</t>
  </si>
  <si>
    <t>4chUs</t>
  </si>
  <si>
    <t>Piękne dwupoziomowe mieszkanie na Gumieńcach</t>
  </si>
  <si>
    <t>ul. gen. Stanisława Kopańskiego, Gumieńce, Zachód, Szczecin, zachodniopomorskie</t>
  </si>
  <si>
    <t>Świetna oferta dwupoziomowego mieszkania o łącznej powierzchni użytkowej 86,59m2 (powierzchnia całkowita 115 m2), składającego się z 3 pokoi, z przynależnym balkonem 8,9m2, położonego na 3 piętrze  budynku w dzielnicy Gumieńce przy ulicy Kopańskiego.Mieszkanie składa się z dwóch poziomów.Poziom pierwszy:- przestrzenny salon, z wyjściem na balkon,- w pełni wyposażona kuchnia -aneks, meble wykonane na wymiar, fronty drewniane, sprzęt AGD tj. kuchenką indukcyjną ,piekarnikiem, okapem, zmywarką i lodówką- toaleta, w niej dwuobiegowy piec gazowy;- pojemna garderobaW hallu znajduje się duża szafa typu Komandor, w salonie schody na poziom drugi;Poziom drugi:- sypialnia z zabudowami na wymiar,- przestronna łazienka, pralka, wanna z prysznicem,- duży pokój,- hall.Na podłogach panele w pokojach i kuchni, terakota w łazienkach i na balkonie.W  łazienkach na ścianach glazura.Drzwi zewnętrzne antywłamaniowe.Okna w mieszkaniu PCV oraz połaciowe - drewnianeCzynsz 460,- poza tym prąd i gazNieopodal znajduje się Park Przygodna z alejkami spacerowymi, ścieżkami rowerowymi, placami zabaw dla dzieci, wybiegiem dla psów i siłownią na wolnym powietrzu.Jednocześnie osiedle leży w pobliżu centrum handlowego Ster i marketu budowlanego Castorama.W okolicy również mniejsze sklepy spożywcze, Biedronka, Lidl,pizzeria, cukiernia-piekarnia, salony kosmetyczne, fryzjerskie, a także placówki oświatowe i służby zdrowia tj. żłobki, przedszkola, szkoły, przychodnie i inne niezbędne do codziennego funkcjonowania placówki i punkty handlowo-usługowe.Miejsce także świetnie skomunikowane, pod blokiem zlokalizowany przystanek autobusowy szkolny, autobus dla dzieci bezpośrednio pod szkołę podstawową numer 8, na końcowy Gumieńce.Polecam szczególnie nieruchomość i zapraszam na prezentacje.Treść niniejszego ogłoszenia nie stanowi oferty handlowej w rozumieniu Kodeksu Cywilnego. Treść ma charakter informacyjny i zalecamy ich osobistą weryfikację.Pośredniczymy w transakcjach obrotu nieruchomościami i pomagamy uzyskać kredyt hipoteczny na terenie całej Polski. Posiadamy 10 oddziałów - w Szczecinie, Warszawie, Poznaniu, Gdańsku, Olsztynie, Rzeszowie, Białymstoku i Lublinie. Nasi agenci bezpłatnie dojeżdżają do Klientów. Jesteś zainteresowany niezobowiązującym spotkaniem? Zadzwoń do nas już dziś.Oferta wysłana z programu dla biur nieruchomości ASARI CRM ()</t>
  </si>
  <si>
    <t>https://otodom.pl/pl/oferta/piekne-dwupoziomowe-mieszkanie-na-gumiencach-ID4mcHm</t>
  </si>
  <si>
    <t>4mcHm</t>
  </si>
  <si>
    <t>Apartament 500m od morza! Basen, Kort, Siłownia</t>
  </si>
  <si>
    <t>ul. Zachodnia, Ustronie Morskie, Ustronie Morskie, kołobrzeski, zachodniopomorskie</t>
  </si>
  <si>
    <t>Nieruchomość zlokalizowana w turystycznym kurorcie, z udogodnieniami jak basen, siłownia, kortyGłówne atuty nieruchomości: • prestiżowa lokalizacja• cicha i spokojna okolica• blisko morzaNieruchomość złożona z: • pokój z aneksem kuchennym 32 m.kw• sypialnia 12 m.kw• łazienka 4 m.kw W skład nieruchomości wchodzą też:• balkon• miejsce parkingoweTyp ogrzewania: ogrzewanie na gaz płynny. Typ własności: własność. Apartament zlokalizowany na terenie zamkniętej Rezydencji Ustronie Morskie daje gwarancję ciszy i bezpieczeństwa. Do dyspozycji właścicieli i ich gości są bezpłatne miejsca parkingowe oraz winda w budynku. Teren Rezydencji oferuje siłownię, kort tenisowy, boisko do koszykówki i podgrzewany basen oraz plac zabaw dla dzieci. Pięknie zaaranżowany teren zielony sprzyja relaksowi, a jednocześnie daje możliwość aktywnego wypoczynku.Apartament o powierzchni 48,16 mkw. Jest umeblowany i zaprojektowany z dbałością o detale. Meble wykonane pod wymiar na zamówienie. Składa się z salonu z kuchnią w formie aneksu, sypialni, łazienki oraz przestronnego balkonu z widokiem na strefę basenową.Bezpłatnie korzystać można z udogodnień osiedla(siłownia, korty, boisko, plac zabaw). Nieruchomość doskonale sprawdzi się na cele własne jak i do wynajmu. Niski czynsz w kwocie 180zł. Z opłatami eksploatacyjnymi koszt w granicach 400zł/msc. W mieszkaniu jest ogrzewanie gazowe.Jednym z największych atutów nieruchomości jest lokalizacja zaledwie 500m od morza. Spacer zajmuje kilka minut, a pod kątem wynajmu krótkoterminowego jest to cecha pożądana przez klientów. Wszystko to sprawia, że nieruchomość jest bardzo atrakcyjna, a jej atuty mogą cieszyć właśnie Ciebie!Oferta dostępna tylko w Metrohouse. ZADZWOŃ: 538 155 999.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</si>
  <si>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https://otodom.pl/pl/oferta/apartament-500m-od-morza-basen-kort-silownia-ID4mgk1</t>
  </si>
  <si>
    <t>4mgk1</t>
  </si>
  <si>
    <t>Pogodno dom z ogrodem i 2 garażami</t>
  </si>
  <si>
    <t>Pogodno, Zachód, Szczecin, zachodniopomorskie</t>
  </si>
  <si>
    <t>Przestronny dom w zabudowie szeregowej znajdujący się w najatrakcyjniejszej dzielnicy Szczecina: Pogodno, przy ul. Karola Libelta. Dom usytuowany na działce o powierzchni 522 m2. Piękny ogród z licznymi nasadzeniami. 2 garaże murowane. Wjazd na teren posesji za zamykaną bramą. Drugie alternatywne wejście na teren posesji od strony ogrodu, bliżej Ryneczka Pogodno.Dom składa się z 2 niezależnych części, posiada dwa różne numery adresów. Dwa niezależne wejścia do domu, dwa wyjścia na niezależne tarasy, ogród. Możliwość prowadzenia w jednej z części działalności, firmy lub wykorzystania jako bardzo dobrej inwestycji na wynajem. Możliwość połączenia obu części. Dom gotowy do zamieszkania.Dom składa się z 3 poziomów, w jednej z części strych, sucha piwnica. Możliwość dobudowania części domu. Idealne rozwiązanie dla rodziny dwupokoleniowej, szeregowiec jak bliźniak. W skład domu wchodzą: salon z bezpośrednim wyjściem na taras; oddzielna, jasna kuchnia; łazienka z wc. 1. piętro: 2 pokoje.Druga część składa się z przestronnej werandy z dostępem do tarasu; oddzielna, jasna kuchnia; pokój; piwnica. 1. piętro: 2 pokoje; łazienka z wc; strych z oknami do adaptacji. Oddzielnie liczniku gazu, prądu oraz wody. Ogrzewanie i ciepła woda z pieca gazowego. Kanalizacja miejska.Pięknie zagospodarowany ogród od strony południowo-zachodniej. 2 oddzielne garaże i pomieszczenie gospodarczego przy drodze wewnętrznej, znajdującej się na tyłach pomiędzy ogrodami. Dodatkowo przed budynkiem liczne miejsca parkingowe.Zadbana, przyjazna okolica, bardzo dobra lokalizacja z szybkim dostępem do komunikacji miejskiej, sklepy, szkoły, apteki. Blisko Ryneczek Pogodno- Centrum Handlowe Pogodno. Obok ulice: Ignacego Paderewskiego, Władysława S. Reymonta, ul. Stefana Okrzei. Sprzedający rozważy w ramach rozliczenia zamianę na mieszkanie oraz dopłatę.Przy zakupie nieruchomości zapewniamy Państwu pełną obsługę kredytową. Naszym priorytetem jest bezpieczeństwo i zadowolenie naszych Klientów. Informacje o nieruchomości zostały sporządzone na podstawie oświadczeń i nie są ofertą w rozumieniu przepisów prawa. Mają wyłącznie charakter informacyjny i mogą podlegać aktualizacji. Zalecamy ich osobistą weryfikację.Wszelkie prawa zastrzeżone. Teksty, rysunki, zdjęcia oraz inne informacje opublikowane na niniejszych stronach podlegają prawom autorskim WGN Nieruchomości Szczecin, pl. Lotników 7. Wszelkie kopiowanie, dystrybucja, elektroniczne przetwarzanie oraz przesyłanie zawartości bez zezwolenia są zabronione.WGN zapewnia rynkowe ceny, bezpieczeństwo korzystnej transakcji oraz pomoc notariusza. Wyróżniamy się pełnym zaangażowaniem, ekspercką wiedzą i najwyższym poziomem usług opartych na ponad 30-letnim doświadczeniu. Stosujemy System Jakości ZJ WGN oraz Kodeks Etyki Zawodowej Polskiej Federacji Rynku Nieruchomości.Oferta wyłącznie w WGN Nieruchomości Szczecin, pl. Lotników 7 Zapraszam na prezentację, Błażej Salamon, licencja zawodowa nr 26919 +4████████████5</t>
  </si>
  <si>
    <t>https://otodom.pl/pl/oferta/pogodno-dom-z-ogrodem-i-2-garazami-ID4kXIF</t>
  </si>
  <si>
    <t>4kXIF</t>
  </si>
  <si>
    <t>Apartament z widokiem na Zatokę, Jurata!</t>
  </si>
  <si>
    <t>Mestwina, Jurata, Jastarnia, pucki, pomorskie</t>
  </si>
  <si>
    <t>Jeśli marzą Państwo o luksusowym apartamencie, w którym codziennie będziecie mogli podziwiać zachód słońca i słuchać szumu morza, to Jurata jest miejscem, które spełni Państwa marzenia!!!OPIS INWESTYCJI:Ta wyjątkowa inwestycja położona jest w słynnym, prestiżowym kurorcie Jurata na Półwyspie Helskim, 50m od brzegu Zatoki Puckiej, w pobliżu wydm, plaży, charakterystycznego molo i promenady. Nieruchomość oferuje mieszkańcom i ich gościom niesamowity widok na morze oraz świeże powietrze pełne jodu.Budynek ma cztery kondygnacje i zaprojektowany został w nowoczesnym, modernistycznym stylu, wyposażony w cichobieżne windy oraz podziemną halę garażową. W budynku znajduje się 29 wyjątkowych apartamentów wykończonych pod klucz, o różnych powierzchniach, począwszy od 47,37 m² do 105,15 m². Dzięki panoramicznym oknom, z każdego apartamentu można podziwiać piękny widok na morze i cieszyć się naturalnym światłem wpadającym do wnętrza.Wszystkie apartamenty posiadają przestronne tarasy z widokiem na morze i są wykończone z wysokiej jakości materiałów. Każdy apartament ma również swoje miejsce postojowe, a wybrane lokale posiadają także komórki lokatorskie. To wyjątkowa inwestycja na mapie nadmorskich nieruchomości, która zachwyci każdego, kto szuka wyjątkowego i luksusowego miejsca do życia lub wypoczynku.OPIS LOKALU:Niniejsza oferta dotyczy 3-pokojowego apartamentu o pow. 70,66m2, położonego na pie piętrze. Składa się z przestronnego salonu połączonego z aneksem kuchennym (26,74m2), sypialni głównej z łóżkiem małżeńskim (11,51m2), sypialni gościnnej z dwoma osobnymi łóżkami (9,54m2), łazienki z wanną (4,53m2), łazienki z prysznicem (3,35m2), hallu (14,99m2) oraz obszernego tarasu (22,30m2), z którego rozpościera się kojący widok na wydmy i morze. Przestrzeń salonu podzielono na strefę wypoczynkową z wygodną kanapą z funkcją spania i fotelami, aneks kuchenny, jadalnię z okrągłym stołem oraz wyjściem na taras. W apartamencie znajduje się także garderoba, która zapewnia odpowiednią ilość przestrzeni do przechowywania odzieży i niezbędnych akcesoriów. Apartament został wykończony z użyciem wysokiej jakości materiałów: podłogi drewniane, aneks kuchenny wyposażony w niezbędne sprzęty AGD (zmywarka, czajnik elektr. lodówka, ekspres do kawy, płyta indukcyjna), kamienne blaty, system klimatyzacji. Zaprojektowany został tak, aby sprostać najbardziej wymagającym mieszkańcom.Nieocenionym atutem nieruchomości jest otaczający ją piękny teren zielony z charakterystycznymi sosnami, który dostępny jest wyłącznie dla mieszkańców. To miejsce stanowi oazę spokoju i ciszy, w której można cieszyć się odprężającą atmosferą i słuchać szumu drzew oraz morskiej bryzy przez cały dzień.INF. DODATKOWE:W ofercie sprzedaży mamy ostatnie wolne apartamenty:Parter, 3 pokoje, 70,53m2, cena 3.244.000złParter, 2 pokoje, 47,04m2, cena 1.975.000złParter, 2 pokoje, 51,05m2, cena 2.297.000złI piętro, 2 pokoje, 47,16m2, cena 2.027.000złI piętro, 2 pokoje, 50,50m2, cena 2.171.000złI piętro, 3 pokoje, 70,45m2, cena 3.099.000złII piętro, 3 pokoje, 70,66m2, cena 3.179.000złII piętro, 3 pokoje, 77,66m2, cena 3.883.000złII piętro, 4 pokoje, 104,28m2, cena 5.005.000złPowyższe ceny są cenami netto + 23% VatOferta ta skierowana jest zarówno dla osób szukających apartamentu jako second-home w prestiżowym miejscu, jak i dla inwestorów chcących czerpać korzyści zarobkowe z wynajmu krótkoterminowego. LOKALIZACJA/ATRAKCJE REGIONUJurata to popularne miejsce turystyczne, które przyciąga zarówno na rodzinne wakacje, jak i romantyczne weekendy. Charakteryzuje się spokojnymi uliczkami, licznymi sklepami, restauracjami i kawiarniami, które oferują tradycyjne polskie smaki i dania kuchni międzynarodowej.Miłośnicy sportów wodnych mają do wyboru windsurfing, kitesurfing, pływanie kajakiem oraz nurkowanie w Morzu Bałtyckim. Z kolei miłośnicy wędrówek i aktywnego wypoczynku mogą wybrać się na wycieczkę pieszą lub rowerową wzdłuż wybrzeża, podziwiając piękne krajobrazy i miejsca związane z historią regionu.W okolicy Juraty warto odwiedzić Półwysep Helski z Mierzeją Helską, która jest jednym z najpiękniejszych półwyspów w Polsce i oferuje liczne atrakcje turystyczne. Jest to także idealne miejsce dla osób ceniących ciszę i spokój, które chcą odpocząć od miejskiego zgiełku i skorzystać z uroków przyrody.——————————————KONTAKT:Monika Baranowska: +4████████████1 (licencja zawodowa nr 24529)Pośrednik odpowiedzialny: Joanna Czapska (licencja zawodowa nr 4585)Przedstawiona wyżej oferta nie jest ofertą handlową w rozumieniu przepisów prawa, lecz ma charakter informacyjny. Partners International dokłada starań, aby treści przedstawione w naszych ofertach były aktualne i rzetelne. Dane dotyczące ofert uzyskano na podstawie oświadczeń Sprzedających.——————————————CONTACT:Monika Baranowska: +4████████████1 (professional license No. 24529)Broker responsible: Joanna Czapska (professional license No. 4585)Outlined above proposal is not a commercial offer for the purposes of the law but is informative. All data relating to real estate was obtained on the basis statements of the Sellers.——————————————</t>
  </si>
  <si>
    <t>https://otodom.pl/pl/oferta/apartament-z-widokiem-na-zatoke-jurata-ID4l1Hp</t>
  </si>
  <si>
    <t>4l1Hp</t>
  </si>
  <si>
    <t>Perełka glamour obok Piotrkowskiej. Klimatyzacja.</t>
  </si>
  <si>
    <t>ul. Adama Próchnika, Centrum, Śródmieście, Łódź, łódzkie</t>
  </si>
  <si>
    <t>Zapraszamy do świata marzeń! Przedstawiamy pięknie urządzone mieszkanie, które wypełnione jest magią i elegancją. To przestrzeń, która sprawi, że poczują się Państwo jak w prawdziwym świecie glamour, gdzie każdy detal został zaprojektowany z pasją i troską o komfort.
Wejdź do świata luksusu, który oferuje to niesamowite miejsce. Mieszkanie o powierzchni 50,93 m2 to prawdziwa perełka w sercu Łodzi. W pełni urządzone, od razu gotowe do zamieszkania. Zaledwie 10 minut spacerem do słynnej Manufaktury – prawdziwej mekki dla miłośników zakupów, kultury i rozrywki, gdzie życie pulsuje w najlepszym wydaniu oraz jedynie 5 minut do kultowej ulicy Piotrkowskiej, która jest sercem życia miejskiego, pełnym restauracji, kawiarni, sklepów i innych atrakcji. To miejsce, które emanuje wyjątkowym wdziękiem.
W bezpośrednim sąsiedztwie tego wyjątkowego mieszkania znajdują się sklepy, renomowane restauracje i kawiarnie, galerie sztuki, luksusowe butiki, modne kluby nocne, a także szkoły, uniwersytety, parki, muzea, teatry, banki, urzędy czy parki rozrywki, m.in.:
- Piotrkowska (400 m)
- Manufaktura (900 m)
- Galeria Łódzka (2,9 km)
- Uniwersytet Medyczny (750 m)
- Uniwersytet Łódzki (2 km)
- Politechnika Łódzka (2,6 km)
- Filharmonia Łódzka (ok. 1 km)
- Szkoła Podstawowa nr 23 (300 m, kwartał obok), nr 36 (400 m)
- Przedszkole nr 41 (200 m, kwartał obok), nr 100 (900 m)
- Liceum Ogólnokształcące nr 4 (900 m), Prestiżowe LO Nr 1 (500 m) - Park Staromiejski (700 m), Park Poniatowskiego (2,7 km)
- W pobliżu Muzeum Światła (350 m), Teatr Nowy (400 m), Teatr Powszechny (300 m), Teatr Lalek (140 m), Muzeum Sztuki Nowoczesnej (350 m), Teatr Jaracza (1 km), Muzeum Miasta Łodzi (1 km), Teatr Muzyczny (2 km)
- Skatepark (700 m), Gokarty (1,9 km)
- Aquapark Fala -3 km
- Escape Room Tkalnia Zagadek (700 m)
- Salon masażu tajskiego i balijskiego (150 m)
- Apteka (800 m)
- Żabka (20 m), Auchan (900 m), Castorama (3,9 km)
- Kuźnia Centrum Atletyki (1,7 km), 
- Anatewka (800 m), Pierogarnia Stary Młyn (750 m), Pittu Pittu (600 m), Bawełna (600 m), Hot Spoon (900 m), Zielona Restauracja Wegetariańska i Wegańska (900 m), Susharnia (850 m), The Mexican (900 m), A to sushi (ok. 1 km), Naleśnikarnia Manekin (1 km), Pijalnia Czekolady Wedel (900 m), Polka by Magda Gessler (900 m)
Mieszkanie przyciąga wzrok od pierwszego spojrzenia!
Odrestaurowana kamienica, wnętrze po generalnym remoncie. Wzmocnione stropy mieszkania gwarantują trwałość i bezpieczeństwo. Wszystkie nowe instalacje: elektryczna, wodno-kanalizacyjna, hydrauliczna, wentylacyjna, klimatyzacyjna, telewizyjna, Internetowa oraz domofon. To miejsce, gdzie możesz cieszyć się komfortem.
Wysoki standard tego mieszkania dosłownie oczarowuje. Już po przekroczeniu progu poczujecie Państwo, że to jest miejsce stworzone dla wymagających.
 Gładzie na ścianach i stylowe sztukaterie dodają mu niepowtarzalnego uroku, a z balkonu rozpościera się widok na miasto. Mieszkanie jest klimatyzowane. Zainstalowano klimatyzatory chłodząco-grzejące, które zapewnią niezależność i komfort zarówno w gorące, letnie dni, jak i w chłodne, jesienne wieczory.
Wnętrza są pełne wdzięku i wytworności. Ringi stylizowane na kryształy rozświetlają przestrzeń, emanując wyjątkowym blaskiem. Oświetlenie ledowe tworzy nastrojową atmosferę. 
Wnętrze mieszkania jest urządzone w najdrobniejszych szczegółach. Eleganckie meble, stylowe, fazowane lustra, przestronne lustrzane szafy zapewnią Ci nie tylko miejsce na wszystkie Twoje rzeczy, ale także pomogą utrzymać porządek i harmonię.
W szczególności, kuchnia zachwyca swoją elegancją i przestronnością. Stanowi ona centralny punkt tego wyjątkowego mieszkania. Akrylowe fronty w pięknym połysku nadają kuchni niepowtarzalnego blasku. Każdy detal jest dopracowany, by stworzyć efektowny i luksusowy wygląd. Kuchnia została zaprojektowana z myślą o najwyższych standardach, zgodnie ze sztuką i ergonomią, oferując zarówno estetykę, jak i funkcjonalność. Stylowa czarna podświetlana witryna otuli blaskiem Państwa zastawę pięknie eksponując jej zawartość dzięki subtelnie ukrytemu oświetleniu LED. Światło tworzy wyjątkową atmosferę dodając uroku każdemu przyjęciu, podkreślając elegancję tego miejsca. Przeszklone szafki górne z oświetleniem LED stanowią nie tylko praktyczne rozwiązanie, ale także dodają wnętrzu lekkości i przestronności. Wszystko jest starannie zorganizowane. Pojemne szafki i carga zapewniają odpowiednią ilość miejsca do przechowywania.
To miejsce, gdzie kulinarna wyobraźnia może rozkwitnąć, a wspólne gotowanie staje się prawdziwą przyjemnością.
Salon jest otwarty i zaprojektowany z myślą o wygodzie i funkcjonalności. Centralnym punktem jest ogromny narożnik z funkcją spania, a przestrzeń przeznaczona na telewizor lub ekran projektora spełni oczekiwania nawet najbardziej wymagających z Państwa.
W części jadalnianej znajduje rozkładany stół, który pomieści aż 8 osób. Daje to możliwość zorganizowania wspaniałego przyjęcia, czy rodzinnego obiadu podczas którego goście mogą delektować się wspaniałymi potrawami zasiadając na stylizowanych fotelach August Velvet Glamour.
Elegancka łazienka natomiast, to prawdziwa oaza relaksu i luksusu. Stylizowana na czarny marmur, z pięknym, fazowanym lustrem, stylizowanymi na kryształ żyrandolem i kinkietami i podświetlaną wanną z funkcją prysznica zapewni chwile prawdziwego odprężenia przy lampce dobrego wina.
Osobna piękna klimatyzowana sypialnia z podświetlanymi ledowo szafkami nocnymi i stylizowanymi lampkami daje wytchnienie otulając Państwa nastrojowym światłem.
Przestronna szafa natomiast i podwójne łóżko z pojemnikiem na pościel zapewnią wymaganą przestrzeń do przechowywania. Ten niezależny klimatyzowany pokój może pełnić również funkcję gabinetu lub pokoju dziecięcego.
Osobna pralnia z suszarnią to prawdziwy luksus, który ułatwi codzienne obowiązki nie zaburzając piękna i wytworności mieszkania.
 Dla Państwa prywatności i komfortu, w oknach zamontowano rolety, firanki i welurowe, miękkie zasłony, a okna wyposażono w klamki zamykane na kluczyk dla bezpieczeństwa najmłodszych i tych trochę starszych.
Ta nieruchomość to nie tylko mieszkanie, to inwestycja w Państwa przyszłość.
Jej doskonała lokalizacja i standard premium z pewnością spełni oczekiwania najbardziej wymagających klientów sprawiając, że będzie to świetna inwestycja z wysoką stopą zwrotu.
Wyjątkowa okazja, by stać się właścicielem tego niezwykle stylowego i eleganckiego mieszkania!
To prawdziwa gratka dla tych, którzy cenią sobie piękno, styl i wyjątkowość.
Przyjdźcie i zobaczcie sami!</t>
  </si>
  <si>
    <t>https://otodom.pl/pl/oferta/perelka-glamour-obok-piotrkowskiej-klimatyzacja-ID4ma6R</t>
  </si>
  <si>
    <t>4ma6R</t>
  </si>
  <si>
    <t>https://otodom.pl/pl/oferta/pinea-mieszkanie-nad-morzem-ID4jR87</t>
  </si>
  <si>
    <t>4jR87</t>
  </si>
  <si>
    <t>Apartament w widokiem na Motławę i Stare Miasto</t>
  </si>
  <si>
    <t>ul. Sienna Grobla, Śródmieście, Gdańsk, pomorskie</t>
  </si>
  <si>
    <t>APARTAMENT Z WIDOKIEM NA STARE MIASTO GDAŃSK I MOTŁAWĘ*****Centrum Gdańska | Widok na Motławę, Stare Miasto i Stocznię I pierwsza linia zabudowy | Tuż przy przystani jachtowej Marina na Stępce | Loggia o powierzchni 17 m2 z widokiem na wodę i Stare Miasto| Idealny second home  | Lobby z portierem, kids play i siłownia | 2 miejsca postojowe w hali garażowej  i komórka lokatorska I klimatyzacjaLOKALIZACJAApartament usytuowany jest przy ul. Siennej Grobli na nabrzeżu tzw. Polskiego Haka, czyli ujścia rzeki Motławy do Martwej Wisły. To jedna z najbardziej prestiżowych lokalizacji w Gdańsku, sąsiadująca z historyczną zabudową Starego Miasta, posiadająca bezpośredni dostęp do wód Motławy. Tu widok na Motławę i historyczną część Gdańska jest naturalnym elementem codziennego krajobrazu mieszkańców.Mieszkańcy inwestycji, Stare i Główne Miasto mają w zasięgu wzroku. Do Fontanny Neptuna przejść można spacerem (przez nową kładkę lub Zielony Most) w ciągu kilkunastu minut. W pobliżu inwestycji znajduje się pełna infrastruktura: sklepy, restauracje, liczne punkty usługowe, galerie sztuki, gdańska marina czy teatr.INFORMACJE O NIERUCHOMOŚCINadmotławie Apartments - to prestiżowa inwestycja dewelopera Robyg.   Apartament w budynku A, z najlepszą ekspozycją na Stare Miasto i Motławę -  to jeden z bardziej pożądanych w całej inwestycji. Inwestycja skierowana jest do osób ceniących komfort i wygodę, poszukujących prestiżowego miejsca do mieszkania. Przestronne tarasy dachowe, duże przeszklone balkony z widokiem na rzekę i panoramę miasta oraz bliskość Mariny to niezaprzeczalny wyróżnik inwestycji. Budynek ma całodobową opiekę Concierge, dla właścicieli mieszkań do dyspozycji mamy dedykowany fitness oraz kidsplay . Teren rewitalizowany -  wyremontowana ulica Sienna Grobla wraz z przyległymi do Motławy terenami zielonymi. W celu zwiększenia komfortu życia oraz wygody apartamenty wyposażone są w inteligentny system zarządzania i sterowania mieszkaniem w zakresie oświetlenia, ogrzewania multimediów i bezpieczeństwa - Robyg Smart House firmy Keemple. Dodatkowym atutem jest wyprowadzona instalacja do klimatyzacji. Wszystkie okna posiadają rolety przeciwsłoneczne sterowane elektrycznie.Inwestycja nagrodzona m.in. tytułem najlepszej inwestycji roku 2019, a w 2020 znalazła się na 5. miejscu w rankingu najlepszych osiedli mieszkaniowych w Polsce według ekspertów Newsweeka.Rozkład pomieszczeń:Apartament w stanie deweloperskim, składa się z:- przedpokój,- salon z aneksem kuchennym o pow. ponad 32m2- 2 sypialnie o pow. ok 10m2 oraz 14m2,- gabinet - o pow. 9,26m2. - łazienka o pow. 4,36 m2 - Loggia o pow.  17,64 m2.Standard deweloperski. Do apartamentu przynależą 2 miejsca w podziemnej hali garażowej i komórka lokatorska w cenie 150.000 zł.Zapraszam na prezentację!KONTAKT:Dorota Korycka: +4████████████0 Pośrednik odpowiedzialny: Joanna Czapska (licencja zawodowa nr 4585)Przedstawiona wyżej oferta nie jest ofertą handlową w rozumieniu przepisów prawa, lecz ma charakter informacyjny. Partners International dokłada starań, aby treści przedstawione w naszych ofertach były aktualne i rzetelne. Dane dotyczące ofert uzyskano na podstawie oświadczeń Właścicieli.——————————————CONTACT:Dorota Korycka: +4████████████0 Broker responsible: Joanna Czapska (professional license No. 4585)Outlined above proposal is not a commercial offer for the purposes of the law but is informative. All data relating to real estate was obtained on the basis statements of the Owners.——————————————APARTMENT OVERLOOKING THE MOTLAWA RIVER*****The center of Gdansk | View of the Motlawa River, the first line of buildings | Viewing terrace and patio for residents overlooking the Motlawa River | Right next to the marina Marina on Stępka | Apartment size 131 m2, 4 rooms | Terrace of 20 m2 overlooking the Motlawa River | Ideal second home | Lobby with doorman, club room and gym | 2 parking spaces in the garage hall and storage spaceLOCATIONThe Nadmotławie Apartments project is located at Sienna Grobla Street on the waterfront of the so-called Polish Hook, the mouth of the Motława River on the Dead Vistula. This is one of the most prestigious locations in Gdansk, adjacent to the historic buildings of the Old Town, with direct access to the waters of the Motlawa River. Here, the view of the Motlawa River and the historic part of Gdansk is a natural part of the residents' everyday landscape.Residents of the development, the Old and Main City are within sight of each other. You can walk to Neptune's Fountain (via the new footbridge or the Green Bridge) within a dozen minutes. In the vicinity of the investment there is a full infrastructure: stores, restaurants, numerous service outlets, art galleries, Gdansk marina or theater.INFORMATION ABOUT THE PROPERTYNadmotławie Apartments - developer Robyg. The investment is aimed at people who value comfort and convenience, looking for a prestigious place to live. Spacious roof terraces, large glazed balconies overlooking the river and the city skyline, and proximity to the Marina are undeniable distinguishing features of the investment. Residents will have at their disposal a public terrace overlooking the Motława River, as well as a patio, club room and fitness area. In order to increase living comfort and convenience, the apartments will be equipped with a smart apartment management and control system for lighting, heating multimedia and security - Robyg Smart House by Keemple.By the votes of users of the Obido portal, Nadmotlawie Apartments was awarded the title of the best investment of the year 2019, and in 2020 it was ranked 5th in the ranking of the best residential developments in Poland according to the experts of Newsweek.Room layout:Hallway, kitchen, 4 rooms, 2 bathrooms, toilet, 2 dressing rooms. Balcony 20 m2.Developer standard.To the apartment belong 2 places in the garage hall and a storage room in the price of PLN 100,000.00.I invite you to the presentation.</t>
  </si>
  <si>
    <t>https://otodom.pl/pl/oferta/apartament-w-widokiem-na-motlawe-i-stare-miasto-ID4lOE0</t>
  </si>
  <si>
    <t>4lOE0</t>
  </si>
  <si>
    <t>Apartament premium z tarasem i widokiem na rzekę</t>
  </si>
  <si>
    <t>ul. Jedności Narodowej, Ołbin, Śródmieście, Wrocław, dolnośląskie</t>
  </si>
  <si>
    <t>OPIEKUN NIERUCHOMOŚCI:Maciej Opuchliktel. 602 101 602NAJWAŻNIEJSZE INFORMACJE:Mieszkanie o powierzchni 86,51m2 znajduje się na 3 piętrze 16 piętrowego budynku z szybkobieżną windąKomórka lokatorska, Miejsce postojowe: dostępneTermin realizacji/ zakończenia budowy i oddania kluczy: gotowa do odbioruMieszkanie w stanie deweloperskim - do własnej aranżacjiOgrzewanie: MiejskieZakładany czynsz: 860złWystawa okien: Północno wschodnia z widokiem na rzekęMożliwość zakupu miejsca postojowego naziemnego i w garażu podziemnym, oraz komórki lokatorskiej.Zapraszam do kontaktu. W jednym miejscu i w jednym czasie porównamy oferty nieruchomości z ponad siedemdziesięciu wrocławskich inwestycji. Posiadamy ponad 2000 ofert z Wrocławia i okolic. Gwarancja 24 miesiące, rękojmia 5 lat, nowoczesna technologia budowy, niskie koszty utrzymania, cena brutto.UKŁAD POMIESZCZEŃSalon z aneksem kuchennym - 30,9m2 (możliwość wydzielenia kuchni)Sypialnia: 12m2Sypialnia II: 10,3m2Sypialnia III: 10,4m2Łazienka - 5,3m2Toaleta: 2,4m2Przedpokój - 15,6m2Taras - 11,59m2OTOCZENIE NIERUCHOMOŚCINowoczesna inwestycja na terenie starego browaru znajduje się w Śródmieściu na Ołbinie. W pobliżu znajdują się m.in.:- Klub Fitness w historycznym budynku Starej Stajni- Stacje ładowania pojazdów elektrycznych- Sklepy, restauracje i inne usługi na wyciągnięcie ręki - 5 placów zabaw i miejsca na codzienny relaks- Bardzo dobra komunikacja z każdą częścią Wrocławia (autobus, tramwaj)- Tuż nad Odrą liczne tereny spacerowo - rekreacyjne- Szybki i łatwy wyjazd na AOW i S8REKOMENDACJA EKSPERTA &amp;apos;SDP NIERUCHOMOSCI&amp;apos;:Nieruchomość dla osób doceniających piękno przestrzeni i architektury w połączeniu z komfortową lokalizacją. Wyróżniające się na tle miasta wizualnie i funkcjonalnie osiedle zadowoli najbardziej wymagające osoby.Niedostateczne środki? To nie problem!Pomagamy w uzyskaniu finansowania na tę i inne nieruchomości.OPIEKUN NIERUCHOMOŚCI:Maciej Opuchliktel. 602 101 602</t>
  </si>
  <si>
    <t>https://otodom.pl/pl/oferta/apartament-premium-z-tarasem-i-widokiem-na-rzeke-ID4luxd</t>
  </si>
  <si>
    <t>4luxd</t>
  </si>
  <si>
    <t>PINEA | apartament tuż przy plaży</t>
  </si>
  <si>
    <t>Przedstawiamy Państwu ekskluzywny nadmorski apartament w inwestycji PINEA Resort &amp;amp; Apartments.
Ciekawie zaaranżowana przestrzeń oraz liczne udogodnienia spełnią oczekiwania najbardziej wymagających Klientów.
Zapraszamy do zapoznania się z naszą wyjątkową ofertą.
PINEA to położony w pierwszej linii brzegowej kompleks trzech budynków apartamentowo-hotelowych mieszczących: 
całoroczne luksusowe apartamenty w 2 stylach wykończenia do wyboru (175 apartamentów oddanych do użytkowania latem 2021 roku w ramach 1. etapu oraz 43 apartamenty obecnie w budowie)
uzdrowiskowy condohotel (wkrótce w sprzedaży)
PINEA to także całoroczne restauracje, kompleks basenów (pływacki, rekreacyjny, dla dzieci), saunarium oraz luksusowe SPA i gabinety fizjoterapii. 
Całość kompleksu łączy ze sobą system łączników pozwalających na swobodną wewnętrzną komunikację pomiędzy poszczególnymi częściami.
Inwestycja zlokalizowana została w zachodniej części polskiego wybrzeża, w kameralnym gęsto porośniętym sosnowym lasem Pobierowie. To niezwykłe miejsce szczyci się krystalicznie czystym powietrzem, pięknymi plażami i niezwykłymi terenami rekreacyjnymi.   PINEA to doskonała inwestycja - lokata kapitału zapewniająca regularne zyski z wynajmu oraz skuteczna ochrona przed inflacją. Unikalne walory lokalizacji w połączeniu z całoroczną ofertą usługową gwarantują wzrost wartości inwestycji w dłuższej perspektywie. Płatność realizowana jest w transzach zgodnych z etapem budowy, a ceny podlegają gwarancji w chwili podpisania umowy. Generalnym wykonawcą inwestycji jest renomowana firma STRABAG. 
PINEA to Twoja bezpieczna przystań.
Podana cena jest wyrażona w kwocie netto i dotyczy apartamentu w stanie wykończonym - zakup apartamentu w PINEA daje możliwość uzyskania całkowitego zwrotu podatku VAT oraz odliczenia kosztów jego utrzymania od podatku dochodowego.</t>
  </si>
  <si>
    <t>https://otodom.pl/pl/oferta/pinea-apartament-tuz-przy-plazy-ID4fFY7</t>
  </si>
  <si>
    <t>4fFY7</t>
  </si>
  <si>
    <t>Apartament przy samych szlakach trasach rowerowych</t>
  </si>
  <si>
    <t>Szklarska Poręba, karkonoski, dolnośląskie</t>
  </si>
  <si>
    <t xml:space="preserve">SPRZEDAŻ CESJI PRAW DO LOKALU W INWESTYCJI ŻEROMSKIEGO 15Inwestycja Żeromskiego 15 to wyjątkowo zlokalizowany kompleks budynków mieszkalnych, położony w jednej z bardziej malowniczych i naturalnych części Szklarskiej Poręby - Białej Dolinie.To tu swój początek mają liczne szlaki turystyczne, trasy biegowe, trasy rowerowe oraz single track&amp;rsquo;i. Dodatkowo inwestycja znajduje się w bliskiej odległości od lasu oraz terenów ochrony przyrody. Dzięki tym walorom możemy się cieszyć tym, co najcenniejsze w Szklarskiej Porębie - naturą.Cała inwestycja podzielona będzie na dwa etapy. Etap I to 4 budynki, z których jeden jest juz zrealizowany. Architektura budynków posiada typowo górski charakter, co idealnie wkomponowuje się w otaczającą ich przestrzeń. Oba etapy zrealizowane będą na działkach o powierzchni ponad 17.000 m2. Zapewnia to stały dostęp do terenów zielonych, odpowiednie rozproszenie i usytuowanie budynków, a co za tym idzie, kontakt z naturą.Inwestycja Żeromskiego 15 będzie miejscem, do którego będą chętnie wracały osoby chcące wycisnąć maksimum przyjemności z pobytu w  Szklarskiej Porębie.W każdym z trzech budynków znajduje się 14 lokali. W ofercie posiadamy apartamenty typu studio, dwupokojowe 31m2 i 40m2 oraz trzypokojowy o powierzchni całkowitej około 64m2.Lokal 8 zlokalizowany na pierwszym piętrze, dwupokojowy, składa pokoju dziennego z aneksem kuchennym, sypialni, łazienki oraz dwóch balkonów.Podane ceny są cenami netto + 8% VATMiejsce postojowe zewnętrzne w cenie 30.000 zł bruttoPierwszy etap zrealizowany zostanie do końca IV kwartału 2022r.Zapraszamy do zapoznania się z ofertą wolnych apartamentów.Nie muszą się Państwo martwić o wykończenie apartamentów czy też przygotowanie oraz obsługę wynajmu krótkoterminowego. Jesteśmy w stanie zapewnić wykończenia w systemie &amp;bdquo;Wnętrza Pod Klucz&amp;rdquo; jak i sprawować późniejszą opiekę nad apartamentem. W odróżnieniu jednak od innych resortów, nie narzucamy obowiązkowych, długoletnich umów.Ciesz się przepięknym apartamentem w jednym z najlepszych kompleksów tego typu w Szklarskiej Porębie.Pośrednik odpowiedzialny zawodowo za wykonanie umowy pośrednictwa: Sinicki Andrzej (licencja nr: 23451) </t>
  </si>
  <si>
    <t>https://otodom.pl/pl/oferta/apartament-przy-samych-szlakach-trasach-rowerowych-ID4i9uM</t>
  </si>
  <si>
    <t>4i9uM</t>
  </si>
  <si>
    <t>Piękny Apartament,4pok.79,30m2,Komórka,Taras,Garaż</t>
  </si>
  <si>
    <t>al. Aleja Wilanowska, Stegny, Mokotów, Warszawa, mazowieckie</t>
  </si>
  <si>
    <t>Dzień Dobry English version belowOferta Tylko w naszym biurze !Opis nieruchomości: Do sprzedaży bardzo przestronne, zadbane, widne, ciche, czyste i zadbane, 4 pokojowe mieszkanie o powierzchni 79,30 m2 zlokalizowane na Warszawskim Wilanowie w bloku z 2011 roku.Mieszkanie jest w pełni rozkładowe, z 10 metrowym balkonem, umiejscowione na 3 piętrze w budynku z dużą windą, garażem podziemnym, komórką lokatorską i całodobową ochroną. Rzeczywisty metraż mieszkania to 75,70 m2 a 3,60 to komórka lokatorska która wliczana jest do powierzchni całkowitej nieruchomości, daje nam łącznie sumę 79,30 m2.Budynek jest bardzo kameralny znajduje się w nim jedynie 19 mieszkań.Do mieszkania przynależy również dedykowane miejsce postojowe zewnętrzne. Dzięki dużej ilości okien oraz odpowiedniej liczbie punktów świetlnych mamy niesamowite poczucie przestrzeni, co skutkuje możliwością odpowiedniej gry światłem, która zapewniają mieszkańcom wydzielenie odpowiednich stref w mieszkaniu.Do wykończenia tej nieruchomości użyto dobrej jakości materiałów, oraz wyposażono je w solidne sanitariaty oraz sprzęty.Mieszkanie z opcja zakupu inwestycyjnego ( Gwarantujemy długoterminowe umowy najmu od 12-60 miesięcy )Opis Pomieszczeń:Przedpokój- Znajduje się w nim duża rogowa szafa wnękowa pod sufit - w szafach znajdują się m.in. deska do prasowania odkurzacz etc.Kuchnia otwarta na salon - kuchnia z długim blatem roboczym dla fanów gotowania, wyposażona w piekarnik, zmywarkę, okap, oraz posiadająca duże szafki na garnki, sztućce, etc.Sypialnia- ze świetnie zorganizowanymi szafami wnękowymi, z dużym łóżkiem sypialnianym 160x200 cm.Salon- z drewnianym rozkładanym stołem do którego są 4 krzesła, szafką pod TV, oraz wygodną kanapą.Pokój dziecięcy- z szafą wnękową, oraz łóżkiem które również połączone jest z biurkiem.Pokój Biurowy/Dziecięcy - do aranżacji.Łazienka- z wanną, prysznicem, umywalką oraz WC.Lokalizacja : Wilanów, AL. Wilanowska 113Cena Sprzedaży Mieszkania: 1 397 777 złOpcjonalnie możliwość zakupu z dodatkowym dużym miejscem postojowym w garażu podziemnym Cena: 47 000 złMieszkanie i garaż znajdują się na oddzielnych księgach wieczystych na życzenie podam ich numery.Zapraszam do transakcji klientów zarówno gotówkowych jak i kredytowych.Koszty utrzymania:Czynsz Administracyjny wraz z zaliczkami na media oraz opłatą za komórkę i miejsce postojowe w garażu podziemnym wynosi: 1240 zł ( 4 osoby )Nasza firma przykłada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informacyjny.Jako że jesteśmy firmą zajmującą się obrotem nieruchomościami pobieramy prowizję tylko i wyłącznie w momencie podpisania przez klienta umowy sprzedaży lub umowy Najmu.Kontakt:Ewa 782-054-55 Zapraszam do oglądania 6 w dni w tygodniu o dowolnych godzinach.Jeżeli nie odbieram telefonu proszę zostawić wiadomość SMS a na pewno oddzwonię.Jeśli jesteś obcokrajowcem lub posiadasz zagraniczny numer proszę o kontakt poprzez aplikację WHATSAPPGood Morning Polish version belowOffer Only in our office!Description of the property: For sale a very spacious, well-maintained, bright, quiet, clean and well-maintained, 4-room apartment with an area of 79.30 m2 located in Warsaw&amp;apos;s Wilanów district in a block of flats from 2011.The apartment is fully scheduled, with a 10-meter balcony, located on the 3rd floor in a building with a large elevator, underground garage, storage room and 24-hour security. The actual area of the apartment is 75.70 m2 and 3.60 is a storage room which is included in the total area of the property, giving us a total of 79.30 m2.The building is very intimate with only 19 apartments.Thanks to the large number of windows and the right number of light points, we have an amazing sense of space, which results in the possibility of appropriate play of light, which provides residents with the separation of appropriate zones in the apartment.Good quality materials were used to finish this property, and it is equipped with solid sanitary facilities and equipment.The apartment also includes a dedicated outdoor parking space.An apartment with an investment purchase option (We guarantee long-term rental contracts from 12-60 months)Description of the rooms:Hall - There is a large corner wardrobe built into the ceiling - in the wardrobes there are m.in. ironing board vacuum cleaner etc.Kitchen open to the living room - a kitchen with a long worktop for fans of cooking, equipped with an oven, dishwasher, hood, and with large cupboards for pots, cutlery, etc.Bedroom - with well-organized built-in wardrobes, with a large bedroom bed 160x200 cm.Living room - with a wooden folding table with 4 chairs, a TV cabinet, and a comfortable sofa.Children&amp;apos;s room - with a built-in wardrobe and a bed which is also connected to a desk.Office/Children&amp;apos;s Room - to be arranged.Bathroom - with a bath, shower, sink and toilet.Location : Wilanów, AL. Wilanowska 113Apartment Sale Price: PLN 1,397,777Optionally, it can be purchased with an additional large parking space in the underground garage. Price: PLN 47,000The apartment and the garage are on separate land and mortgage registers, I will give their numbers on request.I invite you to both cash and credit transactions.Maintenance costs:Administrative rent with advance payments for utilities and a fee for a mobile phone and a parking space in the underground garage is: PLN 1240 (4 people)Our company pays special attention to the reliable presentation of information about the property, it is not always possible to verify all data provided by third parties. This presentation of the offer is not an offer within the meaning of the Civil Code and is for information purposes only.As we are a real estate company, we charge a commission only when the client signs the sales or rental agreement.Contact:Ewa 782-054-555 I invite you to watch 6 days a week at any time.If I do not answer the phone, please leave a text message and I will call you back.If you are a foreigner or have a foreign number, please contact me via the WHATSAPP applicationDANE KONTAKTOWE:Ewa Dziambor782-054-555 Treść niniejszego ogłoszenia nie stanowi oferty handlowej w rozumieniu Kodeksu Cywilnego.</t>
  </si>
  <si>
    <t>https://otodom.pl/pl/oferta/piekny-apartament-4pok-79-30m2-komorka-taras-garaz-ID4mmhN</t>
  </si>
  <si>
    <t>4mmhN</t>
  </si>
  <si>
    <t>3 pokoje z ogródkiem o pow. 98 m2</t>
  </si>
  <si>
    <t>Biuro Sprzedaży Apartamenty Jana Kantego oferuje:
Zamieszkaj nowocześnie i rodzinnie przy Andrusikiewicza w Krakowie!
Apartamenty Jana Kantego to kameralna trzykondygnacyjna inwestycja przeznaczona dla wymagających klientów poszukujących połączenia filozofii nowoczesnych rozwiązań i rodzinnej funkcjonalności.
Prezentowane 3-pokojowe mieszkanie o pow. 74,66 m2, usytuowane na parterze i I piętrze budynku, spełnia rolę komfortowej przestrzeni dla dużej rodziny. W mieszkaniu rozplanowano:
· na parterze:
- wspólną część dzienną z aneksem kuchennym z wyjściem do ogródka o pow. ok. 90 m2,
oraz
- toaletę,
· na I piętrze:
- 2 osobne sypialnie ze wspólnym balkonem,
oraz
- łazienkę.
Inwestycja zlokalizowana jest w cichej wśród zabudowy jednorodzinnej okolicy przy ulicy Andrusikiewicza w Krakowie. Tam powstaje 11 mieszkań o pow. od 38 do 80 m2 z ogródkami lub tarasami oraz 3 lokale usługowe. Do każdego z lokali przewidziane jest miejsce postojowe w garażu podziemnym oraz komórka lokatorska. Ponadto dla mieszkańców udostępniony zostanie ogród na dachu, z opcją korzystania z jego części wspólnej lub nabycia wydzielonej prywatnej powierzchni. W budynku znajdzie się również winda.
Inwestycja Apartamenty Jana Kantego jest wyjątkową propozycją, wyznaczającą nowy standard kameralnych inwestycji klasy premium. Nowoczesna i elegancka bryła, jakość materiałów oraz użyte w projekcie technologie stanowią o jej wysokim standardzie.
Apartamenty przy ulicy Jana Kantego Andrusikiewicza położone będą w niedalekiej odległości do przystanków komunikacji miejskiej (linii autobusowych nr 143, 144 i 173 oraz tramwajowych nr 3, 9 i 13), a także z bliskim dostępem do Dworca Kolejowego Kraków Prokocim, z którego szybką kolejką aglomeracyjną SKA w 10 minut dostaniemy się do centrum miasta. W najbliższej okolicy znajduje się rozbudowana infrastruktura bogata w niezbędne sklepy i usługi pierwszej potrzeby, nieopodal kompleks handlowo-usługowy Kaufland i OBI, a także w odległości 7 minut Bonarka City Centre.  
Cena sprzedaży uwzględnia ogrzewanie podłogowe na powierzchni całego mieszkania.
Przewidziany etap zakończenia inwestycji na kwiecień 2023 roku.
Zachęcamy do bezpośredniego kontaktu
Przedstawione materiały są wizualizacją możliwej aranżacji mieszkania, nie stanowią one oferty handlowej w rozumieniu art. 71 i art. 66 kodeksu cywilnego. Nieruchomość sprzedawana jest w stanie deweloperskim.</t>
  </si>
  <si>
    <t>https://otodom.pl/pl/oferta/apartamenty-jana-kantego-oddanie-i-kw-2023-r-ID4h2wk</t>
  </si>
  <si>
    <t>4h2wk</t>
  </si>
  <si>
    <t>Apartament 128,17 m2 / Prądnik Biały</t>
  </si>
  <si>
    <t>Nowa inwestycja DZMT ,, Maciejkowa Apartments”
Mamy przyjemności przedstawić Państwu nową inwestycję realizowaną przez dewelopera DZMT w Toniach/ Prądnik Biały ul. Maciejkowa.
Nowoczesne apartamenty w łąkowej scenerii będące kontynuacją pasji DZMT opartej na nieszablonowym dizajnie oraz na praktycznych rozwiązaniach technologicznych. Miejscowy Plan „Łąki Tonie” w najbliższej okolicy jest gwarancją hektarów niezabudowanych terenów zielonych. Kameralna inwestycja składać się będzie z 22 apartamentów zlokalizowanych w dwupiętrowych budynkach na ogrodzonej działce.
Na parterze budynku znajdować się będzie apartament o powierzchni około 65,84 m2 składający się z salonu z aneksem kuchennym , dwóch sypialni oraz łazienki. Do każdego z mieszkań przynależeć będzie ogród o powierzchni od 93 m2 do 185 m2.
Oferta dotyczy apartamentu dwupoziomowego o numerze 2 B zlokalizowanego na pierwszym oraz drugim piętrze o powierzchni około 128,17 m2 :
Pierwsze piętro składać się będzie z salonu z aneksem kuchennym , gabinetu z wyjściem na loggie (7,94m2) sypialni , holu- salon oraz gabinetu skierowanego na południową stronę świata.
Drugie piętro składać się będzie z trzech ustawnych sypialni ,dwóch łazienek, do głównej sypialni przynależy balkon o powierzchni około 7,21 m2.
Do każdego z Apartamentów deweloper przewidział możliwość dokupienia garażu oraz zewnętrznych miejsc postojowych.
W inwestycji Maciejkowa Apartments zastosowane zostaną eco rozwiązania:
Ogrzewanie – pompa ciepła
Rekuperacja
W każdym pomieszczeniu ogrzewanie podłogowe
Przygotowanie pod montaż fotowoltaiki
kontraktony w oknach i drzwiach
Standard deweloperski : tynki , wylewki, gniazdka kontakty, pompa ciepła+ zasobnik na wodę rekuperacja, okna aluminiowe ( 3 szybowe), teren ogrodzony, wjazd na osiedle przez bramę na pilota.
Lokalizacja : Kraków/ Prądnik Biały/ Tonie / Ul. Mciejkowa.  Osiedle otoczone jest terenami zielonymi co zapewnia ciszę i komfort mieszkania. W niedalekiej odległości znajduje się sklep spożywczy, przystanki autobusowe oddalone są o  około 200 m, najbliższa szkoła podstawowa znajduję się w odległość około 400 m przy ul. Kaczorówka, nie brakuje również prywatnych ja i publicznych przedszkoli i żłobków. Do Ikea i Galerii Bronowice można dojechać w 5 min samochodem.
 Inwestycja zlokalizowana jest około 6 km od Centrum Krakowa, budowana Północna Obwodnica Krakowa oddalona jest o około 1 km od inwestycji co zapewni przyszłym mieszkańcom dobre połączenie  z innymi częściami Krakowa, do Balic można dojechać w 15 min samochodem.
Więcej informacji uzyskają Państwo dzwoniąc pod numer 663 700 105, zachęcamy również do odwiedzenia naszej strony internetowej dzmt.pl.
Planowany termin oddania inwestycji do użytku - III kwartał 2023 roku.
Cena mieszkania 128,17 m2/ 1 230 000 zł
Cena garażu 70 000 zł</t>
  </si>
  <si>
    <t>https://otodom.pl/pl/oferta/apartament-128-17-m2-pradnik-bialy-ID4eQkt</t>
  </si>
  <si>
    <t>4eQkt</t>
  </si>
  <si>
    <t>Piękny Apartament Gotowy Do Zamieszkania</t>
  </si>
  <si>
    <t>Przybyszówka, Rzeszów, podkarpackie</t>
  </si>
  <si>
    <t>W ofercie biura Rzeszowskie Nieruchomości przedstawiam na sprzedaż 4-pokojowe mieszkanie przy ul. Krakowskiej w Rzeszowie. Mieszkanie znajduje się na pierwszym piętrze w zabudowie szeregowej, dwulokalowej i ma powierzchnię 110,40 m2 powierzchni całkowitej (85,39 m2 powierzchni użytkowej).Do mieszkania przynależy jedno miejsce parkingowe. Mieszkanie jest  wykończone pod klucz, niezamieszkałe, sprzedawane z wyposażeniem widocznym na zdjęciach.Mieszkanie zostało zaprojektowane i wykończone materiałami najwyższej jakości:1. Podłoga na całym piętrze hiszpańskie płytki Saloni Byblos Ceniza ( w kuchni na ścianie również Saloni)2. Podłoga na poddaszu panele Berry Alloc Charme White Ocean -Laminat z powłoką HydroPlus i dożywotnią gwarancją 3. Klimatyzacja Haier Dual z funkcją pompy ciepła na pietrze i na poddaszu4. Schody marmur Nero Marquina montowane przez Akropol plus programowane ledy5. Drzwi wewnętrzne z ukrytymi zawiasami i magnetycznymi zamkami Prestige Barański6. Na dolnej klatce schodowej tapeta Arte7. Na poddaszu tapeta Vinylpex8. Okap Globallo Cylindro Isola 39.6 light gold9. W łazience płytki i mozaika Tubądzin Brainstorm, wanna Excellent Lila 2.0 10.  Ledy oraz  większość oświetlenia RAMKO, NOWODVORSKI, ALDEX11. W  całym mieszkaniu zabudowa na wymiar. Zastosowane materiały : Niemann Acrylux Mat Anti - Fingerprint (szare) oraz Niemann Acrylux Gloss ( białe i czarne) natomiast na poddaszu meble z materiału firmy Egger12. W kuchni blaty granitowe Via Lactea (poler) , podwieszany zlewozmywak Primagran13. W całym mieszkaniu listwy Doellken Cubu Flex14. Stół w kuchni z konglomeratu Technistone Crystal Absolute White15. W sypialni sufit napinany16. Ledy pod szafkami kuchennymi na dotykKoszty eksploatacyjne:Czynsz: 59,77 w tym fundusz remontowy, koszt administracji i księgowości, koszty utrzymania terenów zewnętrznych.50zł ( opłata roczna ) za przeglądy instalacji gazowej i przewodów wentylacyjnych85zł ( opłata roczna) koszt ubezpieczenia budynkówWoda - aktualnie 24zł /m-cPrąd - aktualnie 67złGaz aktualnie 27zł i  ok 200zł w okresie grzewczym ZADZWOŃ JUŻ DZIŚ I UMÓW SIĘ NA PREZENTACJĘ MIESZKANIA!Osoba prowadząca sprzedaż :Rafał OkońDoradca ds. NieruchomościTel: +4████████9 319e-mail: Oferta wysłana z programu dla biur nieruchomości ASARI CRM ()</t>
  </si>
  <si>
    <t>https://otodom.pl/pl/oferta/piekny-apartament-gotowy-do-zamieszkania-ID4mfnm</t>
  </si>
  <si>
    <t>4mfnm</t>
  </si>
  <si>
    <t>Apartamenty Brzoskwiniowa mieszkanie B10</t>
  </si>
  <si>
    <t>ul. Brzoskwiniowa, Wrzosy, Toruń, kujawsko-pomorskie</t>
  </si>
  <si>
    <t xml:space="preserve">Mieszkanie B10 znajduje się na drugim piętrze budynku i jest to mieszkanie dwupoziomowe. To przestronne i słonecznie mieszkanie posiada okna usytuowane na zachodniej stronie budynku. Na II piętrze znajduje się przestronny salon z 6-metrowym balkonem a antresola o powierzchni 25m5 posiada dodatkowy 10-metrowy taras.
Wszystkie okna w mieszkaniu zostaną wyposażone w rolety zewnętrzne a dla osób zainteresowanych planujemy również propozycję wyposażenia mieszkania w pakiety SMART z aplikacją w telefonie.
Na osiedlu zostanie zainstalowany światłowód ORANGE.
Przyjdź! Zobacz! Zamieszkaj!
</t>
  </si>
  <si>
    <t>https://otodom.pl/pl/oferta/apartamenty-brzoskwiniowa-mieszkanie-b10-ID4ebkJ</t>
  </si>
  <si>
    <t>4ebkJ</t>
  </si>
  <si>
    <t>Apartament ul. Księcia Witolda z widokiem na Odrę</t>
  </si>
  <si>
    <t>ul. Księcia Witolda, Nadodrze, Śródmieście, Wrocław, dolnośląskie</t>
  </si>
  <si>
    <t xml:space="preserve">   Apartament ul. Księcia Witolda z widokiem na Odrę    ENGLISH DESCRIPTION BELOW - PLEASE DO NOT HESITATE TO CONTACT US   Hamilton May ma przyjemność zaprezentować czteropokojowy apartament w zrealizowanej inwestycji przy ul. Księcia Witolda      → OPIS NIERUCHOMOŚCI   Czteropokojowy apartament o powierzchni 116 metrów kwadratowych mieści się się na 9 piętrze oraz składa się z 3 sypialni, przestronnego salonu z aneksem kuchennym oraz łazienki. Apartament ma południowo-zachodnią ekspozycję zapewniającą mu świetne doświetlenie, także dzięki dużej powierzchni okien, z których rozciąga się niepowtarzalny widok na Odrę i Most Sikorskiego.         → BUDYNEK   Inwestycja Księcia Witolda 46 to dwa nowoczesne, dziewięciokondygnacyjne budynki wielorodzinne, położone przy nadbrzeżu Odry z panoramicznym widokiem na Wrocław, całodobową ochroną i monitoringiem. Inwestycja o wysokim standardzie, z niecodziennymi rozwiązaniami, takimi jak wyposażone części wspólne, sprzyjające sąsiedzkiej integracji. Obiekt oferuje szybkobieżne windy, rowerownie i garaż podziemny, które zwiększają komfort codziennego funkcjonowania i odpowiadają na oczekiwania osób wymagających, dla których liczy się zarówno prestiż lokalizacji, standard wykończenia jak i wygoda codziennego życia. Jasna elewacja i przeszklone balkony powodują, że inwestycja prezentuje się niezwykle ekskluzywnie.         → LOKALIZACJA   Ulica Księcia Witolda 46 to doskonały adres dla osób ceniących bliskość centrum, urok Starego Miasta i otoczenie terenów rekreacyjnych w tym samym czasie. To cecha nieruchomości usytuowanych w Śródmieściu na Kępie Mieszczańskiej. Inwestycję dzieli odległość spacerowa od Rynku, Narodowego Forum muzyki, Wyspy Słodowej, Parku Staszica i licznych restauracji i kawiarni. Taka lokalizacja doskonale sprawdzi się przy planowanej inwestycji w lokale pod najem długo i krótkookresowy.         → OPŁATY   Cena 2,192,400 PLN + opcjonalnie podwójne miejsce w parkingu podziemnym ( 120 000 PLN )      Wszystkie osoby zainteresowane obejrzeniem tego apartamentu zapraszamy do kontaktu z biurem Hamilton May.      Numer oferty: 18308   - - - - - - - - - - - - - - - - - - - - - - - - - - - - - - - - - - - - - - - - - - - - - - - - - -   Apartment at Księcia Witolda with Odra river view    Hamilton May is pleased to present a three bedroom apartment in a completed investment at Księcia Witolda Street.      → PROPERTY DESCRIPTION   The three bedroom apartment with an area of 116 square meters is located on the 9th floor and consists of 3 bedrooms, a spacious living room with an open kitchen and a bathroom. The apartment has a south-western exposure providing it with great lighting, also thanks to the large area of windows, from which there is a unique view of the Odra River and the Sikorski Bridge.         → BUILDING   The Ksiącia Witolda 46 investment consists of two modern, nine-storey multi-family buildings, located by the Odra riverbank with a panoramic view of Wrocław, 24/7 security and monitoring. A high-standard investment with unusual solutions, such as equipped common areas, conducive to neighborhood integration. The facility offers high-speed elevators, bicycle storage rooms and an underground garage, which increase the comfort of everyday functioning and meet the expectations of demanding people for whom the prestige of the location, the standard of finish and the comfort of everyday life are important. The bright façade and glazed balconies make the investment look very exclusive.         → LOCATION   Ksiącia Witolda 46 Street is the perfect address for those who value the proximity of the city center, the charm of the Old Town and the surroundings of recreational areas at the same time. This is a feature of properties located in Śródmieście in Kępa Mieszczańska. The investment is within walking distance of the Market Square, the National Forum of Music, Wyspa Słodowa, Park Staszica and numerous restaurants and cafes. Such a location will be perfect for the planned investment in premises for long and short-term rental.         → PRICING   Price PLN 2,192,400 + optional double parking space in the underground car park (PLN 120,000)      If you are interested in viewing this apartment, please contact the Hamilton May office.      Reference number: 18308    </t>
  </si>
  <si>
    <t>https://otodom.pl/pl/oferta/apartamentul-ksiecia-witolda-z-widokiem-na-odre-ID4jPYJ</t>
  </si>
  <si>
    <t>4jPYJ</t>
  </si>
  <si>
    <t>4- pokojowe, energooszczędne mieszkanie !!</t>
  </si>
  <si>
    <t>Gostkowo, Łysomice, toruński, kujawsko-pomorskie</t>
  </si>
  <si>
    <t>Przedstawiamy Państwu do sprzedaży mieszkanie usytuowane na I piętrze czterorodzinnego budynku mieszkalnego, bezczynszowego w Gostkowie, w powiecie toruńskim, w województwie kujawsko – pomorskim.
Pełne zieleni, słoneczne osiedle z pięknymi widokami, stanowi kameralny azyl, położone jest zaledwie 2 km od Pałacu Romantycznego w Turznie i 5 km od Autostrady A1.
JEDYNA TAKA OFERTA W OKOLICY !!
Nieruchomość o powierzchni użytkowej, ok 80 m2, składa się z:
parter: korytarz oraz schody
piętro: dwie sypialnie, salon z aneksem kuchennym z wyjściem na taras, łazienka z toaletą oraz korytarz (powierzchnia użytkowa 60,68 m2),
poddasze: otwarta przestrzeń (powierzchnia użytkowa 18,8 m2) – z możliwością adaptacji.
Do mieszkania przynależy ogródek o powierzchni ok. 50 m2.
Każde z czterech mieszkań znajdujących się w budynku ma osobne, niezależne wejście, bez wspólnej klatki schodowej!
Nowoczesna technologia, niepowtarzalny styl, funkcjonalność i przede wszystkim energooszczędność!
Wszystkie pomieszczenia wykończone będą w podwyższonym standardzie deweloperskim: ogrzewanie podłogowe, kompletna instalacja elektryczna, kompletna instalacja wodno-kanalizacyjna.
Nieruchomość jest ogrodzona zewnętrznie i pomiędzy budynkami, ogrodzenie z tyłu działki – słupki stalowe zalane betonem i wypełnione siatką ocynkowaną.Na działce sieć wodociągowa, sieć energetyczna z przyłączami.
Inwestor HEBAN dokłada wszelkich starań, aby swoim klientom zaoferować innowacyjne rozwiązanie w zakresie konstrukcji budynków, która zapewnia wysoką energooszczędność i bardzo niskie koszty eksploatacji. Opierając się na wieloletnim doświadczeniu, gwarantuje wysoki standard i jakość wykonania budynku.
Szkielet drewniany wypełniony jest wełną mineralną – 15cm, a na zewnątrz styropianem –  12 cm.Dachówka cementowa antracyt, rynny, parapety, docieplenie i ściana wielowarstwowa.Elewacja wykończona tynkiem cienkowarstwowym z aplikacjami ozdobnymi z naturalnego drewna.
Zapraszamy do kontaktu z naszym biurem, jeżeli są Państwo zainteresowani ofertą lub chcą uzyskać więcej informacji!
Numer oferty : 2305-0131</t>
  </si>
  <si>
    <t>https://otodom.pl/pl/oferta/4-pokojowe-energooszczedne-mieszkanie-ID4lv4n</t>
  </si>
  <si>
    <t>4lv4n</t>
  </si>
  <si>
    <t>Apartament 3 minuty od plaży !</t>
  </si>
  <si>
    <t>ul. Bitwy pod Płowcami, Karlikowo, Sopot, pomorskie</t>
  </si>
  <si>
    <t>Apartament w doskonałej lokalizacji, 4 min od piaszczystej plaży. LOKALIZACJA:Nieruchomość zlokalizowana jedyne 300 m od morza i 10 minut na pieszo od Monte Cassino. Pełna infrastruktura handlowo-usługowa, sklepy, kawiarnie, apteki, tawerny. Miejsce bardzo dobrze skomunikowane, do przystanków PKP, SKM i autobusowych tylko kilka kroków. Dla najmłodszych przedszkole i szkoła.BUDYNEK:Trzypiętrowy apartamentowiec z windą, wybudowany w 2003 roku, obiekt monitorowany, ogrodzony, zabezpieczony wideo domofonem. Wewnątrz tereny zielone, regularnie pielęgnowane przez ogrodnika. Budynek posiada halę garażową, oraz ogrodzony parking z wyznaczonymi miejscami dla mieszkańców.MIESZKANIE:Czteropokojowe mieszkanie, znajdujące się na drugim piętrze. Na podłogach dębowy parkiet, oraz gres. Mieszkanie w trakcie gruntownego odświeżenia, tak aby nowy właściciel mógł tylko wstawić walizki i od razu korzystać z walorów apartamentu i miasta. Mieszkanie składa się z salonu z aneksem kuchennym i wyjściem na balkon, sypialni, łazienki i przedpokoju. Informacje dodatkowe:NISKIE KOSZTY EKSPLOATACYJNE Czynsz do wspólnoty: 400 zł 2 miejsca postojowe w hali garażowej w cenie !Inteligentne ogrzewanie elektryczne.Mieszkanie od dostępne od zaraz!Zapraszam na prezentacjęKUP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</si>
  <si>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https://otodom.pl/pl/oferta/apartament-3-minuty-od-plazy-ID4lnLa</t>
  </si>
  <si>
    <t>4lnLa</t>
  </si>
  <si>
    <t>Piętro kamienicy z dużą działką.</t>
  </si>
  <si>
    <t>Bielawa, dzierżoniowski, dolnośląskie</t>
  </si>
  <si>
    <t>Sprzedam bezczynszowe mieszkanie o pow. 131,60 m2 na drugim piętrze w trzy rodzinnej Kamienicy w centrum Bielawy. w skład mieszkania wchodzi przedpokój, kuchnia 4 pokoje i dwie łazienki oraz osobno WC. Możliwość zrobienia dwóch osobnych mieszkań. Zamontowane 2 piece gazowe. Osobne liczniki. Lokal wymaga przeprowadzenia remontu lecz z dużym potencjałem. Kamienica ogrodzona w bardzo dobrej lokalizacji w Bielawie.Duży i zadbany ogród z altaną.Polecam i zapraszam na bezpłatną prezentację.Centrum Nieruchomości Domesa zaopiekuje się Tobą od samego początku kredytowania (analiza kredytowa), załatwieniu i zorganizowaniu dokumentacji niezbędnej do finalizacji zakupu, uzyskaniem kredytu aż po akt notarialny wraz z protokołem zdawczo odbiorczym. Potrzebujesz pomocy aby odświeżyć czy wyremontować mieszkanie, a może nie masz transportu aby się przeprowadzić? Również na tym etapie oferujemy swoją pomoc- Centrum Nieruchomości Domesa dysponuje ofertą przeprowadzenia kompleksowych remontów oraz przeprowadzek.Nieruchomości prezentowane na stronach nie stanowią oferty w rozumieniu Kodeksu Cywilnego, a dane w niej zawarte mają charakter informacyjny i mogą ulec zmianie.Oferta wysłana z programu dla biur nieruchomości ASARI CRM ()</t>
  </si>
  <si>
    <t>https://otodom.pl/pl/oferta/pietro-kamienicy-z-duza-dzialka-ID4ecO7</t>
  </si>
  <si>
    <t>4ecO7</t>
  </si>
  <si>
    <t>75 m2 stan deweloperski</t>
  </si>
  <si>
    <t>ul. Rybaki, Stary Fordon, Bydgoszcz, kujawsko-pomorskie</t>
  </si>
  <si>
    <t>Przedstawiam mieszkanie 75 m2 , jest to mieszkanie należące do inwestycji na ul. Rybaki , która zakończy się w 4 kwartale 2023roku.Mieszkanie składa się z przestronny salonu z aneksem kuchennym , trzech pokoi, dwóch łazienek oraz garderoby idealne dla dużej rodziny.Blok liczy 3 piętra, w budynku, będzie winda oraz miejsce garażowe -za dodatkowa opłatą .Ogrzewanie gazowe, centralne z kotłowni gazowej.W pieszym zasięgu znajdują się:• Szkoła podstawowa 450 m• Przedszkole 250 m• Autobus 350 m• Dyskont spożywczy 550 m• Plac zabaw 350 m• Tereny rekreacyjne 100 m• Punkty usługowo-handlowe 150 m• Placówka bankowa i bankomat 300 m• Ośrodek zdrowia, apteka 300 mZainteresowanych zapraszam do kontaktu Zdjęcia mają charakter poglądowy. W sprawie szczegółów oferty zapraszam do kontaktu</t>
  </si>
  <si>
    <t>https://otodom.pl/pl/oferta/75-m2-stan-deweloperski-ID4kC1Z</t>
  </si>
  <si>
    <t>4kC1Z</t>
  </si>
  <si>
    <t>Piękne Mieszkanie 2 Pok. 600m Do Plaży</t>
  </si>
  <si>
    <t>Na sprzedaż mieszkanie 2 pokojowe po kapitalnym remoncie położone w idealnej lokalizacji !Nieruchomość znajduje się przy kładce blisko strefy uzdrowiskowej, kilka minut spacerem do morza - odległość dokładna 600mPowierzchnia użytkowa lokalu mieszkalnego to 28,56m2 w skład którego wchodzą:salon z aneksem kuchennym, sypialnia oraz łazienka z WCNieruchomość zlokalizowana jest na pierwszym piętrze 5p. budynku mieszkalnego.Cena mieszkania obejmuje kompletne umeblowanie i wyposażenie.Pełna własność - księga wieczysta.Aktualny czynsz do wspólnoty  - 370 zł. ze wszystkimi zaliczkami, dodatkowe opłaty - energia według zużycia.Możliwość przypisania miejsca postojowego.W pobliżu liczne miejsca postojowe ogólnodostępne, market, przystanek komunikacji miejskiej oraz dworzec kolejowy.Doskonała lokalizacja apartamentu zarówno do stałego zamieszkania jak również na pobyty wczasowe lub inwestycja pod wynajem.ZAPRASZAM SERDECZNIE NA PREZENTACJĘ PAULINA ZIELIŃSKA MIKULSKI NIERUCHOMOŚCI TEL 660 727 425"Opis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</si>
  <si>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https://otodom.pl/pl/oferta/piekne-mieszkanie-2-pok-600m-do-plazy-ID4moBf</t>
  </si>
  <si>
    <t>4moBf</t>
  </si>
  <si>
    <t>Apartament 2pok. 46,37m2 Centrum, Wysoki Standard</t>
  </si>
  <si>
    <t>BIURO NIERUCHOMOŚCI LuxM przedstawia Atrakcyjne Mieszkanie 2 pokojowe o powierzchni 46,37 m2 wraz z dużą przynależną piwnicą o powierzchni ok. 10m2  w ścisłym Centrum w Gorzowie Wlkp.Mieszkanie mieści się w 3 piętrowej kamienicy na 2 piętrzeParking od strony podwórka, tylko dla mieszkańców kamienicy Nowa instalacja hydrauliczna, elektryczna, oraz gazowa Mieszkanie przeszło generalny remont w 2022 rokuŚciany w mieszkaniu były szpachlowane i malowaneW salonie na ścianie położony został nowoczesny beton architektonicznyW sypialni na ścianie położone zostały drewniane,  eleganckie lameleNa podłogach położone zostały nowoczesne  panele oraz stylowy gresW mieszkaniu znajduje się nowoczesna wanna z funkcją hydromasażuNowe okna PCV wraz z roletami wewnętrznymiNowoczesne oświetlenie LEDNowe drzwi antywłamanioweW kuchni pozostaje nowa zabudowa kuchenna wraz ze sprzętem agd : lodówka z zamrażarką w zabudowie, , płyta gazowa, zmywarka w zabudowie, mikrofalówka w zabudowie, pralka w zabudowieW mieszkaniu pozostaje całość umeblowania widocznego na zdjęciach oraz telewizoryW mieszkaniu znajduje się również dodatkowe pomieszczenie - garderobaGłówne atuty mieszkania:Mieszkanie, Gotowe do wprowadzeniaMieszkanie na 2 piętrzeMieszkanie wykończone z wysokiej jakości materiałów z dbałością o szczegółyNowoczesna kuchniaElegancka łazienka z prysznicem plus wanna z hydromasażemMieszkanie ciepłe i jasneŚwietna Lokalizacja- Ścisłe centrum : w pobliżu komunikacja miejska (autobus, tramwaj ), sklepy spożywcze, ryneczek, restauracja, bank, apteka, punkty handlowo-usługoweMieszkanie składa się z :-&amp;gt; salonu -&amp;gt; sypialni-&amp;gt; osobnej widnej kuchni -&amp;gt; łazienki z prysznicem-&amp;gt; przedpokoju-&amp;gt; garderobyRAZEM : 46,37 m2Ogrzewanie i ciepła woda : piec gazowy kondensacyjny, dwufunkcyjny nowego typuCzynsz wynosi ok. 350 zł / 1osobę (wszystkie zaliczki na wodę zimną , domofon, śmieci, fundusz remontowy oraz opłaty administracyjne są wliczone w czynsz) + prąd i gaz według zużyciaStan prawny: własność z księgą wieczystąJeśli zainteresowała Cię ta oferta, zapraszam do kontaktu aby zapytać o więcej szczegółówWłaścicielem oferty jest firma LuxM Nieruchomości.Wszelkie prawa autorskie zastrzeżone. Niniejsze ogłoszenie nie stanowi oferty w rozumieniu Kodeksu Cywilnego, lecz ma charakter informacyjny.Oferta wysłana z programu dla biur nieruchomości ASARI CRM ()</t>
  </si>
  <si>
    <t>https://otodom.pl/pl/oferta/apartament-2pok-46-37m2-centrum-wysoki-standard-ID4lpOB</t>
  </si>
  <si>
    <t>4lpOB</t>
  </si>
  <si>
    <t>Pięknie wykończone 3 pokoje z 2023 roku bez Pcc!</t>
  </si>
  <si>
    <t>Na sprzedaż oferuję piękne mieszkanie o powierzchni 59,83 m², zlokalizowane w inwestycji Active City na ulicy Wolińskiego w Lublinie. Ta nieruchomość jest zupełnie nowa i została wykończona pod klucz, z dbałością o najmniejsze detale, zgodnie z indywidualnym projektem i przy użyciu najlepszych materiałów wysokiej jakości.Mieszkanie składa się z przestronnego salonu z aneksem kuchennym, dwóch przytulnych sypialni oraz elegancko wykończonej łazienki. Salon jest jasny i przestronny, a z niego można wyjść na balkon typu logia, który zapewnia dodatkową przestrzeń do relaksu na świeżym powietrzu.Kuchnia została zaprojektowana z myślą o funkcjonalności i estetyce. Wykorzystano wysokiej jakości meble i sprzęt AGD, aby zapewnić doskonałe warunki do przygotowywania posiłków.Obie sypialnie są komfortowe i oferują prywatną przestrzeń do wypoczynku. Łazienka została starannie zaprojektowana i wykończona z myślą o wygodzie i stylu. Znajduje się w niej wanna, umywalka oraz toaleta.Mieszkanie w inwestycji Active City to doskonałe rozwiązanie dla osób poszukujących nowoczesnego i komfortowego miejsca do zamieszkania. Lokalizacja zapewnia łatwy dostęp do różnych udogodnień, takich jak sklepy, restauracje, centra handlowe oraz miejsca rekreacji.To mieszkanie jest idealne dla singli, par czy rodzin, które cenią sobie wysoką jakość wykończenia i starannie zaprojektowane wnętrza. Jest gotowe do wprowadzenia i oferuje nowoczesne, luksusowe życie w jednym z najbardziej pożądanych obszarów Lublina. Przynależy  do niego dodatkowo płatne miejsce postojowe w hali garażowej (43 tys. zł) oraz komórka lokatorska (9 tys. zł). Jeśli szukasz nowego, wyjątkowego mieszkania, to ta oferta jest dla Ciebie! Skontaktuj się z nami, aby umówić się na prezentację i odkryj to wspaniałe miejsce, które możesz nazwać swoim domem.Regenerate responseq</t>
  </si>
  <si>
    <t>https://otodom.pl/pl/oferta/pieknie-wykonczone-3-pokoje-z-2023-roku-bez-pcc-ID4lIC0</t>
  </si>
  <si>
    <t>4lIC0</t>
  </si>
  <si>
    <t>Apartament/Podgórze/ 34m2 / ul. Turka/</t>
  </si>
  <si>
    <t>DwernickiEstate ma przyjemność zaprezentować ofertę sprzedaży 33 metrowego, dwupokojowego mieszkania zlokalizowanego w Krakowie przy ulicy Księdza Wincentego Turka.
W skład mieszkania wchodzi:- Przedpokój
- Pokój
- Łazienka
- Jasna kuchnia
- Piwnica
Standard i wykończenie:
- Stan mieszkania dobry, gotowy do zamieszkania
- Ogrzewanie gazowe
- Jasna kuchnia umeblowana, meble,  sprzęt AGD: kuchenka, lodówka, zmywarka 
- Łazienka z wanną
- Na podłodze pokoju i przedpokoju podłoga drewniana
- W pokoju znajduje się  przestronna szafa w zabudowie
- Stolarka okienna drewniana
Informacje dodatkowe:
- Mieszkanie znajduje się na parterze 4 piętrowego bloku z lat osiemdziesiątych
W odległości kilku minut od nieruchomości znajdują się:
- Przystanki autobusowe znajdują się w odległości około 700m.
- Sklepy, przychodnie, apteki, przedszkola, szkoła, poczta.
- Okolica bardzo dobrze skomunikowana.
- W pobliżu ulica Saska.
Osoby zainteresowane serdecznie zapraszam na prezentację
Kontakt do brokera:Artur Dwernicki
artur @ dwernickiestate .pl+ 48 722 180 193 </t>
  </si>
  <si>
    <t>https://otodom.pl/pl/oferta/apartament-podgorze-34m2-ul-turka-ID4lNjb</t>
  </si>
  <si>
    <t>4lNjb</t>
  </si>
  <si>
    <t>Piękne mieszkanie w centrum, od dewelopera!</t>
  </si>
  <si>
    <t>ul. Komuny Paryskiej, Przedmieście Oławskie, Krzyki, Wrocław, dolnośląskie</t>
  </si>
  <si>
    <t>Kawalerka w doskonałej lokalizacji na Starym Mieście!Opiekun oferty:TOMASZ LEIMANNr Licencji PFRN 28679tel. 602 101 602Najważniejsze informacje:- Media miejskie- Winda- Kamienica po generalnym remoncie- Miejsca postojowe pod budynkiem- Lokalizacja blisko centrum- Idealne pod inwestycjęUkład pomieszczeń:Kawalerka z możliwością wydzielenia sypialni.Lokal składa się z:- Pokoju- Łazienki- PrzedpokojuOtoczenie nieruchomości:Mieszkanie ulokowane w wyremontowanej kamienicy z windą przy ul. Komuny Paryskiej na Starym Mieście. Świetnie skomunikowane z całym miastem i jego atrakcjami turystycznymi.Bezpośrednie połączenie komunikacji miejskiej do Dworca Głównego, Placu Dominikańskiego, Placu Grunwaldzkiego (dojazd ok. 8 minut).Przystanek Komuny Paryskiej 1, 16, 70, 114, 120Przystanek Plac Zgody: 3, 5Nieruchomość znajduje się w drugiej lini zabudowy - mamy ciche otoczenie.Rekomendacja Eksperta SDP Nieruchomości:Tę nieruchomość polecam klientom inwestycyjnym pod wynajem długo i krótkoterminowy, jak również jako mieszkanie dla singla lub pary na start. Serdecznie polecam, Tomasz LeimanNiedostateczne środki? To nie problem:Pomagamy w uzyskaniu finansowania na tę i inne nieruchomości. Zadzwoń i zapytaj o szczegóły.Zapraszam na prezentację:TOMASZ LEIMANNr Licencji PFRN 28679tel: 602 101 602</t>
  </si>
  <si>
    <t>https://otodom.pl/pl/oferta/piekne-mieszkanie-w-centrum-od-dewelopera-ID4iI2j</t>
  </si>
  <si>
    <t>4iI2j</t>
  </si>
  <si>
    <t>Piękne mieszkanie w Lesznie</t>
  </si>
  <si>
    <t>Mieszkanie w kamienicy na drugim piętrze o powierzchni 75m2 - skład nieruchomości  to: duży salon z aneksem kuchennym , 2 ustawne sypialnie , korytarz, łazienka z wanną . Mieszkanie bezczynszowe - jasne , ciepłe , funkcjonalne - po remoncie - w samym centrum miasta. Okna posiadają rolety zewnętrzne - nowe panele na podłogach, kominek elektryczny , możliwość zainstalowania kominka tradycyjnego. 
Ogrzewanie gazowe własne - mieszkanie ekonomiczne bezczynszowe.
Świetna lokalizacja scisłe centrum Leszna - blisko szkoły, sklepy , targ.</t>
  </si>
  <si>
    <t>https://otodom.pl/pl/oferta/piekne-mieszkanie-w-lesznie-ID4lN7X</t>
  </si>
  <si>
    <t>4lN7X</t>
  </si>
  <si>
    <t>Apartamenty inwestycyjne| zwrot 23%vat</t>
  </si>
  <si>
    <t>Pyry, Ursynów, Warszawa, mazowieckie</t>
  </si>
  <si>
    <t> BEZPOŚREDNIO OD DEWELOPERA!
Każdy z apartamentów posiada balkon oraz rozprowadzoną instalację pod klimatyzację.
Metraż mieszkań od 17 do 51m2.
Podana cena zawiera 23% VATu.
Termin przekazania kluczy wrzesień 2023!
NIERUCHOMOŚĆ:
Projekt inwestycji obejmuje:
- 15 lokali usługowych na parterze, w tym jeden z przystosowaniem pod restaurację, drugi na fitness,
- 224 apartamentów,
- miejsca parkingowe podziemne w cenie 45 000 zł lub miejsce naziemne w cenie 30 000 zł,
- wszystkie apartamenty posiadają balkony oraz klimatyzację.
Apartamenty idealne na zakup inwestycyjny ze względu na:
- dla gości będzie całodobowa, reprezentacyjna recepcja, punkty biurowe i usługowe, pralnia samoobsługowa, a także parking podziemny z 162 miejscami postojowymi i parking naziemny na 106 samochodów,
- nieopodal stacja metra,
- bliskość Lotniska Chopina,
- tereny zielone.
- Inwestycja w apartamenty w budynku typu hotelowego przeznaczone pod pobyty krótko i długoterminowe,
- Obsługę wynajmu właściciel może realizować samodzielnie lub powierzyć doświadczonemu operatorowi, który kompleksowo zrealizuje cały proces- od działań reklamowych zapewniających obłożenie, przez kontakt z Klientami, usługi sprzątające, serwis i rozliczenia z właścicielem.
Serdecznie polecam i zapraszam na prezentacje!
 </t>
  </si>
  <si>
    <t>https://otodom.pl/pl/oferta/apartamenty-inwestycyjne-zwrot-23-vat-ID4keK9</t>
  </si>
  <si>
    <t>4keK9</t>
  </si>
  <si>
    <t>Apartament 3 pokoje - 3 piętro oddanie 2023</t>
  </si>
  <si>
    <t>ul. Stawy, Żywiec, żywiecki, śląskie</t>
  </si>
  <si>
    <t xml:space="preserve">
INWESTYCJA OSIEDLE WIERZBOWE
Realizowana inwestycja to zespół nowoczesnych i energooszczędnych budynków wykonanych z najlepszej  jakości materiałów, przy użyciu niezawodnych technologii budowlanych. Głównym założeniem, które przyświecało przy tworzeniu projektu nowej inwestycji w Żywcu było stworzenie miejsca przyjaznego mieszkańcom, w którym każdy będzie mógł poczuć się komfortowo.
Bryła budynku została zaprojektowana w oparciu o modernistyczną i oryginalną elewację, która jednocześnie urzeka prostotą formy i kształtu. W każdym z budynków znajdują się 24 mieszkania o zróżnicowanej powierzchni od 26 m2 do 67 m2, z możliwością ich dalszego łączenia. Każde z mieszkań posiada od 1 do 3  zamkniętych sypialni, przestronny salon z kuchnią oraz łazienkę.
Mieszkania na parterze  mają bezpośredni dostęp do prywatnych ogródków, które można dostosować do własnych potrzeb. Mieszkania na wyższych kondygnacjach posiadają duże i przestronne balkony zaprojektowane tak by zapewniały prywatność oraz możliwości aranżacji własnej strefy wypoczynku. Na terenie inwestycji będą znajdowały się również wydzielone miejsca postojowe przypisane do każdego z mieszkań.
Każde z mieszkań zostanie wykończone w standardzie deweloperskim, klatki schodowe i komunikacja do mieszkań zostanie wykończona z dbałością o szczegóły, pod nadzorem projektanta wnętrz, posadzka zostanie wykonana z kamienia naturalnego. Teren inwestycji w końcowej fazie zostanie zagospodarowany i obsadzony roślinnością podkreślającą nowoczesny charakter inwestycji.
Lokalizacja Osiedla 
Osiedle Wierzbowe zostało lokalizowane w cichej i ustronnej części Żywca - Sporyszu, przy ul. Stawy. Inwestycja znajduje się w pobliżu strefy rekreacyjnej miasta. Mieszkańcy osiedla będą mieć możliwość uprawiania wielu sportów, korzystania ze ścieżki pieszo-rowerowej nad Jezioro Żywieckie, wypoczynku na licznych progach wodnych nad rzeką Koszarawą, a w zimie korzystania z wyciągu narciarskiego. W niedalekiej odległości znajduje się Amfiteatr, w którym organizowane są liczne wydarzenia kulturalne i sportowe, a także Park Żywiecki z mini zoo.
Zakup bezpośrednio od dewelopera- bez prowizji dla agencji nieruchomości
Niskie koszty utrzymania budynku i opłat administracyjnych
Mieszkania 3 pokojowe –  kondygnacja II piętro
Salon połączony z aneksem kuchennym - 21,18 m2
Sypialnia - 11,55 m2
Sypialnia - 8,40 m2
Łazienka - 4,34 m2
Komunikacja - 6,31 m2
Łączna powierzchnia użytkowa mieszkania  - 52,03m2
Dodatkowo do mieszkania przynależy balkon o powierzchni 6,2 m2
Zakup bez PCC  2% - rynek pierwotny
Mieszkanie oddawane jest w stanie deweloperskim
W standardzie klient otrzymuje
Duże 3 szybowe energooszczędne okna elewacyjne zapewniające efektowne doświetlenie
Ogrzewanie podłogowe  na całej powierzchni mieszkania
Instalacja wodno kanalizacyjna w łazienkach , kuchni
Instalacja Internetu światłowodowego oraz TV SAT 
Instalacja elektryczna w każdym z pomieszczeń
Instalacja centralnego ogrzewania i ciepłej wody użytkowej - piec gazowy
Instalacja domofonowa
Drzwi wejściowe z atestowanymi zabezpieczeniami antywłamaniowymi
Tynki gipsowe, cementowe-wapienne w łazienkach
Wylewki betonowe  na całej powierzchni mieszkania
Standard wykonania budynku
Ściany zewnętrze i działowe murowane z energooszczędnego Bloczka Silikatu
Fundament wykonany na płycie fundamentowej  zaizolowanej 15 cm warstwą styropianu
Izolacja ścian zewnętrznych Styropian fasadowy grubość 15 cm z tynkiem  zewnętrznym
Stropy wewnętrzne żelbetowe typu Filigram
Balkony zewnętrzne żelbetowe wyposażone  z barierkami  wypełnię siatka cięto ciągniona stal perforowaną lub szyba bezpieczna matowa
Murowane kanały wentylacyjne w kuchni , łazience
Standard wykonania klatki schodowej
Okładzina podłogowa z kamienia naturalnego/ płytek ceramicznych ( granit/marmur)
Barierki schodowe nierdzewne z wypełnieniem z szkła bezpiecznego
Ściany wewnętrzne wykończone
Drzwi zewnętrzne z zabezpieczeniami antywłamaniowymi oraz instalacją videodomofonową
Nowoczesne oświetlenie szynowo przewodowe
Oświetlenie schodowe LED
Zagospodarowanie terenu osiedla
Liczne nasadzenia z drzew i krzewów na terenie inwestycji
Oświetlenie zewnętrzne ciągów komunikacyjnych oraz parkingów
Wydzielone przestrzenie pod ogródki dla mieszkań znajdujących się na parterze
Wydzielone miejsca postojowe wykonane w technologii kostki brukowej i geokraty
Plac zabaw dla dzieci
System monitoringu parkingów znajdujących się na terenie osiedla
Ogrodzony i zamknięty teren inwestycji
</t>
  </si>
  <si>
    <t>https://otodom.pl/pl/oferta/apartament-3-pokoje-3-pietro-oddanie-2023-ID4lKhm</t>
  </si>
  <si>
    <t>4lKhm</t>
  </si>
  <si>
    <t>Apartament w kameralnym budynku "Na Ustroniu"</t>
  </si>
  <si>
    <t>Royal Space ma przyjemność zaprezentować ofertę sprzedaży apartamentu o powierzchni 76.23 m2 w nowej, kameralnej inwestycji "Na Ustroniu" na Dębnikach.LOKALIZACJABudynek zlokalizowany jest przy ul. Na Ustroniu w dzielnicy Ludwinów / Stare Dębniki w Krakowie. Bliskość Wawelu oraz Bulwarów Wiślanych jest ogromnym atutem. W odległości ok. 1 km znajduje się największy węzeł komunikacyjny Krakowa (Rondo Grunwaldzkie), skąd można się dostać do każdej części Krakowa.INWESTYCJA"Na Ustroniu" to funkcjonalna inwestycja, w doskonałej lokalizacji.  Zastosowane zostaną szlachetne materiały wykończeniowe w postaci okładziny kamiennej, oraz wysokiej jakości tynki silikonowe. Kompozycję elewacji stanowią duże przeszklenia oraz rytmicznie rozmieszczone pionowe i poziome podziały. Zastosowana kolorystyka sprawia że budynek subtelnie wpisuje się w otoczenie. Użyte rozwiązania architektoniczne przedstawiają wysoki poziom estetyczny właściwy dla kontekstu przestrzennego inwestycji.APARTAMENTZnajduje się na 4 piętrze budynku i składa się na niego: • salon z aneksem kuchennym, • 2 sypialnie, • łazienka, • WC, • taras (40 m2) i balkon (23.26 m2).DODATKOWE INFORMACJE • wysoki standard inwestycji, • budynek już oddany do użytku, • ogrzewanie z sieci miejskiej, • cichobieżne windy, • ogrodzony teren inwestycji • ekspozycja na południe oraz wschód.CENA - 1 753 290 PLN brutto (zawiera VAT)* brak podatku PCC* miejsce parkingowe w garażu podziemnym na platformie parkingowej w cenie 100 000 PLN (zjazd windą)Chcesz, żeby Twoja nieruchomość była skrojona na miarę Twoich potrzeb? W Royal Space zapewniamy kompleksową obsługę transakcji, oferując również współpracę przy projektowaniu i wykończeniu wnętrz z jednym z najlepszych krakowskich architektów! Chcesz wiedzieć więcej? Zgłoś się do opiekuna oferty.Serdecznie zapraszamy do obejrzenia nieruchomości.Мы также говорим на русском!We speak English!Kontakt do Brokera:Szymon Przybyś+4████████6 184Royal SpaceOferta wysłana z programu dla biur nieruchomości ASARI CRM ()</t>
  </si>
  <si>
    <t>https://otodom.pl/pl/oferta/apartament-w-kameralnym-budynku-na-ustroniu-ID4kYHq</t>
  </si>
  <si>
    <t>4kYHq</t>
  </si>
  <si>
    <t>Apartament podzielony na 2 kawalerki !!!</t>
  </si>
  <si>
    <t>ul. Joachima Lelewela, Wrzeszcz Dolny, Gdańsk, pomorskie</t>
  </si>
  <si>
    <t xml:space="preserve">ATUTY:- lokalizacja doskonale skomunikowana- sprawdzony gotowiec inwestycyjny- lokale w bardzo dobrym stanie w pełni wyposażone- lokal stanowiący odrębną własność- miejsce w hali garażowej- nowoczesny budynek w wysokim standardzie wykończeniaLOKALIZACJAApartament znajduje się we Wrzeszczu Dolnym przy ul. Joachima Lelewela na osiedlu Browar Gdański. W odległości kilkuset metrów od osiedla znajduje się Galeria Metropolia, która w swojej ofercie oprócz sklepów popularnych marek, posiada także największy kompleks kinowy w regionie, strefę rozrywki, biura i sale konferencyjne. Ponadto Galeria Metropolia połączona jest ze stacją kolejową Gdańsk Wrzeszcz, skąd dogodnie dojedziemy zarówno do centrum Gdańska, jak i do Sopotu czy Gdyni, łączącym w sobie SKM, PKP oraz Pomorską Kolej Metropolitalną. Dodatkowo w bliskiej odległości znajdują się przystanki autobusowe i tramwajowe, dzięki którym możemy się swobodnie poruszać po całym Gdańsku. Poza tym w okolicy do dyspozycji są liczne tereny spacerowe, m.in. Park Kuźniczki, nowo odkryty fragment Potoku Strzyża oraz urokliwa ulica Wajdeloty z licznymi restauracjami.Lokalizacja osiedla Browar Gdański w sercu Dolnego Wrzeszcza gwarantuje łatwe dotarcie do obiektów kulturalnych i rozrywkowych, a także zapewnia doskonałe skomunikowanie z całą Trójmiejską Metropolią. Zmodernizowany układ drogowy wokół inwestycji, zapewni bezproblemowy dojazd dla osób zmotoryzowanych, które dzięki Trasie Słowackiego w krótkim czasie dotrą do obwodnicy Trójmiasta i lotniska, a dzięki tunelowi pod Martwą Wisłą w prosty sposób znajdą się na drodze wylotowej na Warszawę. Ponadto położenie przy głównym szlaku komunikacyjnym Gdańsk-Gdynia sprawia, że podróż do centrum Gdańska zajmuje 7 minut - tyle samo, co podróż na plażę w Brzeźnie, natomiast wycieczka na Sopockie Molo to jedynie 15 minut.MIESZKANIENieruchomość usytuowana jest na drugim piętrze w budynku 6 piętrowym wybudowanym w 2018 roku.Apartament już na etapie projektu zostało podzielone na dwie kawalerki jako lokale hotelowe i mają charakter inwestycyjny, każde w pełni wyposażone. Od momentu powstania projektu, wynajmowane są przez firmę zarządzającą najmem krótkoterminowym, przynoszącym co miesiąc stały konkretny dochód.Lokal mieszkalny o powierzchni 41,79 m2, został podzielony na 2 kawalerki z wejściem z małego korytarza, w którym każdy składa się z:- pokoju z aneksem kuchennym- łazienki z wc- małego przedpokojuDo mieszkania przynależy 1 miejsce w hali garażowej na oddzielnej księdze wieczystej, zakup obligatoryjny 50.000zł.Do kupienia apartament, jako sprawdzony gotowiec inwestycyjny.Serdecznie polecam i zapraszam do zakupu.Chcesz poznać więcej szczegółów tej oferty? A może chcesz negocjować cenę?Zadzwoń pod numer 58 558 53 53 lub 784 008 353. Możesz także do nas napisać.W naszej bazie znajdziesz najwięcej aktualnych ofert z Trójmiasta, Kaszub i Kociewia.Serdecznie zapraszamy do naszych oddziałów w Gdańsku, Gdyni, Bytowie, Kościerzynie, Chojnicach i Starogardzie Gdańskim. Pracujemy również w soboty.Zaufaj profesjonalistom i kupuj bezpiecznie! </t>
  </si>
  <si>
    <t>https://otodom.pl/pl/oferta/apartament-podzielony-na-2-kawalerki-ID4jwJM</t>
  </si>
  <si>
    <t>4jwJM</t>
  </si>
  <si>
    <t>Apartament w Gdyni Wielki Kack</t>
  </si>
  <si>
    <t>ul. Nowodworcowa, Wielki Kack, Gdynia, pomorskie</t>
  </si>
  <si>
    <t xml:space="preserve">"Nowodworcowa" -inwestycja zlokalizowana w zacisznym, spokojnym miejscu, w samym sercu jednej z najbardziej popularnych dzielnic Gdyni - Wielki Kack. Dzielnica ta ceniona jest za ciszę i położenie blisko centrum miasta - 10 min od ul. Świętojańskiej oraz bardzo dobrze rozwiązana komunikacja z pozostałą częścią miasta i całego Trójmiasta (3 min. od Obwodnicy Trójmiasta; 200 m. od przystanków autobusowych, oraz przystanku kolei Metropolitarnej- "Karwiny").
W pełni rozwinięta infrastruktura gwarantuje dostęp do ośrodków zdrowia, szkoły, banków, sklepów, galerii handlowej RIVIERA (10 min.), restauracji, do oferty kulturalno-edukacyjnej i handlowo-usługowej.
Kameralny charakter inwestycji (tylko 29 mieszkań w budynku).
SZCZEGÓŁOWY OPIS MIESZKANIA
Dwupokojowe mieszkanie o powierzchni 40 m2 usytuowane na pierwszym piętrze, 4 kondygnacyjnego budynku mieszkalnego.
Istnieje możliwość dokupienia miejsca postojowego w cenie 39 000 zł.
Termin zakończenia budowy –  II kwartał 2024r.
Zapraszam na prezentację.
KONTAKT+4████████████5
</t>
  </si>
  <si>
    <t>https://otodom.pl/pl/oferta/apartament-w-gdyni-wielki-kack-ID4a3du</t>
  </si>
  <si>
    <t>4a3du</t>
  </si>
  <si>
    <t>Penthouse na 25 piętrze w "Babka Tower"</t>
  </si>
  <si>
    <t>Stara Miłosna, Wesoła, Warszawa, mazowieckie</t>
  </si>
  <si>
    <t>Mam przyjemność zaprezentować Państwu penthouse usytuowany na 25 piętrze inwestycji "Babka Tower", z którego rozpościera się spektakularny widok na panoramę Warszawy."Babka Tower" to pierwszy w historii miasta budynek mieszkalno-biurowo-usługowy, którego wysokość przekroczyła 100 metrów. W części wieżowej mierzy 105 metrów i ma 28 kondygnacjiInwestycja powstała według projektu zespołu architektów z pracowni JEMS Architekci, co pozwala jej trzymać odpowiedni standard, mimo upływu lat.NIERUCHOMOŚĆ:- powierzchnia 367 m² - loggia 7,5 m² - pomieszczenie gospodarcze- 3 miejsca postojowe w garażu w cenie WYKOŃCZENIE:Penthouse jest w stanie deweloperskim, zatem jest możliwość dowolnej aranżacji wnętrza.Nieruchomość świetnie nada się na lokal typowo mieszkalny lub z przeznaczeniem na siedzibę firmy.LOKALIZACJA: Doskonały punkt komunikacyjny – tuż przy stacji metra Dworzec Gdański, vis a vis centrum handlowego Westfield Arkadia. W okolicy pełna miejska infrastruktura (sklepy, punkty usługowe, kawiarnia, przedszkola, szkoły, etc.) wraz z ośrodkiem sportowym z kompleksem basenów i kortami do gry w tenisa. Bliskie sąsiedztwo Starego i Nowego Miasta oraz zielonych terenów Wisły.Dogodny punkt komunikacyjny (stacja metra Dworzec Gdański, linie tramwajowe i autobusowe). 15 minut o ścisłego centrum miasta.Serdecznie zapraszam na prezentację!_I am pleased to present you a penthouse located on the 25th floor of the "Babka Tower" investment, from which there is a spectacular view of the panorama of Warsaw. "Babka Tower" is the first residential, office and service building in the history of the city, which the height has exceeded 100 meters. In the tower part, it is 105 meters high and has 28 floors The investment was designed by a team of architects from the JEMS Architekci studio, which allows it to maintain an appropriate standard, despite the passage of time. PROPERTY:- 367 m²- 7.5 m² loggia- utility room- 3 parking spaces in the garage included in the priceSTANDARD:The penthouse is in the developer's standard, so it is possible to arrange the interior freely.The property is perfect for a typical residential premises or for a company headquarters.LOCATION:An excellent communication point - right next to the Dworzec Gdański metro station, opposite the Westfield Arkadia shopping center. There is a full urban infrastructure in the area (shops, service points, café, kindergartens, schools, etc.) along with a sports center with a swimming pool complex and tennis courts.Close proximity to the Old and New Towns and the green areas of the Vistula River. Convenient communication point (Dworzec Gdański metro station, tram and bus lines), 15 minutes to the strict city center. I kindly invite you to the presentations!Oferta wysłana z programu dla biur nieruchomości ASARI CRM ()</t>
  </si>
  <si>
    <t>https://otodom.pl/pl/oferta/penthouse-na-25-pietrze-w-babka-tower-ID4epD8</t>
  </si>
  <si>
    <t>4epD8</t>
  </si>
  <si>
    <t>4 pokoje z pięknym widokiem, Dziesięciny!</t>
  </si>
  <si>
    <t>ul. Zagórna, Dziesięciny II, Białystok, podlaskie</t>
  </si>
  <si>
    <t>DrBroker Nieruchomości prezentuje na sprzedaż 4-pokojowe mieszkanie o pow. 70,10m2 w Białymstoku, przy ul. Zagórnej (os. Dziesięciny).Lokal nieprzechodni, z ekspozycją północną i południową mieści się na 10 (z 10) piętrze bloku, z 1984 roku. Składa się z pokoju dziennego, 3 sypialni, kuchni, łazienki, WC i przedpokoju. Przynależy do niego balkon, piwnica i komórka lokatorska. Jest do wejścia lub dalszej aranżacji wg własnych upodobań. Okolica posiada niezbędną infrastrukturę, do centrum miasta ok. 3,5km. W pobliżu Lidl, Biedronka, przystanek autobusowy, a także ryneczek przy ul. Gajowej. Informacyjnie, czynsz administracyjny to ok. 750zł z zaliczkami na wodę i ogrzewanie.-Oferujemy pomoc w znalezieniu optymalnego rozwiązania kredytowego bez ponoszenia dodatkowych kosztów.Jeżeli ta oferta nie spełnia Państwa oczekiwań, prosimy o kontakt. Zapewniamy profesjonalną pomoc w znalezieniu najlepszej nieruchomości.Więcej ciekawych ofert na naszej stronie  drbroker pl Zapraszamy!</t>
  </si>
  <si>
    <t>https://otodom.pl/pl/oferta/4-pokoje-z-pieknym-widokiem-dziesieciny-ID4m6ha</t>
  </si>
  <si>
    <t>4m6ha</t>
  </si>
  <si>
    <t>Apartament z antresolą i dwoma tarasami ! BUD.C</t>
  </si>
  <si>
    <t>Jadwisin, Serock, legionowski, mazowieckie</t>
  </si>
  <si>
    <t>Bezpośrednio od dewelopera.
Apartament 79, blok C.
OPIS OSIEDLA:
ATLANTIS to kameralne osiedle ekskluzywnych apartamentowców, zaprojektowanych zgodnie ze współczesnymi wymaganiami budownictwa.
W inwestycji zaprojektowano trzy budynki z czterema kondygnacjami, w tym czwarta jest z antresolami. Każde mieszkania odpowiednio nasłonecznione oraz wyposażone w przestronny taras. Dla wygody, każdy budynek będzie miał windę, a apartamenty klimatyzacje oraz smart home.  Z każdego budynku roztacza się wspaniały panoramiczny widok na jezioro.
Między apartamentami zostaną zachowane odpowiednie odległości, tak aby każdy z mieszkańców mógł zachować swoją prywatność. Drogi i dojścia na terenie inwestycji otoczone są zielenią.
Z myślą o mieszkańcach i ich bezpieczeństwie, całe osiedle będzie posiadało monitoring oraz całodobową ochronę. W czasie wolnym będzie można skorzystać z plenerowej siłowni, rowerku wodnego, odpocząć na leżaku na molo, czy pograć w siatkówkę. Będzie również wyznaczone miejsce na spotkania towarzyskie, przy grillu lub ognisku.
LOKALIZACJA:
Działka położona jest w bezpośrednim sąsiedztwie zbiornika wodnego – Zalewu
Zegrzyńskiego, od strony południowo-zachodniej przebiega linia brzegowa. Cały obszar jest w strefie Warszawskiego Obszaru Chronionego.
Apartamenty mieszczą się przy ul. Oficerskiej w Zegrzu, położone w pierwszej linii brzegowej Jeziora Zegrzyńskiego. Do centrum Warszawy jest zaledwie 27 km i 16 km do jej granic. Przez Zegrze przebiega droga krajowa nr 61, a do końca 2022 roku ma powstać SKM oddalona 15 min od inwestycji.
Okolica Atlantis sprzyja do różnych form wypoczynku, od leniwego plażowania czy łowienia ryb po aktywne wypady rowerowe, spływy kajakowe, żaglowanie i wiele innych atrakcji rekreacyjno-sportowych.
Na wodach zbiornika uprawiane jest żeglarstwo, a kilkanaście razy w roku organizowane są szkolenia motorowodne, rejsy statkiem po zalewie oraz imprezy regatowe. Oprócz żeglarstwa uprawiany jest również kitesurfing, flyboard windsurfing, kajakarstwo, wioślarstwo i sporty motorowodne.
Na osiedlu ATLANTIS zaprojektowano:
85 apartamentów o powierzchni od 28 m2 do 118 m2
Windę
Plac zabaw
Plenerową siłownię
Altanę grillową
Punt widokowy
Plażę i molo
Miejsce do gry w siatkówkę
Siłownię nad brzegiem  
Garaż podziemny
Miejsca naziemne
Komórki lokatorskie
W SPRZEDAŻY :
Apartament o powierzchni 66,84 m2 wraz z tarasem o powierzchni 16,02 m2.
Koszt miejsca garażowego to 45 000zł. 
Fakultatywnie można zakupić miejsce naziemne w cenie 25 000 zł jak również komórkę lokatorską w cenie 20 000 zł.
To wszystko przygotowane wyłącznie do użytku dla mieszkańców ATLANTIS.
Przekazanie kluczy nastąpi do 30.10.2023 roku.
Zachęcamy do kontaktu.
Biuro sprzedaży RJ House w Legionowie
ul. Siwińskiego 11/lok.139
*Przedstawiona oferta cenowa ma charakter informacyjny i nie stanowi oferty handlowej w rozumieniu ART. 66 par. 1 Kodeksu Cywilnego.</t>
  </si>
  <si>
    <t>https://otodom.pl/pl/oferta/apartament-z-antresola-i-dwoma-tarasami-bud-c-ID4jVrw</t>
  </si>
  <si>
    <t>4jVrw</t>
  </si>
  <si>
    <t>Piękne mieszkanie w Mysłowicach BEZPOŚREDNIO</t>
  </si>
  <si>
    <t>ul. Saperów Śląskich, Mysłowice, śląskie</t>
  </si>
  <si>
    <t>Przedstawiam Państwu ustawne, piękne, w pełni wykończone mieszkanie w zielonej części osiedla Mysłowice - Brzęczkowice. Największym atutem mieszkania jest zieleń, spokój i cisza w okolicy. Nieruchomość znajduje się na pierwszym piętrze bloku trzypiętrowego. Mieszkanie składa się z przestronnego salonu z balkonem i widokiem na zieleń, pokoju - sypialni, kuchni w pełni wyposażonej, przedpokoju oraz łazienki. Mieszkanie nie wymaga żadnych nakładów finansowych, jest wykończone, wyremontowane i gotowe do zamieszkania w stanie bardzo dobrym, widocznym na załączonych zdjęciach. Meble oraz sprzęt AGD widoczny na zdjęciach pozostają w mieszkaniu. W mieszkaniu jest centralne ogrzewanie miejskie i bieżąca ciepła woda. Lokalizacja mieszkania jest bardzo korzystna, blisko szkoła, przedszkole, przystanek, piekarnia, sklepy. Infrastruktura osiedla jest mocno rozwinięta.
Zapraszam do obejrzenia filmu- zamieszczonego w linku. W celu umówienia się na oględziny nieruchomości proszę o kontakt telefoniczny. Polecam bardzo to miejsce, gdyż mieszka się tam naprawdę świetnie. Mieszkanie BEZ POŚREDNIKÓW i bez prowizji, sprzedawane prywatnie.
Proszę o kontakt telefoniczny po godzinie 14:00
Pośrednikom i Agentom Nieruchomości dziękujemy. </t>
  </si>
  <si>
    <t>https://otodom.pl/pl/oferta/piekne-mieszkanie-w-myslowicach-bezposrednio-ID4mlr0</t>
  </si>
  <si>
    <t>4mlr0</t>
  </si>
  <si>
    <t>Apartament w centrum z przepięknym widokiem!!</t>
  </si>
  <si>
    <t>Apartament z tarasem i widokiem na rzekęCentrum MiastaOpiekun oferty Sabrina Przybyłtel. 602 101 602Apartament:3 pokojowy apartament o projektowanej powierzchni 60,1 m2 znajduje się na 12 piętrze w 17 piętrowym budynku z windą. Do apartamentu przynależy balkon.Układ:- Salon z aneksem kuchennym 25,2 m2- Pokój 11,3 m2- Sypialnia 10,8 m2- Łazienka 4,6 m2- Przedpokój 8,2 m2- Balkon 9,83 m2Otoczenie nieruchomości:Nieruchomość w której położone jest mieszkanie, jest częścią osiedla, będącego multi-funkcyjnym kompleksem urbanistycznym, gdzie znajdować się będą otwarte przestrzenie spotkań, lokale handlowe, kulturalne, biurowe, sklepy, restauracje i przestrzenie co-workingowe.Do nadbrzeża Odry będzie można dojść w 5 min. klimatycznymi uliczkami osiedla.W pobliżu znajdują się:* Liczne tereny spacerowe i rekreacyjne nad rzeką* Sklepy* Przedszkole, szkoła* Restauracje* Komunikacja w każdą stronę miastaLinie autobusowe:106, 115, 128, 148, 241, 246, 251, 715, A, NLinie tramwajowe:6, 11, 23, OLMożliwość dokupienia:- komórki lokatorskiej- miejsca postojowego w hali garażowej.Najważniejsze informacje:Widok na rzekę. Balkon.Mieszkanie w stanie deweloperskim - do własnej aranżacji.Ogrzewanie: miejskieCzynsz: ok. 750zł Wystawa okien: Południowa Winda.Monitoring i ochrona na terenie inwestycji.Prestiżowe osiedle w atrakcyjnej okolicy, nowoczesność połączona ze stylem loftowym.Dla mieszkańców osiedla:* Fitness* Wypożyczalnia kajaków* Kino letnie* Restauracje* Lokale usługoweREKOMENDACJA EKSPERTA ds. Nieruchomości: Tę nieruchomość polecam tym, którzy cenią prestiżową lokalizację oraz nowoczesny, loftowy styl, z dostępem do terenów zielonych, obiektów rekreacyjnych oraz infrastruktury handlowo usługowej. Ze dobrą komunikację z miastem, będzie to świetne miejsce do zamieszkania jak i inwestycyjne.Polecam, Sabrina Przybył. Niedostateczne środki finansowe?To nie problem.Pomagamy w uzyskaniu finansowania na zakup nieruchomości.Zadzwoń i zapytaj o szczegóły.Opiekun oferty Sabrina Przybyłtel. 602 101 602</t>
  </si>
  <si>
    <t>https://otodom.pl/pl/oferta/apartament-w-centrum-z-przepieknym-widokiem-ID4j87k</t>
  </si>
  <si>
    <t>4j87k</t>
  </si>
  <si>
    <t>POD KLUCZ Apartament SUNDAY Ustronie Morskie</t>
  </si>
  <si>
    <t>ul. Polna, Ustronie Morskie, Ustronie Morskie, kołobrzeski, zachodniopomorskie</t>
  </si>
  <si>
    <t xml:space="preserve">SUNDAY Resort Ustronie Morskie jest kameralnym, całorocznym kompleksem dwóch budynków z windami oraz częścią rekreacyjną. Łącznie przewidujemy oddanie 59 samodzielnych lokali z łazienkami, aneksami kuchennymi i balkonami. Niewielka ilość apartamentów zapewni inwestycji prywatny, rodzinny charakter, daleki od zgiełku rozbudowanych molochów apart-hotelowych.
Mieszkania znajdujące się na poddaszu będą dwupoziomowe z częścią mieszkalną lub praktycznym schowkiem na strychu. W tych znajdujących się na parterze przewidzieliśmy ogródki lub tarasy.
Na terenie inwestycji znajdzie się:
- kryty basen
- jacuzzi
- sauna fińska
- parking z miejscami postojowymi ogólnodostępnymi dla mieszkańców.
Zadbaliśmy więc o to, żeby był to obiekt atrakcyjny dla mieszkańców niezależnie od pogody i pory roku.
Podana w ofercie cena dotyczy apartamentów wykończonych „POD KLUCZ”.
W tym standardzie otrzymujecie Państwo gotowy do zamieszkania lokal, w którym wykonane są:
·         gładzie z malowaniem
·         panel podłogowy na posadzce (za wyjątkiem łazienki) wraz z listwami cokołowymi
·         kompletny osprzęt elektryczny oraz oprawy oświetleniowe
·         drzwi zewnętrzne oraz drzwi wewnętrzne w lokalu
·         w łazience glazura i terakota oraz kompletny biały montaż (kabina prysznicowa z brodzikiem, podwieszana miska WC z przyciskiem, szafka z umywalką, baterie umywalkowa i prysznicowa, lustro)
·         kompletna zabudowa aneksu kuchennego – meble na wymiar z oświetleniem LED, wraz ze sprzętem AGD (zmywarka, lodówka podblatowa, płyta indukcyjna 2-palnikowa, okap podszafkowy
·         szafy na wymiar w przedpokoju i sypialni
·         łóżko do sypialni 160x200 z materacem i wezgłowiem tapicerowanym
·         w salonie sofa z funkcją spania
·         stół i krzesła dla 4 osób
·         stolik kawowy
·         szafka RTV
·         telewizor podwieszany SAMSUNG 55”
·         pralka
·         komplet firan typu woal oraz zasłon zaciemniających
·         komplet wyposażenia drobnego kuchni (sztućce, zastawa stołowa, itp.) oraz niezbędnych dodatków
Zachęcamy do skorzystania z naszego doświadczenia i powierzenia nam kompleksowego wykończenia i wyposażenia apartamentu.
Dla osób zainteresowanych indywidualnymi rozwiązaniami istnieje możliwość wykonania odrębnego projektu wnętrza, jego wyceny i realizacji.
Apartamenty oferowane w ramach inwestycji SUNDAY Resort są lokalami mieszkalnymi i objęte są 8% stawką VAT. Ceny podane w ogłoszeniu stanowią wartość brutto.
 O INWESTORZE
Jako inwestor – ARCHICORP – możemy pochwalić się wieloma realizacjami mieszkaniowymi. W każdej zwracamy uwagę na detale i nie szukamy kompromisów w kwestiach jakości. Dzięki doświadczonemu zespołowi i szerokiej bazie sprawdzonych wykonawców, realizujemy mieszkania „pod klucz” nie tylko w zakresie wykończenia ścian czy podłóg, ale również mebli, oświetlenia i dodatków. W naszym portfolio znajdują się prestiżowe obiekty mieszkalne AZURE Premium oraz WESTIN HOUSE Resort w Kołobrzegu. Zapraszamy do zapoznania się z jakością naszych usług na tych realizacjach.
O APARTAMENCIE
Apartament nr: 17, typ C
Piętro: II
Powierzchnia pod ściankami działowymi: 0,54m2
Powierzchnia użytkowa: 33,0m2
Powierzchnia balkonu: 8,93m2
Łącznie: 42,47m2
Ilość pokoi: 2
Cena brutto wraz z podatkiem 8% VAT: 493 066,00zł
Zamów bezpłatny katalog, aby zapoznać się z naszą inwestycją. Prześlij zamówienie na adres:[email title="kontakt"], a niezwłocznie prześlemy do Ciebie komplet materiałów.
Serdecznie zapraszamy,
Zespół ARCHICORP
</t>
  </si>
  <si>
    <t>https://otodom.pl/pl/oferta/pod-klucz-apartament-sunday-ustronie-morskie-ID4jsHa</t>
  </si>
  <si>
    <t>4jsHa</t>
  </si>
  <si>
    <t>853/14328/OMS</t>
  </si>
  <si>
    <t xml:space="preserve">Do sprzedania 3 pokojowe mieszkanie o powierzchni 57m2 w Karpaczu2 pokoje + salon z  aneksem kuchennym, przedpokójfunkcjonalna łazienkaparter w wielorodzinnej kamienicy w skład ofert wchodzi również: piwnica, komórka gospodarcza oraz kotłownia z piecem na opał stałyogrzewanie panelami na podczerwieńniski czynsz administracyjnywymieniony dach, drzwi wejściowe i klatka schodowadoskonała lokalizacja: wspólny ogród dla wszystkich mieszkańców, parking bezpośrednio przy budynkuidealna propozycja pod inwestycję lub miejsce wypadowe w góryPomagamy we wszelkich formalnościach dotyczących kredytowania!Opis oferty sporządzony jest na podstawie oględzin nieruchomości oraz informacji uzyskanych od właściciela.Może podlegać aktualizacji i nie stanowi oferty handlowej w rozumieniu Kodeksu Cywilnego.Prosimy pamiętać, że do ceny transakcyjnej należy doliczyć podatek PCC, opłatę sądową, taksę notarialną i prowizję biura nieruchomości.
Oferta wysłana z programu dla biur nieruchomości ASARI CRM ()
</t>
  </si>
  <si>
    <t>https://otodom.pl/pl/oferta/853-14328-oms-ID4mpDR</t>
  </si>
  <si>
    <t>4mpDR</t>
  </si>
  <si>
    <t>4 pokoje z dużym balkonem!</t>
  </si>
  <si>
    <t>ul. Kraśnięta, Jasień, Gdańsk, pomorskie</t>
  </si>
  <si>
    <t>4 pokojowe mieszkanie z dużym balkonem od strony południowej.Nowo powstałe osiedle na granicy Moreny i Jasienia łączy bliskość miejskich atrakcji takich jak bogata infrastruktura, rozwinięta sieć komunikacyjna, liczne placówki edukacyjne, przychodnie i centra handlowe z licznymi, zielonymi terenami rekreacyjnymi. Dla Państwa wygody, na terenie osiedla powstaną sklepy, liczne punkty usługowe i przytulne kawiarnie.InwestycjaW ramach osiedla powstanie sześć 4- i 5-piętrowych budynków z mieszkaniami od 1 do 5 pokoi w metrażach od 40 do 108 m2. Mieszkania parterowe będą posiadały urokliwe ogródki o powierzchni do 170 m2, a te na wyższych piętrach: balkony ze szklanymi balustradami, podkreślające panoramiczne widoki oraz doświetlającymi wnętrze. Ofertę inwestycji uzupełnią komfortowe domy w zabudowie szeregowej, zlokalizowane od ulicy Kraśnięta. Każdy z własnym ogrodem i garażem na jeden lub dwa samochody.Termin odbioru budynku E to koniec sierpień 2023 roku.Do mieszkania istnieje możliwość dokupienia miejsca parkingowego w hali garażowej (33 480 zł brutto) i komórki lokatorskiej (3.240 zł/m2).W cenie wliczono już udział w Terenie Osiedlowym i drodze (7.995 zł)LokalizacjaNowoczesne osiedle idealnie wkomponowuje się w krajobraz Górnego Tarasu Gdańska, łącząc atuty dwóch dzielnic: Moreny i Jasienia. W bliskim zasięgu znajdują się centra handlowe, przychodnie, szkoły, restauracje, siłownie i korty do squasha. W odległości 100 metrów zlokalizowane są przystanki tramwajowe: Łabędzia i Stolema, gwarantujące bezproblemowy dojazd do centrum Gdańska. Dla miłośników jeżdżenia na rowerze czekają nowe ścieżki rowerowe. W najbliższej okolicy znajdują się atrakcyjne miejsca, takie jak urokliwe stawy czy stadniny konne. Liczne szlaki turystyczne w pobliskim Trójmiejskim Parku Krajobrazowym, zadowolą wielbicieli dłuższych wędrówek, spacerów z psem oraz nordic walkingu.Pomieszczenia- salon z aneksem kuchennym (39,23 m2) od strony południowo-zachodniej- 3 sypialnie (12,16 m2, 12,16 m2, 12,54 m2) od strony południowej- 2 łazienki (6,23 m2 i 4,07 m2)- balkon (7,95 m2) od strony południowejAtuty- nowoczesne osiedle zamknięte- mieszkania i domy w ramach jednej inwestycji- liczne punkty usługowe na terenie osiedla- hala garażowa- idealnie skomunikowane osiedle z resztą Trójmiasta-Dom &amp;amp; House - Specjaliści od marzeń. - Gwarantujemy bezpieczeństwo transakcji- Znajdziemy najtańszy kredyt- Pomoc prawna dzięki współpracy z najlepszymi kancelariami notarialnym i prawnymi- Znajdziemy najtańsze ubezpieczenie nieruchomościPrezentowana oferta ma charakter informacyjny, nie stanowi oferty handlowej w rozumieniu Art. 66 par. 1 Kodeksu Cywilnego.</t>
  </si>
  <si>
    <t>https://otodom.pl/pl/oferta/4-pokoje-z-duzym-balkonem-ID4latK</t>
  </si>
  <si>
    <t>4latK</t>
  </si>
  <si>
    <t>apartament nad morzem 23% VAT obsługa najmu</t>
  </si>
  <si>
    <t>ul. Ogrodowa, Ustronie Morskie, Ustronie Morskie, kołobrzeski, zachodniopomorskie</t>
  </si>
  <si>
    <t xml:space="preserve">Poniżej prezentuję jeden z szerokiej gamy dostępnych 1 oraz 2 - pokojowych apartamentów.Skontaktuj się ze mną, jeżeli chcesz porozmawiać o pozostałej ofercie. Apartament P.173● pokój z aneksem ● 30,15 m2 ● balkon 3,89 m2 ● apartament w stanie deweloperskim ● gotowy w trzecim kwartale 2024 r. ● miejsce postojowe w garażu podziemnym ● 2 piętro ● 5 minut pieszo do pięknej piaszczystej plaży ● lokal usługowy 23% VAT ● jasny apartament ● zielona okolica ● ekspozycja na wschód ● balkon ● bliskość do dodatkowych udogodnień w postaci sauny i basenów Opis Przedstawiam Państwu na sprzedaż apartament, który może być wykorzystywany na cele prywatne lub inwestycyjnie. Jest to całoroczny obiekt, zlokalizowany w znanej, nadmorskiej miejscowości Ustronie Morskie. Położony zaledwie 5 minut pieszo od morza.Apartament znajduję się na 2 piętrze i posiada balkon. Lokal jest mocno doświetlony. Do lokalu przynależy miejsce postojowe w garażu podziemnym, które należy wykupić przy zakupie lokalu w cenie 60 000 zł netto. Cały obiekt wraz z zakupionym lokalem będzie obsługiwany przez operatora najmu, posiadającego wieloletnie doświadczenie oraz bogate portfolio obiektów hotelowych w obsłudze. Lokal może zostać w pełni wyposażony i umeblowany, gotowy do zarabiania pieniędzy już w sezonie letnim 2025 r. Rozkład pomieszczeń Pokój dzienny z aneksem - pow. 21,51 m2Hol - pow. 4,21 m2Łazienka - pow. 4,43 m2Balkon - pow. 3,89 m2 OkolicaUstronie Morskie zachwyca widokowo i oferuje wiele imprez kulturalnych oraz sportowych. Aktywni turyści mogą skorzystać z wycieczek rowerowych, pieszych, jazdy konnej oraz lotów widokowych.Dostępne atrakcje :●Międzynarodowy szlak pieszy E9 - obejmujący wędrówkę z Ustronia Morskiego w dwóch kierunkach: 8 km do Gąsek lub 11 km do Kołobrzegu,●Rowerowy szlak błękitny o dł. 31 km wiodący w kierunku Lasu Kołobrzeskiego,●Nadmorski szlak rowerowy wokół Bałtyku R10 - łączna dł. trasy to blisko 8 km. Łączy najważniejsze nadmorskie miejscowości,●Park linowy - położony z widokiem na morze, liczy 11 tras oraz łącznie 142 przeszkody,●Western Park - rodzinny park rozrywki,●Pole paintballowe o pow. 8000 m²,●Atrakcje najnowszej generacji takie jak: Kino 7DMax oraz kino Virtual Reality.Okolica jest bardzo cicha i spokojna. Lokalizacja ta daje możliwość cieszyć się spokojem i prywatnością, jednocześnie pozwalając aktywnie uczestniczyć we wszelkiego rodzaju aktywnościach, które oferują Ustronie Morskie. W niedalekiej odległości od obiektu znajdują się restauracje i sklepy.W celu uzyskania większej ilości szczegółów, zapraszam do kontaktu!
Oferta wysłana z programu dla biur nieruchomości ASARI CRM ()
</t>
  </si>
  <si>
    <t>https://otodom.pl/pl/oferta/apartament-nad-morzem-23-vat-obsluga-najmu-ID4mfxa</t>
  </si>
  <si>
    <t>4mfxa</t>
  </si>
  <si>
    <t>Piękny duży Dom, Ossy, powiat tarnogórski</t>
  </si>
  <si>
    <t>Ossy, Ożarowice, tarnogórski, śląskie</t>
  </si>
  <si>
    <t>NOWA CENA -do negocjacji :)Zapraszam do zapoznania się z ofertą sprzedaży nieruchomości, kt&amp;oacute;rą polecam z ręką na sercu. Oferowana nieruchomość to przestrzenna działka o powierzchni 1666m2 zabudowana budynkiem mieszkalnym z wbudowanym garażem dwustanowiskowym. Szanowni Państwo, to nie deweloper budował ten dom, a człowiek, kt&amp;oacute;ry chciał przeznaczyć go na potrzeby swojej rodziny. Życie jak to zwykle bywa, napisało inny scenariusz, natomiast z całą pewnością należy zwr&amp;oacute;cić uwagę na fakt, że w trakcie budowy właścicielnie oszczędzał. Użyto materiał&amp;oacute;w najwyższej klasy z zachowaniem zar&amp;oacute;wno litery prawa jak i wysokiej sztuki budowlanej. Prace zostały wykonane z należytą starannością i dbałością o każdy szczeg&amp;oacute;ł, co widać już na pierwszy rzut oka.Nieruchomość jest atrakcyjnie zlokalizowana w zielonej okolicy wsi sołeckiej Ossy, wojew&amp;oacute;dztwo śląskie , powiat tarnog&amp;oacute;rski , gmina Ożarowice, z bezpośrednim dostępem do drogi publicznej (gminnej) tj., ul. Lawendowej.  Działka mieści się w bardzo dobrym miejscu, bogactwo fauny i flory oraz rześkie powietrze tworzą cudowne warunki relaksu i wyciszenia. Z pewnością będzie to idealne miejsce dla os&amp;oacute;b, kt&amp;oacute;re kochają kontakt z przyrodą. Przyroda dla człowieka jest bardzo ważnym elementem, tworzy radosną atmosferę, pozwala żyć w zgodzie z naturą. Krajobraz miejscowości jest spokojny, wschody i zachody słońca, delikatny powiew wiatru muskający nasze umysły, a także obserwacja zwiewnej i lekkiej mgły o poranku dają ukojenie nerwom. Mieszkanie w Ossach gwarantuje ukojenie dla duszy i ciała. Dzięki bezpośredniemu  obcowaniu z przyrodą w tym miejscu nasze ciało lepiej odpoczywa i regeneruje się pod względem fizycznym, bogate zadrzewienie gwarantuje odpowiednią ilość tlenu, co z pewnością korzystnie wpłynie na osoby, kt&amp;oacute;re na co dzień muszą zmierzyć się z dużą ilością stresu. Dla najmłodszych tez są dobre informacje , ot&amp;oacute;ż w promieniu niespełna 500m są zlokalizowane dwa place zabaw bogato wyposażone w r&amp;oacute;żnego rodzaju atrakcje. Niewątpliwie wszystkie wymienione wyżej czynniki spowodują, że będzie to idealna strefa do życia dla wszystkich domownik&amp;oacute;w, kt&amp;oacute;rzy zdecydują się na zakup tej nieruchomości.Na wyżej opisanej działce posadowiony jest budynek parterowy, niepodpiwniczony z użytkowym poddaszem oraz wbudowanym garażem. Oczywiście najlepiej osobiście zobaczyć oferowaną nieruchomość do czego serdecznie Państwa zachęcam, jednak żeby zaoszczędzić Państwa czas postaram się w obrazowy spos&amp;oacute;b przedstawić &amp;bdquo;DOM&amp;rdquo;, w kt&amp;oacute;rym chcą Państwo zamieszkać. Powierzchnia zabudowy 223,65m2, łączna powierzchnia użytkowa wynosi 322,75m2, na co składa się :PARTER: 175,88m2- w części parterowej domu zlokalizowane jest jego serce czyli jadalnia (19,86m2) wraz z otwartą kuchnią (17,75) z wyjściem na taras. Mogą Państwo wyobrazić sobie w tej scenerii piękną świąteczną choinkę i ogromny st&amp;oacute;ł, przy kt&amp;oacute;rym zasiądzie cała rodzina. Tuż obok znajduje się salon (26,50m2) , kt&amp;oacute;ry idealnie spełni funkcję wypoczynkowo &amp;ndash; relaksacyjną a jego dodatkowym atutem jest zorganizowane już miejsce na zamontowanie kominka. W parterowej przestrzeni znajduje się pomieszczenie, kt&amp;oacute;re wstępnie miało zostać przeznaczone na gabinet (12,15m2) natomiast zgodnie z Państwa potrzebami może spełniać funkcję pokoju dla gości, dodatkowej sypialni a dla rodziny wielopokoleniowej idealnie sprawdzi się jako pok&amp;oacute;j dla osoby starszej, dla kt&amp;oacute;rej schody mogą stanowić problem. Ponadto pomieszczenie gospodarcze dość sporych rozmiar&amp;oacute;w (11,80m2) mające spełniać funkcję przechowywania oraz miejsce umieszczenia kotła kondensacyjnego (gazowego ), kt&amp;oacute;ry to będzie zasilał ogrzewanie podłogowe, WC (3,11m2)oraz naprawdę pokaźnych rozmiar&amp;oacute;w garaż dwustanowiskowy o powierzchni 60,15m2, kt&amp;oacute;ry w swoim obrysie zmieści nie tylko dwa samochody , ale r&amp;oacute;wnież niezbędne sprzęty ogrodowe a i niejeden majsterkowicz znajdzie tam kącik na mały warsztat. W całą powierzchnie wpisuje się jeszcze wiatrołap (6,06m2) oraz komunikacja (18,50m2)PIĘTRO &amp;ndash; poddasze użytkowe: powierzchnia podłogi 188,86m2 w tym powierzchnia użytkowa wynosi 146,87m2Mieści w swojej powierzchni komunikację (16,43m2), dwie łazienki ( 10,78m2 oraz 7,55m2), pralnię (7,20m2) z bezpośrednim wyjściem na balkon (idealne miejsce na suszenie (wietrzenie) prania), sypialnia (14,80m2), garderoba (13,37m2), dwa pokoje (20,59m2 oraz 18,62m2) z wyjściem na balkon, strych (79,52m2) &amp;ndash; miejsce idealne do wykorzystania na małą domowa siłownię, pok&amp;oacute;j zabaw, pok&amp;oacute;j relaksacyjny itp. Stan techniczny budynku : * ostatnie prace wykonywane były w 2021r* dom zaprojektowany w technologii tradycyjnej murowanej w systemie ścian dwuwarstwowych, do jego budowy zastosowano wysokiej jakości pustaki ceramiczne POROTHERM* ściany wewnątrz wytynkowane bez konieczności gładzenia * ocieplony  ( styropian 20 cm) , elewacja otynkowana i pomalowana* okna PCV trzyszybowe firmy VEKA z wbudowanymi roletami* ogrzewanie &amp;ndash; do domu doprowadzona jest instalacja gazowa , zaprojektowane ogrzewanie podłogowe docelowo ma zostać zasilane kotłem gazowym kondensacyjnym, w strefie wypoczynkowej stworzone miejsce na kominek * kanalizacja miejska* stropy żelbetonowe monolityczne* dach pokryty dach&amp;oacute;wką ceramiczną wysokiej jakości typu BRASS* hydroizolacja wok&amp;oacute;ł budynku + dren francuski* rozprowadzona instalacja elektryczna * rozprowadzona instalacja wodno - kanalizacyjna* na działce dwa zbiorniki na wodę deszczową mogące spełniać r&amp;oacute;żne funkcje gromadzenia deszcz&amp;oacute;wki łącznie około 8 m3 Uderzająco dopieszczony każdy szczeg&amp;oacute;ł oraz praktyczne zagospodarowanie przestrzeni opisywanej nieruchomości z pewnością zrobi wrażenie na niejednej osobie. DOM wymaga wykończenia i jest to dobra wiadomość, gdyż będą mogli Państwo zaprojektować jego wnętrze według własnych upodobań i potrzeb. Z uwagi na liczne kontakty oraz własne doświadczenie Właściciel po uzgodnieniu warunk&amp;oacute;w jest got&amp;oacute;w podjąć się dokończenia prac wraz z zagospodarowaniem terenu wok&amp;oacute;ł obiektu co z całą pewnością odciąży Państwa od szukania wykonawc&amp;oacute;w i biegania po urzędach.ZAPRASZAM :)  Ogłoszenie nie stanowi oferty handlowej w rozumieniu przepis&amp;oacute;w Kodeksu Cywilnego. Przedstawione propozycje nie są ofertą handlową w rozumieniu przepis&amp;oacute;w prawa, lecz mają charakter informacyjny. Wszelkie dane dotyczące nieruchomości uzyskano na podstawie oświadczeń sprzedających. Zalecamy osobiste zapoznanie się ze stanem nieruchomości przed jej nabyciem. Naszym klientom zapewniamy pomoc w uzyskaniu kredytu hipotecznego - dzięki wsp&amp;oacute;łpracy z kilkunastoma bankami możemy zagwarantować najbardziej korzystne warunki kredytowania i minimum formalności.::KONTAKT DO AGENTA Ania793900677</t>
  </si>
  <si>
    <t>https://otodom.pl/pl/oferta/piekny-duzy-dom-ossy-powiat-tarnogorski-ID4dImc</t>
  </si>
  <si>
    <t>4dImc</t>
  </si>
  <si>
    <t>Apartament Pod Skocznią w stanie deweloperskim</t>
  </si>
  <si>
    <t>Nieruchomość na ostatnim piętrze w stanie deweloperskim na Mokotowie pod Skocznią. ZNAKOMITE POŁOŻENIE| BLISKO PARK| DO WŁASNEJ ARANŻACJI| TYLKO 8 MIESZKAŃ W BUDYNKUOPIS NIERUCHOMOŚCIMieszkanie po pomiarach ma 180 m2. W obecnej chwili wydzielone są:* salon z wyjściem na sporej wielkości balkon; istnieje możliwość zainstalowania kominka* oddzielna kuchnia z oknem* sypialnia master z garderobą i własną łazienką* dwie dodatkowe sypialnie* łazienka oraz pralniaStan deweloperski pozwala na zmianę układu.LOKALIZACJABudynek znajduje zaledwie kilka minut piechotą od Parku Arkadia, w zielonej dzielnicy willowej. W okolicy mieszczą się ambasady, a domy przeżywają renesans wyrastając na piękne posiadłości. Stacja Wilanowska oraz przystanki tramwajowe oddalone są o kilka minut spacerem.INFORMACJE DODATKOWE* dwa miejsca w garażu podziemnym płatne dodatkowo* ostatnie piętro, widok ponad dachami* kameralny budynek, tylko 8 apartamentów——————————————KONTAKT:Natalia Dudek: +4████████8 077Pośrednik odpowiedzialny: Joanna Czapska (licencja zawodowa nr 4585)Przedstawiona wyżej oferta nie jest ofertą handlową w rozumieniu przepisów prawa, lecz ma charakter informacyjny. Partners International dokłada starań, aby treści przedstawione w naszych ofertach były aktualne i rzetelne. Dane dotyczące ofert uzyskano na podstawie oświadczeń Sprzedających.Jako biuro nieruchomości pobieramy wynagrodzenie w formie prowizji.——————————————CONTACT:Natalia Dudek: +4████████8 077Broker responsible: Joanna Czapska (professional license No. 4585)Outlined above proposal is not a commercial offer for the purposes of the law but is informative. All data relating to real estate was obtained on the basis of statements from the Sellers.As a real estate agency, we charge a commission.——————————————Property on the top floor in a developer standard in Mokotów near Skocznia.EXCELLENT LOCATION| CLOSE TO THE PARK| TO YOUR OWN ARRANGEMENT| ONLY 8 APARTMENTS IN THE BUILDINGPROPERTY DESCRIPTIONThe apartment after measurements has 180 sqm. At the moment there it consists of:* living room with access to a large balcony; it is possible to install a fireplace* separate kitchen with a window* master bedroom with wardrobe and private bathroom* two additional bedrooms* bathroom and laundry roomThe development state allows you to change the layout.LOCATIONThe building is located just a few minutes' walk from Park Arkadia, in a green residential area. There are embassies in the area, and houses are experiencing a renaissance, growing into beautiful estates. The Wilanowska station and tram stops are within a few minutes' walk.ADDITIONAL INFORMATION* two places in the underground garage payable additionally* top floor, view over the rooftops* intimate building, only 8 apartments</t>
  </si>
  <si>
    <t>https://otodom.pl/pl/oferta/apartament-pod-skocznia-w-stanie-deweloperskim-ID4kGTr</t>
  </si>
  <si>
    <t>4kGTr</t>
  </si>
  <si>
    <t>Lokal mieszkalny, z ogrodem, w centrum Miastka</t>
  </si>
  <si>
    <t>ul. Adama Mickiewicza, Miastko, Miastko, bytowski, pomorskie</t>
  </si>
  <si>
    <t>Bezczynszowe mieszkanie, o powierzchni użytkowej 88,91 m.2. Dodatkowy atut stanowi garaż w ogrodzie.Główne atuty nieruchomości: • rozkład pomieszczeń• dobra ekspozycja na strony świata• bliskość obiektów rekreacyjnych Nieruchomość złożona z: • pokój 22,36 m.kw• pokój 22,36 m.kw• pokój 22,4 m.kw• kuchnia otwarta z oknem 10,92 m.kw• przedpokój 6 m.kw• łazienka 4,87 m.kw W skład nieruchomości wchodzą też:• piwnica• garaż• ogródekTyp ogrzewania: ogrzewanie na biomase. Typ własności: własność. Tylko u nas na sprzedaż, duże, bezczynszowe mieszkanie z ogrodem, w budynku dwurodzinnym. Powierzchnia całkowita mieszkania to 142,75 m.2. W skład nieruchomości wchodzą: 3 pokoje (22,36 m.2,22.36 m.2, 22,40 m.2), kuchnia (10,92 m.2), przedpokój ( 6,00 m.2), łazienka 4,87 m.2), piwnice (21,84 m.2, 14,80 m.2), garaż wolno stojący (17,20 m.2) oraz części wspólne (ganek ).Powierzchnia działki na, której usytuowany jest budynek wynosi 596 m.2.Aby dojść do szkoły, sklepu, kościoła potrzebujemy maksymalnie 10-15 minut. Najbliższy sklep znajduje się 50 metrów od domu.  W bliskiej odległości Dom Kultury, a  z okien widać zielone ogrody działkowe albo własny ogród.Centralne ogrzewanie: na biomasę, pelet, ekogroszek. Piec znajduje się w piwnicy.To propozycja warta uwagi. Mieszkanie jest w stanie do remontu ale to umożliwi dowolną aranżację wnętrz.Uwaga: 88.91 m.2 powierzchni mieszkalnej, piwnice o łącznej powierzchni 36 m.2, garaż - 17,20 m.2, gdzie przed niepogodą schronimy samochód. Posesja ogrodzona. Budynek wolno stojący, dwurodzinny, otoczony ogrodem. Nawet remont, który nas czeka nie przyćmi atutów tej oferty.ZADZWOŃ: 504 868 938.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</si>
  <si>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https://otodom.pl/pl/oferta/lokal-mieszkalny-z-ogrodem-w-centrum-miastka-ID4hckl</t>
  </si>
  <si>
    <t>4hckl</t>
  </si>
  <si>
    <t>Apartament 71m2 +poddasze +ogród 126m2, Mroków</t>
  </si>
  <si>
    <t>Mroków, Lesznowola, piaseczyński, mazowieckie</t>
  </si>
  <si>
    <t>RezerwacjaNa sprzedaż 4-pokojowy apartament w stanie deweloperskim o pow. użytkowej 71,36 m2, z poddaszem użytkowym 21,52 m2, usytuowany w Mrokowie, gminie Lesznowola. Apartament znajduje się na ogrodzonym osiedlu, gdzie powstanie docelowo 30 mieszkań. Mieszkanie dwupoziomowe, z możliwością zaadoptowania poddasza użytkowego na dodatkowe pokoje lub pomieszczenie open space. Poddasze z oknami balkonowymi i dachowymi, małymi skosami. Kuchnia oddzielna lub w aneksie. Okna w mieszkaniu PCV &amp;bdquo;port fenetr&amp;rdquo; (typu francuskiego, do podłogi). System ogrzewania podłogowego zasilany pompą ciepła. Instalacja umożliwiająca podłączenie do paneli fotowoltaicznych. Lokal uzbrojono w system rekuperacji (eco wentylacji), który umożliwia schładzanie pomieszczeń.Parter 29,67 m2:- salon z aneksem kuchennym 22,43 m2- WC 2,76 m2- holl 4,48 m2Piętro 41,69 m2:- pokój 13,08 m2- pokój 12,35 m2- łazienka 8,06 m2- korytarz 8,2 m2Poddasze 21,52 m2:- open space Do apartamentu przypisane są 2 miejsca parkingowe (każde w cenie 15 000 PLN) oraz ogród o pow. 126,27 m2. Do każdych 2 miejsc parkingowych doprowadzona jest instalacja elektryczna umożliwiająca elektryczne tankowanie pojazdów. Do dyspozycji mieszkańców wspólna rowerownia. W najbliższej okolicy: szkoła podstawowa, przedszkole, przychodnia zdrowia, kościół, sklepy, restauracja, komunikacja miejska. Odległość do Warszawy to około 26 km.Dane kontaktowe do agenta: Lena Sosnowska Tel: 881 006 091 E-mail: -Biuro nieruchomości PROPERCO współpracuje z doświadczonymi specjalistami finansowymi, oferującymi sprawdzenie zdolności kredytowej oraz przedstawienie oferty finansowania nieruchomości / Informacje dotyczące opisu nieruchomości podane są przez właściciela, mają charakter wyłącznie informacyjny i mogą podlegać aktualizacji. Oferta dotycząca nieruchomości nie stanowi oferty określonej w art. 66 i następnych KC.Zapraszamy do siedziby naszego biura w Warszawie przy ul. Brylowskiej 2 lok. 3B (Wola, Czyste).Dane adresowe:PROPERCO sp. z o.o. sp.kul. Brylowska 2 lok. 3B01-216 Warszawa/</t>
  </si>
  <si>
    <t>https://otodom.pl/pl/oferta/apartament-71m2-poddasze-ogrod-126m2-mrokow-ID4excS</t>
  </si>
  <si>
    <t>4excS</t>
  </si>
  <si>
    <t>Piękne mieszkanie 70,5 m - wysoki standard</t>
  </si>
  <si>
    <t>ul. Wileńska, Oleśnica, oleśnicki, dolnośląskie</t>
  </si>
  <si>
    <t>Mieszkanie o powierzchni 70,5 mkw, z miejscem parkingowym, balkonem (3,9mkw) oraz dużą piwnicą (16,2 mkw).
Mieszkanie składa się z salonu z aneksem kuchennym- powierzchnia salonu aneksu i przedpokoju to 31,4mkw, dwie sypialnie: 13,3mkw oraz druga 21,4mkw (część pokoju została zaaranżowana na garderobę z pojemnymi szafami), łazienka 4,4mkw. Wysoki strop ok. 3,3m. 1 piętro bez windy.
Media: ogrzewanie miejskie +woda rozliczane w czynszu , prąd. 
Mieszkanie jest zadbane, gotowe do zamieszkania bez konieczności remontu.
Okolica cicha i spokojna i zielona. W najbliższym otoczeniu szkoła, przedszkole, hala sportowa. 
Zapraszamy </t>
  </si>
  <si>
    <t>https://otodom.pl/pl/oferta/piekne-mieszkanie-70-5-m-wysoki-standard-ID4moGI</t>
  </si>
  <si>
    <t>4moGI</t>
  </si>
  <si>
    <t>82,4mk2//bezczynszowe// Lok C1 - skrajny</t>
  </si>
  <si>
    <t>ul. Niepodległości, Barczewo, Barczewo, olsztyński, warmińsko-mazurskie</t>
  </si>
  <si>
    <t>Zapraszam do zapoznania się z propozycją zakupu mieszkania należącego do kameralnej inwestycji deweloperskiej realizowanej w Barczewie przy ul. Niepodległości.W mieście krzyżują się drogi krajowe i wojewódzkie: DK16 i DW595.Dzięki temu mieszkańcy Barczewa mają zapewnioną sprawną komunikację z oddalonym o ok 15km Olsztynem, ale również doskonałe połączenie z miastami mazurskimi.Szczegółowa lokalizacja inwestycji zapewni nowym właścicielom ciszę, spokój i kameralny klimat. Jednocześnie gwarantuje łatwy i szybki dostęp do infrastruktury handlowo-usługowej tj:
Przedszkole 350m, 4 minuty drogi piechotą
Szkoła 700m, 9 min
Poczta 230m, 3min
Ośrodek Zdrowia 120m, 2 min
Sklepy: Biedronka i Polo Market 250m 3 min
Urzędy, Starówka, apteka 600m, 7 min.
Przystanek autobusowy (miejski do Olsztyna) 350m, 4 min
Całość przedsięwzięcia stanowi ogrodzony budynek w zabudowie szeregowej.W obrębie każdego z trzech segmentów, zostaną wyodrębnione dwa lokale, każde z osobnym wejściem:
na parterze o powierzchni 40,01m2 z własnym ogródkiem
na piętrze, lokal dwupoziomowy z balkonem o powierzchni 82,4m2
W ramach stanu deweloperskiego wykonane zostaną tynki, rozprowadzona instalacja elektryczna, instalacja c.o. i ciepłej wody, wraz z indukcyjnym, dwufunkcyjnym piecem gazowym, a także ogrzewaniem podłogowym.Projekt domu został dokładnie przemyślany zarówno pod kontem funkcjonalności, jak i od strony ergonomicznej:Budynek wzniesiony w technologii tradycyjnej murowanej z dociepleniem styropianowym.Strop monolityczny żelbetonowy.Minimalistycznej całości dopełnia dwuspadowy dach. Segmenty rozdzielone podwójną ścianą. Całość zostanie ogrodzona.Do budowy użyto najlepszej jakości materiałów w tym:
Styropian 20 cm
Elewacja silikatowo-silikonowa (odporna na działanie warunków atmosferycznych i zabrudzeń)
Okna VEKA SL 82 - Premium-line AdamS - współczynnik przenikania cieplnego od 0,777 W/m2K do 0,836 W/m2K w zależności od wielkości okna i ilości skrzydeł (siedmiokomorowa zabudowa ościeżnicy i sześciokomorowa zabudowa skrzydła).
Dachówka.
Termin odbiorów szacuje się na IVQ2023r.//Niniejsze ogłoszenie ma charakter informacyjny i nie stanowi oferty w rozumieniu art.66 KC//Osoba odpowiedzialna zawodowo - Monika Głusek nr lic. 25723</t>
  </si>
  <si>
    <t>https://otodom.pl/pl/oferta/82-4mk2-bezczynszowe-lok-c1-skrajny-ID4lGRE</t>
  </si>
  <si>
    <t>4lGRE</t>
  </si>
  <si>
    <t>Apartament Mierzeja Wiślana 34,73 m2 z ogródkiem!</t>
  </si>
  <si>
    <t>Krynica Morska, nowodworski, pomorskie</t>
  </si>
  <si>
    <t>Lokal o powierzchni 34,73 m2 położony w jednej z najlepiej zlokalizowanych inwestycji w Krynicy Morskiej. Nieruchomość składa się z sypialni, pokoju dziennego z aneksem oraz łazienki. Ekspozycja wschodnia, parter. Do mieszkania przynależy miejsce postojowe oraz ogródek na wyłączność i osobne liczniki na wodę i prąd. Lokal wyposażony pod klucz.  Każde z mieszkań jest całkowicie wyposażone, klimatyzowane indywidualnie, w każdym pokoju wykładzina dywanowa. W skład wyposażenia apartamentów wchodzą meble kuchenne, płyta elektryczna, kuchenka mikrofalowa, czajnik elektryczny, lodówka. Pokoje wyposażone są w TV, rozkładaną sofę, łóżko dwuosobowe, łazienki natomiast w natrysk, umywalkę, WC oraz meble łazienkowe. Do części wspólnych budynku należeć będą: klatka schodowa, pralnia (z osobnym licznikiem na wodę), plac zabaw, wiata grillowa, hole, droga dojazdowa. Atutem zakupu powyższej nieruchomości jest możliwość podpisania umowy z hotelem na prowadzenie wynajmu apartamentów. Hotel oferuje właścicielom apartamentów m.in prowadzenie rezerwacji, reklamę apartamentów na stronie hotelu i innych portalach, sprzątanie apartamentów, wymianę i pranie pościeli, bezpłatny dowóz meleksem hotelowym na plażę i z plaży, bezpłatny wstęp na basen, siłownię i rowerki magnetyczne, zniżki na usługi SPA i gastronomię. Niewątpliwie, największym atutem nieruchomości jest jej lokalizacja! Tylko 100 metrów dzieli nas od piaszczystej plaży nad pięknym Zalewem Wiślanym, który doskonale widoczny jest także z balkonów wszystkich lokali.. Polecamy!</t>
  </si>
  <si>
    <t>https://otodom.pl/pl/oferta/apartament-mierzeja-wislana-34-73-m2-z-ogrodkiem-ID3QiYQ</t>
  </si>
  <si>
    <t>3QiYQ</t>
  </si>
  <si>
    <t>Apartament 76,66 m2 Kras Resort Szklarska Poręba</t>
  </si>
  <si>
    <t>ul. Górna, Szklarska Poręba, karkonoski, dolnośląskie</t>
  </si>
  <si>
    <t>Zapraszamy do zakupu nowych apartamentów dostępnych od zaraz lub w trakcie budowy w prestiżowym obiekcie Kras Resort w Szklarskiej Porębie. Nasz kompleks znajduje się w malowniczej okolicy z widokiem na pasmo Karkonoszy, w pobliżu natury, lasów oraz pięknych tras pieszych i rowerowych. To idealne miejsce dla osób ceniących ciszę, spokój oraz chcących odpocząć od zgiełku miasta.
Nasze apartamenty zostały wykończone w wysokim standardzie z dbałością o detale oraz wyjątkowym designem. W obiekcie znajduje się wiele udogodnień, takich jak basen zewnętrzny, narciarnia, windy, garaż podziemny oraz wiele innych. Każdy apartament został zaprojektowany w taki sposób, aby zapewnić pełen komfort mieszkańcom. Ponadto, w każdym apartamencie istnieje możliwość wstawienia sauny oraz jacuzzi, co pozwoli na jeszcze większy relaks.
Kupując apartament w Kras Resort, inwestujesz w swoją przyszłość. Nasza oferta jest idealna dla osób, które szukają pięknej okolicy, spokoju oraz luksusowego stylu życia. To wyjątkowa szansa na zakup apartamentu w prestiżowym obiekcie, który zapewni Ci wszystko, czego potrzebujesz.
LOKALIZACJA
·         W bezpośrednim  sąsiedztwie tras rowerowych oraz pieszych,
·         W pobliżu atrakcji turystycznych „Zakręt Śmierci”, Sztolnie dawnej Kopalni Pirytu,
·         3,5 km do centrum Szklarskiej Poręby,
·         6,5 km do Ski Arena
·         Ok. 12km do Polany Jakuszyckiej
CENNIK
·         Miejsce postojowe w garażu podziemnym płatny dodatkowo-45.000 netto + VAT 23%
DLACZEGO WARTO KUPIĆ APARTAMENT OD KRAS-RESORT?
·         Doskonała lokalizacja w znanej miejscowości turystycznej
·         Gwarantowany piękny widok na góry z apartamentów
·         Bogata infrastruktura
·         Funkcjonalny układ apartamentów
·         Deweloper z wieloletnim doświadczeniem na rynku
·         Wysoki standard wykończenia
·         Wysoka rentowność inwestycji
Nie przegap okazji i dołącz do grona zadowolonych klientów Kras Resort już dziś!
Istnieje możliwość odliczenia podatku VAT.
 </t>
  </si>
  <si>
    <t>https://otodom.pl/pl/oferta/apartament-76-66-m2-kras-resort-szklarska-poreba-ID4l1D5</t>
  </si>
  <si>
    <t>4l1D5</t>
  </si>
  <si>
    <t>Apartament 300m od morza</t>
  </si>
  <si>
    <t>Na sprzedaż apartament 300m od morza i piaszczystej plaży.Pow   39,3m2Pokoje   2 Kuchnia  1Łazienka 1Na sprzedaż nowy apartament o powierzchni 39,3m2 w zielonej części Pobierowa, oddalony od szerokiej piaszczystej plaży ok 300m, do centrum 200m gdzie znajdują się bary, sklepy, parki rozrywki itp atrakcje.Cały budynek składa się z 14 mieszkań i jest wykonany z wysokiej jakości materiałów, apartamenty są oddawane w stanie do wykończenia i własnej aranżacji.Do apartamentu należy doliczyć cenę za miejsce parkingowe    20000 netto +23% vat.Kupujący nie płaci podatku PCC 2%.POMAGAMY W UZYSKANIU ŚWIADECTWA charakterystyki energetycznej Z miłą chęcią udzielę Państwu więcej informacji na temat tej nieruchomości. Zapraszam do kontaktu telefonicznego lub mailowego.-Treść niniejszego ogłoszenia nie stanowi oferty handlowej w rozumieniu Kodeksu Cywilnego. Treść ma charakter informacyjny i zalecamy ich osobistą weryfikację. Kontaktując się z biurem Klient wyraża zgodę na przetwarzanie danych osobowych zgodnie z przepisami ustawy z dnia 29 sierpnia 1997 roku o ochronie danych osobowych / Dz.U.Nr. 133 poz. 883/. Klientowi przysługuje prawo do wglądu do swoich danych osobowych i ich aktualizacji.</t>
  </si>
  <si>
    <t>https://otodom.pl/pl/oferta/apartament-300m-od-morza-ID4jJPQ</t>
  </si>
  <si>
    <t>4jJPQ</t>
  </si>
  <si>
    <t>Apartament I 70m2 I bez Pcc | Klimatyzacja | Garaż</t>
  </si>
  <si>
    <t>ul. Bałtycka, Grodzisk Mazowiecki, Grodzisk Mazowiecki, grodziski, mazowieckie</t>
  </si>
  <si>
    <t>Zapraszam do zakupu wyjątkowego apartamentu o powierzchni 70m2 w Grodzisku Mazowieckim, przygotowanego do zamieszkania przez najbardziej wymagających klientów ceniących jakość i wysoki standard wykończenia.Apartament prezentuje klimatyzowane, komfortowe i stylowe wnętrze. Salon zapewnia wygodną przestrzeń do wypoczynku oraz relaksu. W pełni wyposażona kuchnia zawiera nowoczesne sprzęty AGD i meble wykonane na zamówienie.Apartament składa się z 3 sypialni, z których każda została urządzona z dbałością o najmniejszy  szczegół. Każda sypialnia posiada wygodne łóżko, szafę i miejsce do przechowywania.Znajdą tam Państwo również elegancką i przestronną łazienkę , oraz oddzielną toaletę. To miejsce sprawdzi się idealnie dla rodzin, bądź dla osób chcących wygospodarować dodatkową przestrzeń na prywatny gabinet.Wysublimowana i pełna klasy aranżacja wnętrza apartamentu spełni oczekiwania nawet najbardziej wymagających klientów.Lokalizacja gwarantuje pełny dostęp do pełnej infrastruktury miasta - szkoły, przedszkola, punkty handlowo-usługowe, komunikacja.Przedstawione na fotografiach meble pozostają na wyposażeniu apartamentu, który został od samego początku urządzany przez architektów dbających o zastosowanie najnowszych rozwiązań.Dodatkowo można dokupić miejsce w garażu podziemnym za kwotę 38 000,00 zł.Ochelska Investment to miejsce tworzone przez ludzi z pasją do rynku nieruchomości. Nasze doświadczenie, oraz indywidualne podejście do każdej transakcji daje Ci pełne poczucie bezpieczeństwa, oraz gwarancję że od początku do końca pomożemy przejść przez tak ważny proces jakim jest zakup nieruchomości.Ceniąc wygodę, oraz czas potrzebny na realizację transakcji do naszego zespołu należą również profesjonalni doradcy finansowi i Notariusze, z którymi współpracujemy od wielu lat. A jeżeli Twoja nowa nieruchomość wymaga ekipy remontowej lub architekta wnętrz w tym również pomożemy.Serdecznie zapraszamy, chętnie porozmawiamy o nieruchomości która Cię interesuję i umówimy się na jej prezentację!</t>
  </si>
  <si>
    <t>https://otodom.pl/pl/oferta/apartament-i-70m2-i-bez-pcc-klimatyzacja-garaz-ID4lEqi</t>
  </si>
  <si>
    <t>4lEqi</t>
  </si>
  <si>
    <t>Apartament z widokiem na morze - Klimatyzacja, Spa</t>
  </si>
  <si>
    <t>Szanowni Państwoofertą sprzedaży jest apartament z widokiem na morze w topowej lokalizacji Kołobrzegu, w kompleksie "ARKA" przy samej promenadzie i plaży &gt;&gt;&gt;lokal na IV piętrze o powierzchni 28,83m2 plus balkon ok 7m2, od strony zachodniej skład: salon z aneksem kuchennym, łazienka i przedpokójwyposażenie klimatyzacja po pełnym serwisie, AGD (lodówka, kuchenka elektryczna, pralka), RTV - do ustalenia, meble i zabudowy - zostają, wszystko w bardzo dobrym stanieniskie koszty utrzymania czynsz ok 540zł/mc a w nim ogrzewanie, ciepła i zimna woda, części wspólne, odpady komunalne, ochrona, szybkie WIFI, telewizja, dodatkowo tylko licznik prąduduży parking strzeżony z możliwością wynajęcia miejsca postojowego na preferencyjnych warunkach, lub darmowe w obrębie kilometra (przy polu campingowym)świetna lokalizacja - 50m od budynku promenada i plaża, przy Arce zajezdnia autobusowa z częstymi połączeniami z centrumapartamentowiec jest połączony z kompleksem Arka Medical - SPA (odnowy biologiczne, masaże i inne), basen, restauracja, bary, sklepy, plac zabaw, kort tenisowy, wypożyczalnia rowerów, kawiarnia obrotowo - widokowa na szczycie budynku, kino, grota solna, sauny (mokra i sucha), ścianka wspinaczkowa, gabinety fizjoterapeutyczny, fryzjerstan prawny - własność, bez żadnych zajęć i obciążeń, gotowy do sprzedaży Zapraszam na prezentację Maciej Borkowski Rent-nieruchomości +4████████0 122Oferta wysłana z programu dla biur nieruchomości ASARI CRM ()</t>
  </si>
  <si>
    <t>https://otodom.pl/pl/oferta/apartament-z-widokiem-na-morze-klimatyzacja-spa-ID4lCvb</t>
  </si>
  <si>
    <t>4lCvb</t>
  </si>
  <si>
    <t>Piękny apartament z widokiem na Tatry</t>
  </si>
  <si>
    <t xml:space="preserve">   Komfortowy, przestronny apartament z widokiem na Tatry     ENGLISH DESCRIPTION BELOW - PLEASE DO NOT HESITATE TO CONTACT US   Hamilton May ma przyjemność zaprezentować wyjątkowy, komfortowy apartament zlokalizowanego na granicy Parku Reduta z Tarasem widokowy o powierzchni 200m2 z którego rozpościera się przepiękny widok na panoramę miasta oraz Tatry.Apartament ma powierzchnię 194m2 i składa się z przestronnego salon z wyjściem na taras główny (60m2 )oraz balkon (17m2) otwartej i nowoczesnej kuchnia z wyjściem na taras śniadaniowy,  sypialni głównej  połączonej  z sauną, garderobą oraz dużą łazienką, drugiej  sypialni , gabinetu, holu oraz drugiej łazienki.W apartamencie znajdują się duże przeszklenia okienne zapewniając mieszkaniu optymalny dostęp do dziennego światła.         → OPIS NIERUCHOMOŚCI   Do apartamentu przynależy taras na dachu o pow. 200m2, z którego rozpościera się piękny widok na cały Kraków oraz Tatry.  Nieruchomość sprzedawana jest wraz dwoma miejscami postojowymi  w garażu podziemnym zaopatrzonymi  w ładowarkę samochodów elektrycznych. Dodatkowo  w cenie nieruchomości zawarta jest duża 12m2 komórka lokatorska.         → BUDYNEK   ﻿Mieszkanie znajduje się na piątym piętrze 4 piętrze nowoczesnego budynku.          → LOKALIZACJA   Apartament jest idealnym miejscem dla osób ceniących sobie spokój. W pobliżu znajduje się centrum handlowo-rozrywkowe Multikino, Aquapark, Galeria Handlowa Serenada (ok 500m)  oraz pętla autobusowa, co zapewnia sprawny dojazd do Dworca Głównego (Galerii Krakowskiej) oraz Ronda Mogilskiego         → OPŁATY   Cena 2 522 000 PLN zawiera  miejsce w parkingu podziemnym,  zawiera komórkę lokatorską       Prosimy o kontakt z naszym biurem w przypadku zainteresowania ta ofertą.      Numer oferty: 17303   - - - - - - - - - - - - - - - - - - - - - - - - - - - - - - - - - - - - - - - - - - - - - - - - - -   A comfortable, spacious apartment with a view of the Tatra Mountains    Hamilton May is pleased to present a unique, comfortable apartment located on the border of the Reduta Park with a 200m2 viewing terrace with a beautiful panorama of the city and the Tatra Mountains. The apartment has an area of 194 m2 and consists of a spacious living room with access to the main terrace (60 m2) and a balcony (17 m2), an open and modern kitchen with access to the breakfast terrace, master bedroom with sauna, dressing room and large bathroom, second bedroom, office, hall and a second bathroom. The apartment has large glazed windows providing the apartment with optimal access to daylight.      → PROPERTY DESCRIPTION   The apartment includes a roof terrace with an area of 200m2, from which there is a beautiful view of the whole of Krakow and the Tatra Mountains. The property is sold with two parking spaces in the underground garage equipped with an electric car charger. Additionally, the price of the property includes a large 12m2 storage room.          → BUILDING    The apartment is located on the fifth floor, 4th floor of a modern building.         → LOCATION   The apartment is an ideal place for people who value peace. Nearby there is the Multikino shopping and entertainment center, Aquapark, Serenada Shopping Center (about 500m) and a bus terminus, which ensures efficient access to the Main Railway Station (Galeria Krakowska) and Rondo Mogilskie         → PRICING   Price 2,522,000 PLN including  underground parking place,  including storage space       Please contact our office if you are interested in this offer.      Reference number: 17303    </t>
  </si>
  <si>
    <t>https://otodom.pl/pl/oferta/piekny-apartament-z-widokiem-natatry-ID4fxu2</t>
  </si>
  <si>
    <t>4fxu2</t>
  </si>
  <si>
    <t>Apartament SUNDAY Resort Ustronie Morskie</t>
  </si>
  <si>
    <t xml:space="preserve">SUNDAY Resort Ustronie Morskie jest kameralnym, całorocznym kompleksem dwóch budynków z windami oraz częścią rekreacyjną. Łącznie przewidujemy oddanie 59 samodzielnych lokali z łazienkami, aneksami kuchennymi i balkonami. Niewielka ilość apartamentów zapewni inwestycji prywatny, rodzinny charakter, daleki od zgiełku rozbudowanych molochów apart-hotelowych.
Mieszkania znajdujące się na poddaszu będą dwupoziomowe z częścią mieszkalną lub praktycznym schowkiem na strychu. W tych znajdujących się na parterze przewidzieliśmy ogródki lub tarasy.
Na terenie inwestycji znajdzie się:
- kryty basen
- jacuzzi
- sauna fińska
- parking z miejscami postojowymi ogólnodostępnymi dla mieszkańców.
Zadbaliśmy więc o to, żeby był to obiekt atrakcyjny dla mieszkańców niezależnie od pogody i pory roku.
Podana w niniejszej ofercie cena dotyczy apartamentów wykończonych w stanie deweloperskim. Istnieje możliwość skorzystania z opcji wykończenia lokalu „pod klucz” za dopłatą ujętą w cenniku. Dokładny opis standardu znajduje się w ogłoszeniach objętych tą formą wykończenia. Zapraszamy do zapoznania się z lokalami z naszej oferty, oznaczonymi w tytule „Pod Klucz”
Dla osób zainteresowanych indywidualnymi rozwiązaniami istnieje możliwość wykonania odrębnego projektu wnętrza, jego wyceny i realizacji.
Apartamenty oferowane w ramach inwestycji SUNDAY Resort są lokalami mieszkalnymi i objęte są 8% stawką VAT. Ceny podane w ogłoszeniu stanowią wartość brutto.
 O INWESTORZE
Jako inwestor – ARCHICORP – możemy pochwalić się wieloma realizacjami mieszkaniowymi. W każdej zwracamy uwagę na detale i nie szukamy kompromisów w kwestiach jakości. Dzięki doświadczonemu zespołowi i szerokiej bazie sprawdzonych wykonawców, realizujemy mieszkania „pod klucz” nie tylko w zakresie wykończenia ścian czy podłóg, ale również mebli, oświetlenia i dodatków. W naszym portfolio znajdują się prestiżowe obiekty mieszkalne AZURE Premium oraz WESTIN HOUSE Resort w Kołobrzegu. Zapraszamy do zapoznania się z jakością naszych usług na tych realizacjach.
O APARTAMENCIE
Apartament nr: 3, typ D
Piętro: Parter
Powierzchnia pod ściankami działowymi: 0,48m2
Powierzchnia użytkowa: 38,88m2
Powierzchnia ogrodu: 24,83m2
Powierzchnia tarasu: 7,21m2
Łącznie: 71,40m2
Ilość pokoi: 2
Cena brutto wraz z podatkiem 8% VAT: 460 150,00zł
Zamów bezpłatny katalog, aby zapoznać się z naszą inwestycją. Prześlij zamówienie na adres:[email title="kontakt"], a niezwłocznie prześlemy do Ciebie komplet materiałów.
Serdecznie zapraszamy,
Zespół ARCHICORP
</t>
  </si>
  <si>
    <t>https://otodom.pl/pl/oferta/apartament-sunday-resort-ustronie-morskie-ID4jrRc</t>
  </si>
  <si>
    <t>4jrRc</t>
  </si>
  <si>
    <t>apartament bez prowizji biuro sprzedaży dewelopera</t>
  </si>
  <si>
    <t xml:space="preserve">Możliwość przesłania pełnej dostępności lokali.✔️ BEZ PROWIZJI OD KUPUJĄCEGO,✔️ WSPARCIE AGENTA AŻ DO ODEBRANIA KLUCZY,✔️ PODANA CENA TO CENA NETTO. ISTNIEJE MOŻLIWOŚĆ ODLICZENIA PODATKU VAT. WYJAŚNIĘ SZCZEGÓŁY,✔️ POMOC PRAWNO-PODATKOWA PRZY OBSŁUDZE APARTAMENTU I W PROCESIE ZWROTU VAT,✔️ KUPUJĄCY ZWOLNIONY JEST RÓWNIEŻ Z PODATKU PCC 2%,✔️ OPCJA WYKOŃCZENIA POD KLUCZ,✔️ PROJEKTOWANE PRZEZ BIURO ARCHITEKTONICZNE KARPIEL&amp;amp;STEINDEL, GENERALNY WYKONAWCA VISION BUILD. BIURO OTRZYMAŁO NIEJEDNOKROTNIE PRESTIŻOWE WYRÓŻNIENIE EUROPEAN PROPERTY AWARDS!Apartamenty Cyrhla to inwestycja, która składać się będzie z czterech pięknych apartamentowców. W każdym z nich znajduje się 12 apartamentów. Cyrhla to miejsce magiczne, gdzie natura zachwyca swoim niepowtarzalnym pięknem. Jest to najwyżej położona część Zakopanego, dlatego powietrze jest znacznie czystsze niż gdziekolwiek indziej, dzięki czemu goście będą z przyjemnością wspominać wspaniały wypoczynek. Z dala od zgiełku miasta, szumu ulicy, gęstych zabudowań, a jednocześnie tylko 14 minut od Krupówek. Lokalizacja ta daje możliwość cieszyć się spokojem i prywatnością, jednocześnie pozwalając aktywnie uczestniczyć we wszelkiego rodzaju aktywnościach, które oferuje Zakopane. ✔️ Projekt obiektu łączy nowoczesność z tradycyjnymi elementami architektury regionu. ✔️ Do wykończenia zastosowane zostaną najwyższej jakości naturalne materiały. ✔️ Wysoki standard z pewnością sprosta oczekiwaniem nawet najbardziej wymagających osób.✔️ Nieruchomość znajduje się na wzniesieniu, dzięki temu okolica cechuje się czystym powietrzem. Wpływa to znacznie na samopoczucie mieszkańców.✔️ Dodatkowo nieopodal znajduje się szlak spacerowy.✔️ Apartamenty sprzedawane są w stanie deweloperskim.✔️ Na terenie inwestycji znajdować się będzie sauna, aby umilić pobyt mieszkańcom.✔️ Dla każdego apartamentu jest miejsce parkingowe.✔️ Wyjście na prywatny taras.✔️ Świetna baza do wypadu na szlaki: Giewont 3h, Morskie Oko 4h, Kasprowy Wierch 3h.✔️ Wykończenie pod klucz dostępne w ofercie. W standardzie wykończenia granitowe blaty, sprzęt AGD renomowanej firmy Bosh i Miele, w dodatku profesjonalny odkurzacz PROFI gratis. Szczegóły przekażę podczas rozmowy telefonicznej.Są dostępne również inne apartamenty w tej inwestycji.Osoba odpowiedzialna za tą inwestycję - Filip Zaliszewski.Więcej szczegółów podam podczas kontaktu telefonicznego lub na spotkaniu.Zapraszam do kontaktu!Powyższa oferta ma charakter informacyjny i nie stanowi oferty handlowej w rozumieniu art. 66 §1 Kodeksu Cywilnego
Oferta wysłana z programu dla biur nieruchomości ASARI CRM ()
</t>
  </si>
  <si>
    <t>https://otodom.pl/pl/oferta/apartament-bez-prowizji-biuro-sprzedazy-dewelopera-ID4l8ln</t>
  </si>
  <si>
    <t>4l8ln</t>
  </si>
  <si>
    <t>2-pokojowe mieszkanie z widną kuchnią.</t>
  </si>
  <si>
    <t>Boguszów, Boguszów-Gorce, wałbrzyski, dolnośląskie</t>
  </si>
  <si>
    <t>Oferta dostępna wyłącznie w naszym biurze.   Oferuję do sprzedaży przytulne, 2-pokojowe mieszkanie wraz z dużą kuchnią  łazienką i przedpokojem w spokojnej i zielonej części Boguszowa-Gorc. Mieszkanie położone jest na 2 piętrze kilkurodzinnego, ocieplonego budynku po kapitalnym remoncie dachu oraz elewacji. Ponadto w budynku została wymieniona instalacja gazowa. Samo mieszkanie dodatkowo ocieplone zostało od środka węłną mineralną, a co za tym idzie jest niezwykle ciepłe. W pobliżu wiele terenów zielonych i tras spacerowych, a ponadto liczne sklepy, punkty usługowe oraz szkoła. CENA PODLEGA NEGOCJACJOM! Serdecznie polecam i zapraszam na prezentację.   Opis oferty sporządzony jest na podstawie oględzin nieruchomości oraz informacji uzyskanych od właściciela. Może podlegać aktualizacji i nie stanowi oferty handlowej w rozumieniu Kodeksu Cywilnego.   Prosimy pamiętać, że do ceny transakcyjnej należy doliczyć podatek PCC, opłatę sądową, taksę notarialną i prowizję biura nieruchomości  Oferta wysłana z programu dla biur nieruchomości ASARI CRM ()</t>
  </si>
  <si>
    <t>https://otodom.pl/pl/oferta/635-14328-oms-ID4mmq9</t>
  </si>
  <si>
    <t>4mmq9</t>
  </si>
  <si>
    <t>Apartament dwupoziomowy z ogródkiem i balkonem</t>
  </si>
  <si>
    <t>Na sprzedaż apartament dwupoziomowy uroczo położony w otoczeniu lasu i 5 minut spacerkiem do morza.Pow apartamentu -47m2Pokoje -3Kuchnia -1miejsce parkingowe -1Na sprzedaż apartament dwupoziomowy uroczo położony w otoczeniu lasu i 5 minut spacerkiem do morza.Apartament znajduje się w kompleksie 12 apartamentów, które są w pełni wyposażone i gotowe do własnego użytku bądź sezonowego wynajmu.Do każdego sprzedawanego apartamentu przynależy miejsce parkingowe, cały ośrodek jest ogrodzony, do apartamentów dociągnięty jest internet i telewizja.Do dyspozycji właścicieli apartamentów jest również plac zabaw dla dzieci, który jest częścią wspólną.ROZKŁAD:PARTER:Pokój dzienny z aneksem kuchennym 16,26 m2Aneks od 4,69 m2Łazienka 3,05 m2Pietro1 Sypialnia od 869 m22 Sypialnia od 8,05 m2Apartamenty będą sprzedawane jako pełna własność, cena jest ceną brutto.POMAGAMY W UZYSKANIU CERTYFIKATU ENERGETYCZNEGO.Z miłą chęcią udzielę Państwu więcej informacji na temat tej nieruchomości. Zapraszam do kontaktu telefonicznego lub mailowego.-Treść niniejszego ogłoszenia nie stanowi oferty handlowej w rozumieniu Kodeksu Cywilnego. Treść ma charakter informacyjny i zalecamy ich osobistą weryfikację. Kontaktując się z biurem Klient wyraża zgodę na przetwarzanie danych osobowych zgodnie z przepisami ustawy z dnia 29 sierpnia 1997 roku o ochronie danych osobowych / Dz.U.Nr. 133 poz. 883/. Klientowi przysługuje prawo do wglądu do swoich danych osobowych i ich aktualizacji.</t>
  </si>
  <si>
    <t>https://otodom.pl/pl/oferta/apartament-dwupoziomowy-z-ogrodkiem-i-balkonem-ID4lod2</t>
  </si>
  <si>
    <t>4lod2</t>
  </si>
  <si>
    <t>Po remoncie 3 pok.- 15 min od Centrum</t>
  </si>
  <si>
    <t>Gocław, Praga-Południe, Warszawa, mazowieckie</t>
  </si>
  <si>
    <t>Dwustronne i ustawne mieszkanie (59m2) na Pradze Południe w niskim budynku, kameralna lokalizacja z szybkim dojazdem do centrum.Aktualnie 3 niezależne pokoje, jasny aneks kuchenny, duża loggia z widokiem na zieleń.Mieszkanie po remoncie, doskonale sprawdzi się jako wygodne i przestronne mieszkanie dla rodziny lub inwestycyjnie, na wynajem.Budynek z lat 70-tych, w dobrym stanie, ocieplony. Jedynie 2 lokale na piętrze. Dodatkowo lokalu dodatkowo przynależy piwnica.Możliwość parkowania na parkingu obok budynku.W najbliższej okolicy bogata infrastruktura handlowo-usługowa - m.in. sklepy, restauracje, centrum handlowe Atrium Promenada.Do przystanku autobusowego zaledwie 2 minuty. Dojazd do centrum zajmuje około 15 minut. W okolicy tereny rekreacyjne, boiska, plac zabaw. Pełna własność. Potrzebujesz wsparcia kredytowego? Nie ma problemu!Uprzejmie zapraszamy na prezentację mieszkania w dogodnym dla Państwa terminie. Oferta dostępna wyłącznie w Liberto Estate. Prezentowana powyżej oferta ma charakter wyłącznie informacyjny i nie stanowi oferty handlowej w rozumieniu art. 66 par. 1 Kodeksu Cywilnego.We speak English. Oferta wysłana z programu dla biur nieruchomości ASARI CRM ()</t>
  </si>
  <si>
    <t>https://otodom.pl/pl/oferta/po-remoncie-3-pok-15-min-od-centrum-ID4l4BU</t>
  </si>
  <si>
    <t>4l4BU</t>
  </si>
  <si>
    <t>Apartament W Nadmorskiej Jastarni</t>
  </si>
  <si>
    <t>ul. Spokojna, Jastarnia, Jastarnia, pucki, pomorskie</t>
  </si>
  <si>
    <t>NA SPRZEDAŻ APARTAMENT ok 108 m2 BARDZO BLISKO MORZA ZATOKI PLAŻY i PORTU JACHTOWEGO W  JASTARNIGłówne atuty nieruchomości: • w pełni wykończony lokal • zabudowa kuchni i sprzęt w cenie• ogródekNieruchomość złożona z: • pokój 17,2 m.kw• kuchnia zamykana z oknem 11 m.kw• łazienka 3 m.kw• wiatrołap 3,4 m.kw• pokój 14,5 m.kw• pokój 12 m.kw• pokój 13,2 m.kw• garderoba 1,5 m.kw• korytarz 8 m.kw• antresola 13,2 m.kw• antresola 11 m.kw W skład nieruchomości wchodzą też:• balkon• miejsce parkingowe• taras• ogródekTyp ogrzewania: ogrzewanie elektryczne. Typ własności: własność. Zamknij oczy i poczuj:WIATR WE WŁOSACHMORSKĄ BRYZĘPROMIENIE SŁOŃCA NA TWARZYPIASEK I FALE WODY POD STOPAMITo wszystko możesz mieć kupując oferowaną nieruchomość :) i nie tylko to.Oferuję Państwu apartament ok 108 m2, po generalnym remoncie, przygotowanym pod wynajem lub korzystania do własnego użytku aby móc cieszyć się urokami i możliwościami jakie daje nam Jastarnia.W skład nieruchomości wchodzą:POZIOM I ok 35 m2: salon z wyjściem na taras, kuchnia, łazienka, hol.POZIOM II Z ANTRESOLAMI ok 73 m2 : 3 pokoje w tym jeden z wyjściem na balkon, a 2 z antresolami, komórka, hol.STAN TECHNICZNY: IDEALNY !!!! nowe okna PCV 3 szybowe, klimatyzacja z funkcją grzania, na podłogach wysokiej jakości panele, łazienka w glazurze, nowe wszystkie instalacje.Jastarni nie trzeba reklamować, to wyjątkowe miejsce pomiędzy morzem, a zatoką. Zwolennicy i pozytywni szaleńcy na punkcie sportów wodnych " kitesurfing " kochają to miejsce i bardzo chętnie tu przyjeżdżają przez cały rok.To wyjątkowe miejsce zapewnia jeszcze wiele innych atrakcji: niekończące się ścieżki rowerowe, molo, szkółki kitesurfingu, place zabaw, wiele kawiarni i restauracji i NAJWAŻNIEJSZE MORZE, PLAŻE i ZATOKĘ.KUP BO WARTO i NIE TRAĆ NA INFLACJI !KUP I SPEŁNIJ SWOJE MARZENIE :)ZADZWOŃ: 690 042 873.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</si>
  <si>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https://otodom.pl/pl/oferta/apartament-w-nadmorskiej-jastarni-ID4jJJV</t>
  </si>
  <si>
    <t>4jJJV</t>
  </si>
  <si>
    <t>A2- 2 pokoje, pomieszczenie gospodarcze + ogródek</t>
  </si>
  <si>
    <t xml:space="preserve"> Dwupokojowy lokal mieszkalny numer A2, z pomieszczeniem gospodarczym oraz zielonym tarasem, usytuowany na parterze budynku, składający się z:
- holu o powierzchni użytkowej 6,11 m2.
- łazienki o powierzchni użytkowej 4,05 m2.
- salonu z aneksem kuchennym o powierzchni użytkowej 26,69 m2.
- sypialni o powierzchni użytkowej 10,49 m2.
- pomieszczenia gospodarczego o powierzchni użytkowej 1,75 m2.
 o łącznej powierzchni użytkowej 49,09 m2.
Do lokalu przynależy zielony taras o powierzchni 41,66 m2.
Osiedle Park Weltzla w Żorach, to nowa inwestycja realizowana przez Spółkę Domy Śląskie Sp. z o.o., w ramach której powstanie 127 lokali mieszkalnych w trzech budynkach i łącznie 190 miejsc postojowych w garażach podziemnych oraz przed budynkami. W każdym z budynków na wysokim parterze zaprojektowano mieszkania z ogródkiem, a na ostatnich piętrach - mieszkania z tarasem.
Inwestycja realizowana będzie w dwóch etapach:
W pierwszym etapie powstanie budynek nr 2 - segment C w skład którego wchodzi 39 lokali mieszkalnych o powierzchniach od 41,41 m2 do 121,38 m2 oraz dwa poziomy garaży podziemnych.
W drugim etapie powstanie budynek nr 1 w skład którego wchodzi segment A, składający się z 44 lokali mieszkalnych o powierzchniach od 41,51 m2 do 74,68 m2 oraz dwa poziomy garaży podziemnych, a także segment B w skład którego wchodzą 44 lokale mieszkalne o powierzchniach od 41,51 m2 do 74,68 m2 plus dwa poziomy garaży podziemnych.
W ramach całego przedsięwzięcia powstanie również budynek nr 3, który będzie dodatkowym parkingiem podziemnym.
Realizacja inwestycji zaplanowana jest na lata 2023. – 2025.
Osiedle Park Weltzla to przede wszystkim nowoczesna architektura budynków, funkcjonalność mieszkań, komfort i bezpieczeństwo, jak również:
Doskonała lokalizacja pod względem skomunikowania ze wszystkimi dzielnicami Żor oraz sąsiadującymi miastami - dzięki bezpośredniemu dostępowi do lokalnych rozwiązań komunikacyjnych i drogowych. Znajdujące się w najbliższym otoczeniu m.in.: szkoły, żłobek, przedszkola, ośrodki zdrowia, ośrodki sportowe, sklepy oraz Rynek Żor sprawiają, że inwestycja staje się jeszcze bardziej atrakcyjna i przyjazna dla potencjalnych mieszkańców.
Osiedle będzie monitorowane i w pełni ogrodzone, zapewniając mieszkańcom poczucie prywatności i bezpieczeństwa.
Wjazd na teren osiedla zapewniony jest od ulicy Handlowej, a dostęp do bramy wjazdowej będą mieli tylko mieszkańcy osiedla. Pilot do jej obsługi posiadać będzie każdy nabywca mieszkania. Dla osób, które nabędą miejsca postojowe w garażach podziemnych, piloty będą dodatkowo obsługiwać bramy tych garaży. Pod każdym z budynków garaże zaprojektowano na dwóch podziemnych poziomach, a osobny garaż podziemny stanowić będzie dodatkowe miejsca postojowe dla mieszkańców.
Zagospodarowanie terenu osiedla poprzez liczne tereny zielone, plac zabaw czy strefę relaksu, zachęci mieszkańców do spędzania wolnego czasu na świeżym powietrzu.
W obu segmentach mieszkalnych zaplanowano 13 osobowe windy, którymi dostaniemy się na każdy poziom mieszkalny i oba poziomy garaży.
Większość mieszkań ma wyjście na balkon/taras zarówno z salonu jak i sypialni.
Mieszkania posiadają oddzielne pomieszczenie gospodarcze przeznaczone na pralkę i suszarkę, dzięki czemu w pełni można wykorzystać powierzchnię łazienki.
Zastosowanie w mieszkaniach ogrzewania podłogowego zasilanego z sieci miejskiej, to komfort zarówno pod względem użytkowym jak i finansowym.
Na miejscach postojowych w garażach podziemnych istnieje możliwość zabudowy ażurowych boksów, pełniących funkcję komórek lokatorskich.
</t>
  </si>
  <si>
    <t>https://otodom.pl/pl/oferta/a2-2-pokoje-pomieszczenie-gospodarcze-ogrodek-ID4l2ZU</t>
  </si>
  <si>
    <t>4l2ZU</t>
  </si>
  <si>
    <t>Apartament 3 pokojowy w Deo Plazie /Piękny Widok</t>
  </si>
  <si>
    <t>ul. Chmielna, Śródmieście, Gdańsk, pomorskie</t>
  </si>
  <si>
    <t>Wyjątkowa inwestycja na mapie Europy, łącząca w sposób harmonijny historię miejsca ze współczesnymi oczekiwaniami. Deo Plaza na Wyspie Spichrzów to nowe centrum biznesowe, turystyczne i wypoczynkowe Gdańska. To miejsce oferujące luksusowe apartamenty w najbardziej pożądanej lokalizacji w mieście.Na powierzchni użytkowej około 40 tys m2 powstały komfortowe apartamenty inwestycyjne i luksusowy, czterogwiazdkowy hotel dla spragnionych wypoczynku oraz strefa handlowo-usługowa z restauracjami i kawiarniami. Do dyspozycji mieszkańców i gości jest dwupoziomowy parking podziemny z ponad 200 miejscami postojowymi oraz strefa SPA z basenem i saunami.Zaprojektowany kompleks łaczy starogdański styl architektoniczny wzbogacony i nowoczesne wykończenie. Zachowana została wysokość budynków i strzelistość dachów. Ciekawym rozwiązaniem są elewacje wykonane z wysokiej jakości kamienia, ceramiki, dużej ilości przeszkleń oraz stali (również korodowanej), cegły czy betonu. Wysoka jakość materiałów wykończeniowych wewnątrz budynku, reprezentacyjne części wspólne oraz cichobieżne windy dopełniają obrazu luksusowej inwestycji.Inwestycja oddana do użytku w IQ2020.Apartament wykończony o powierzchni użytkowej wraz z pomieszczeniami przynależnymi  98,77 m2. Znajduje się na 2 piętrze Deo Plazy od strony Motławy. Piękny widok i życie w centrum wydarzeń Wyspy Spichrzów, obecnego serca całego Śródmieścia Gdańska powodują że jest to nieruchomość dobra zarówno dla inwestora jak i do zamieszkania.Apartament składa się: - z salonu z aneksem kuchennym z prywatną łazienką- 2 sypialni z łazienkami- przedpokojuApartament urządzony i przygotowany zarówno do zamieszkania jak i do prowadzenia działalności w formie najmu krótkoterminowego przy którym można skorzystać z usług operatora dedykowanego przez inwestycje Deo Plaza.Do apartamentu przynależy prywatne miejsce postojowe w hali garażowej obligatoryjny zakup w kwocie 200 000zł plus 2 komórki lokatorskie w cenie apartamentu.Łączna kwota sprzedaży powyższego apartamentu to 3 456 950 zł Kwota sprzedaży jest kwotą netto do której należy doliczyć 23% Vat. Kwota brutto 4252048zł plus 246000 brutto miejsce postojoweZapraszam na prezentacje wyjątkowej nieruchomości w wyjątkowym miejscu. TEKTON PROPERTY TO NAJLEPSZE BIURO NIERUCHOMOŚCI W POLSCE WG KONKURSU LIDER NIERUCHOMOŚCI OTODOM 2020.Znajdź nas w swoim mieście: Gdańsk, ul. Chmielna 10 - Warszawa, Plac Dąbrowskiego 1/311 - Wrocław, ul. Kasztanowa 3A/118 - Kraków, ul. Józefitów 7/4 - Poznań, ul. Rembertowska 15B/2 - Łódź, ul. Zachodnia 70 pok. 223.Podejmując współpracę z przedstawicielami Tekton Property zyskujesz:- oszczędność czasu- weryfikację dokumentów od strony formalno-prawnej- wsparcie agenta na każdym etapie transakcji- pomoc przy uzyskaniu kredytu hipotecznego w kilkunastu bankach- wgląd do umów przed zawarciem aktu notarialnego u sprawdzonych Notariuszy- własne analizy makroekonomiczne i raporty z prowadzonych działań- dostęp do cen transakcyjnych z okolicy Skontaktuj się z opiekunem oferty, a on poprowadzi Cię przez wszystkie etapy transakcji.Zapraszamy do współpracy!Niniejsze ogłoszenie nie stanowi oferty handlowej w rozumieniu przepisów art. 66 k.c., a przedstawione dane mają charakter informacyjny.</t>
  </si>
  <si>
    <t>https://otodom.pl/pl/oferta/apartament-3-pokojowy-w-deo-plazie-piekny-widok-ID46Dhv</t>
  </si>
  <si>
    <t>46Dhv</t>
  </si>
  <si>
    <t>Plac Unii Centrum lux 3 pok blisko morze</t>
  </si>
  <si>
    <t>ul. Obrońców Wybrzeża, Śródmieście, Gdynia, pomorskie</t>
  </si>
  <si>
    <t>Na sprzedaż apartament położony w nowej inwestycji PLAC UNII znajdującej się w sercu miasta. Oznacza to pełną dostępność udogodnień występujących w centrum, takich jak komunikacja (SKM i PKM), gastronomia, obiekty handlowe, służba zdrowia, wszelkie usługi. Najważniejszym czynnikiem lokalizacji jest bliskość nadmorskich parków, bulwaru, mariny czy plaży. W sąsiedztwie znajduje się również świat kultury i sztuki. Znajdziemy tu najważniejsze gdyńskie ośrodki kultury, takie jak Gdyńskie Centrum Filmowe wraz z Gdyńską Szkołą Filmową oraz największy w Polsce Teatr Muzyczny im. Danuty Baduszkowej. Architektura Placu Unii nawiązuje do najlepszych tradycji gdyńskiego modernizmu czerpiąc to, co najlepsze z kanonów architektury z początku XX w. i płynnie wpisując się w obecną tkankę miejską. Plac wewnętrzny zagospodarowany został parkową zielenią, powstają tu kawiarniane ogródki i lokale usługowe. Umieszczono tu elementy małej architektury, fontanny oraz starannie zaprojektowane oświetlenie. Pod całością kompleksu znajduje się dwupoziomowa hala garażowa, której jedna z kondygnacji zachowała ogólnodostępny charakter. Apartament położony jest na ostatniej kondygnacji. Składa się z przestronnego salonu połączonego z aneksem kuchennym, 2 sypialni i 2 łazienek. Elegancko wykończony z zastosowaniem materiałów najwyższej jakości. Z salonu oraz sypialni istnieje możliwość wyjścia na taras z widokiem na panoramę miasta. Cena obejmuje pełne wyposażenie (meble stałe i ruchome, dodatki i obrazy cenionych artystów). Do apartamentu przynależy miejsce parkingowe w hali garażowej oraz komórka lokatorska dodatkowo płatne 60.000 zł.Prezentowana oferta ma charakter informacyjny, nie stanowi oferty handlowej w rozumieniu Art. 66 par. 1 Kodeksu Cywilnego.</t>
  </si>
  <si>
    <t>https://otodom.pl/pl/oferta/plac-unii-centrum-lux-3-pok-blisko-morze-ID4lgeV</t>
  </si>
  <si>
    <t>4lgeV</t>
  </si>
  <si>
    <t>NOWE A1 Mieszkanie Bezczynszowe 50m2 W. sady II</t>
  </si>
  <si>
    <t>Górka Gołonoska, Gołonóg Wschodni, Dąbrowa Górnicza, śląskie</t>
  </si>
  <si>
    <t>WIŚNIOWE SADY zlokalizowane w wyjątkowej dzielnicy Dąbrowa Górnicza Gołonóg-Wzgórze Gołonoskie przy ul. Działki 39 (południowa strona Wzgórza Gołonoskiego). Zdjęcia przedstawiają sprzedawane mieszkanie . W pobliżu sklepy, apteki, przychodnia, szkoła, przystanek autobusowy i tramwajowy. Jezioro Pogoria 3,4 oraz park Zielona oddalone  3 km . Liczne trasy rowerowe . Malownicza, cicha i spokojna okolica .Mieszkanie gotowe do zamieszkania .W pełni wykończone w wysokim standardzie  wraz z wyposażeniem AGD. Kuchnia oraz łazienka w pełni wyposażona.   Przedstawione zdjęcia są autentyczne i przedstawią oferowane mieszkanie  Odebrane  06-2023.  Mieszkanie nowe. Nie było zamieszkiwane.
Apartament  na 1 piętrze wraz z balkonem ,
duża przestronna klatka schodowa (jedynie 2 mieszkania)
Okna PCV 3 szybowe.
Drzwi antywłamaniowe.
Budynek z elewacją,  docieplony styropianem 15 cm 
Czynsz wraz z opłatami: mieszkanie bezczynszoweOpłaty wg zużycia: woda, prąd, gaz, śmieci
Dostępny również garaż  (3,5m x ,5m ) z automatyczną bramą oraz dodatkowym miejscem parkingowym w cenie 70 000 zł ( ostatnie zdjęcie przedstawia garaż , miejsce P oraz powyżej balkon mieszkania .Dostępne mediaOgrzewanie podłogowe oraz podgrzewanie wody: gazowe ( własny piec 2-funkcyjny)Kanalizacja
prąd Tauron G11Internet (DG-Net)TV kablowa</t>
  </si>
  <si>
    <t>https://otodom.pl/pl/oferta/a1-mieszkanie-bezczynszowe-50m2-wisniowe-sady-ii-ID4gZ0a</t>
  </si>
  <si>
    <t>4gZ0a</t>
  </si>
  <si>
    <t>Penthouse z widokiem na miasto - Wysoki Standard!</t>
  </si>
  <si>
    <t>ul. Długa, Nadodrze, Śródmieście, Wrocław, dolnośląskie</t>
  </si>
  <si>
    <t>Wrocław. Długa. Dwupokojowy apartament z tarasem położony na prestiżowym osiedlu blisko centrum.Główne atuty nieruchomości: • prestiżowa lokalizacja• wysoki standard wykończeń• zabudowa kuchni i sprzęt w cenieNieruchomość złożona z: • salon z jadalnią 36,5 m.kw• sypialnia 21 m.kw• łazienka 7 m.kw• przedpokój 5,5 m.kw W skład nieruchomości wchodzą też:• komórka lokatorska• miejsce parkingowe• tarasTyp ogrzewania: ogrzewanie miejskie. Typ własności: własność. Na sprzedaż 2 pokojowy apartament 70,19 m.kw z dużym tarasem z widokiem na miasto!Apartament wykończony w wysokim standardzie - samo jego wykończenie kosztowało ponad 300 000 zł. Lokal  znajduje się na 8 piętrze budynku Odra House i składa się z przedpokoju, salonu z aneksem kuchennym, jadalni, sypialni i łazienki. Z sypialni i salonu mamy wyjście na duży taras. Zarówno salon jak i sypialnia została dobrze doświetlona przez zastosowanie przeszklonych ścian. Okna w apartamencie są dźwiękoszczelne, antysolaryczne i posiadają filtr UV. Wysokość pomieszczeń to aż 340 cm! Osiedle jest ogrodzone i pięknie oświetlone, a do dyspozycji mieszkańców jest recepcja oraz siłownia. Rynek, Uniwersytet i inne atrakcje miasta znajdują się zaledwie w zasięgu 10 minut spacerem. Do mieszkania można dokupić miejsce postojowe w garażu podziemnym w cenie 60 000 zł, i 2 komórki w cenie 60 000 złApartamenty i Mieszkania Odra House zdobyły 3 nagrodę Prezydenta Wrocławia w konkursie Piękny Wrocław w kategorii budynek mieszkalny wielorodzinny oraz zostały wyróżnione w konkursie na Fasadę Roku 2009 w kategorii Nowy budynek powyżej 1000 m2. Osiedle często wybierane przez wymagających klientów.ZADZWOŃ: 668 862 833.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</si>
  <si>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https://otodom.pl/pl/oferta/penthouse-z-widokiem-na-miasto-wysoki-standard-ID3S37q</t>
  </si>
  <si>
    <t>3S37q</t>
  </si>
  <si>
    <t>Lokal na I piętrze pod inwestycję ! Mazowiecka 29!</t>
  </si>
  <si>
    <t>ul. Mazowiecka, Bocianowo, Bydgoszcz, kujawsko-pomorskie</t>
  </si>
  <si>
    <t>Na sprzedaż lokal znajdujący się na pierwszym piętrze w rewitalizowanej kamienicy przy ul. Mazowieckiej 29.
Lokal przy Patio z oknami na wewnętrzny dziedziniec . Rzut w zdjęciach ogłoszenia. Lokal w stanie do remontu.
Lokal znajduje się na I piętrze i ma powierzchnię 25,02 m2. Do mieszkania przynależy również piwnica ok 2 m2.Lokal  o funkcjonalny układzie prostokąta jest w stanie do remontu. Do lokali została doprowadzona nowa instalacja elektryczna, domofonowa, telewizyjna, internetowa, hydrauliczna i kanalizacyjna. W lokalu  zamontowana została nowa instalacja ogrzewania miejskiego wraz z grzejnikami.W kamienicy wykonany został remont części wspólnych :- dachu- wymiana wszystkich instalacji- podłączenie ogrzewania miejskiego- klatek schodowychSpecjalizujemy się w lokalach mieszkalnych, w szczególności posiadamy na sprzedaż mieszkania pod wynajem, które gwarantują wysoki zwrot z inwestycji (np. zakup 118 000 , czynsz do uzyskania: 1200 zł miesięcznie + opłaty, zwrot z inwestycji &amp;gt; 10% rocznie + wzrost wartości nieruchomości .
Zapraszam do zapoznania się z pełną ofertą wszystkich mieszkań w budynku. Zapraszam na spotkanie. 
„Powyższa oferta ma charakter informacyjny i nie stanowi oferty handlowej w rozumieniu art. 66 §1 Kodeksu Cywilnego”</t>
  </si>
  <si>
    <t>https://otodom.pl/pl/oferta/lokal-na-i-pietrze-pod-inwestycje-mazowiecka-29-ID4lBIN</t>
  </si>
  <si>
    <t>4lBIN</t>
  </si>
  <si>
    <t>4 pokoje w nowej inwestycji na Płaszowie</t>
  </si>
  <si>
    <t>Dzień dobry,Prezentuję na sprzedaż mieszkanie w zielonej inwestycji blisko bulwarów wiślanych Najważniejsze Informacje:* termin realizacji do 31.07.2023 roku * 7 pięter (winda)* miejsca postojowe w garażu podziemnym* komórki lokatorskie na piętrach oraz na poziomie -1* place zabaw dla dzieci* wygodne alejki osiedloweDo największych atutów tej inwestycji możemy zaliczyć:- przemyślane układy mieszkań,- bliskość zielonych terenów rekreacyjnych między innymi Zalew Bagry,- Park Rzeczny Ogród Płaszów- całoroczne Centrum Sportów Zimowych w Płaszowie- ścieżki rowerowe- zalew Bagry- przystań żeglarska- sklepy- dobra infrastruktura - w okolicy znajdują się szkoły, przedszkola, sklepy, Lidl, Biedronka- komunikacja: Autobus 600 metrów, Tramwaj 900 metrów.- odległość od Centrum: 5,5 km.Mieszkania dostępne w systemie 10/90%.Przedstawiona oferta cenowa ma charakter informacyjny i nie stanowi oferty handlowej w rozumieniu Art.66 par.1 Kodeksu CywilnegoPowyższa oferta ma jedynie charakter informacyjny i nie stanowi oferty handlowej w rozumieniu Art. 66 § 1 Kodeksu CywilnegoD30</t>
  </si>
  <si>
    <t>https://otodom.pl/pl/oferta/4-pokoje-w-nowej-inwestycji-na-plaszowie-ID4l7Za</t>
  </si>
  <si>
    <t>4l7Za</t>
  </si>
  <si>
    <t>Apartament dwupoziomowy 111 m2, Julianów,Bema Park</t>
  </si>
  <si>
    <t>ul. gen. Józefa Bema, Julianów, Bałuty, Łódź, łódzkie</t>
  </si>
  <si>
    <t>Zapraszamy do kontaktu pod numerem telefonu:
694 644 006 oraz 784 611 377
Najnowsza kameralna inwestycja MAXBUD APARTMENTS - FOX - BEMA PARK położona w prestiżowej dzielnicy Julianów.
Bema Park to dwa dwupoziomowe apartamenty z poddaszem i własnym ogródkiem o powierzchni 123 m2 każdy w zabudowie bliźniaczej.
Przestronny apartament składać się będzie z salonu z aneksem kuchennym, 3 sypialni, 2 łazienek, gabinetu, pralni oraz pomieszczenia gospodarczego zlokalizowanego na poddaszu.
Inwestycja zostanie oddana do użytku w stanie deweloperskim podwyższonym: tynki mechaniczne gipsowe 3 kat., instalacja elektryczna z białym montażem gniazd i włączników, instalacja wodno-kanalizacyjna, gazowa, alarmowa, internetowa oraz c.o podłogowe, klimatyzacja, rekuperacja, odkurzacz centralny, video-domofon.Drzwi wejściowe antywłamaniowe , stolarka okienna PCV. Cały teren zostanie ogrodzony, a do każdego apartamentu przynależeć będą dwa zadaszone miejsca postojowe.
Bema Park na tle innych inwestycji wyróżni elegancka, nieszablonowa bryła budynku, która spełni oczekiwania nawet najbardziej wymagających Klientów i niewątpliwie ważnym punktem jest jej położenie: otoczenie domów jednorodzinnych lub wielorodzinnych rezydencji, naturalne rozlewisko wodne, Park Julianowski i Las Łagiewnicki stanowią o niepowtarzalnym charakterze miejsca.
W najbliższym otoczeniu nie zabraknie punktów handlowo-usługowych, medycznych, rekreacyjnych i placówek oświaty które ułatwią codzienne życie.
UWAGA!!! Cena promocyjna tylko do 30.04.2023. Zapraszamy do kontaktu</t>
  </si>
  <si>
    <t>https://otodom.pl/pl/oferta/apartament-dwupoziomowy-111-mkw-blizniak-ID4imk8</t>
  </si>
  <si>
    <t>4imk8</t>
  </si>
  <si>
    <t>Apartamenty KASPROWICZA | apartament C509</t>
  </si>
  <si>
    <t>Przedmiotem ogłoszenia jest 2-pokojowy  apartament  położony na 5 piętrze w NOWO POWSTAJĄCEJ inwestycji Apartamenty KASPROWICZA w Kołobrzegu.
Idealna lokalizacja - strefa nadmorska. 400 m do plaży !
To przestronny lokal o powierzchni 38,58 m kw.
Lokal w stanie developerskim. Właściciel sam decyduje o wykończeniu lokalu wg własnej aranżacji. Istnieje możliwość wykończenia lokali "pod klucz".
Budynek ze strefą basenu, saun, sali zabaw dla dzieci, siłownią. Dodatkowo planowana jest restauracja oraz gabinety SPA &amp;amp; WELLNESS.
Cechą inwestycji jest wysoki standard i świetna lokalizacja.
O inwestycji:
PUH AKCES Nieruchomości od 2018 roku realizuje przedsięwzięcie developerskie -  APARTAMENTY KASPROWICZA zlokalizowane w strefie uzdrowiskowej Kołobrzegu przy ul. Kasprowicza. 
Zamierzeniem inwestycyjnym jest wybudowanie kompleksu trzech budynków z pełnym zapleczem rekreacyjnym w postaci basenu, jacuzzi, saun, sauny solnej, siłowni, sali zabaw dla dzieci. Dodatkowo  właściciele lokali lub ich goście będą mogli korzystać z gabinetów przeznaczonych pod usługi Welles &amp;amp; SPA  oraz restauracji.
APARTAMENTY KASPROWICZA  to miejsce dedykowane osobom, które poszukując ciszy i relaksu w bliskim otoczeniu natury nie chcą rezygnować z komfortu i dostępności  atrakcji. Projekt inwestycji łączy w sobie wyjątkową lokalizację i dopracowaną koncepcję architektoniczną.
APARTAMENTY KASPROWICZA posiadają idealną lokalizację. Park nadmorski z szeroką plażą znajduje się w odległości 400 m. Bliskość morza i plaży oraz  dostęp do ścieżek rowerowych stwarza warunki do odpoczynku i aktywności fizycznej. Centrum miasta znajduje się w odległości 1,5 km. Do dworca PKP jest 500 m. Inwestycja zlokalizowana została w odległości kwadransa spaceru do molo oraz portu – głównej kołobrzeskiej promenady. Blisko, a jednocześnie daleko od skupisk turystów, ruchu miejskiego  czyni miejsce inwestycji wyjątkowym.
Zaletami naszej inwestycji jest pełna dowolność przyszłych  właścicieli apartamentów w zakresie sposobu ich wykorzystania:
o   brak wiążących, długoterminowych umów
o   pełna swoboda w wyborze operatora
o   możliwość wykorzystania lokali na cele własne, mieszkaniowe
o   brak jakikolwiek ograniczeń w korzystaniu z zakupionego lokalu, brak narzuconych  tzw. pobytów właścicielskich
Część rekreacyjna w zakresie części basenu (jacuzzi, sauny,sauny solna), siłowni oraz sali zabaw dla dzieci będzie częścią wspólną budynku C. To właściciele poszczególnych lokali będą o niej w pełni decydować. Będą mieć do niej pełny i swobodny dostęp. Koszty utrzymania kondygnacji parteru w części rekreacyjnej będą wkalkulowane w czynsze eksploatacyjne ponoszone na rzecz wspólnoty mieszkaniowej.
W planowanym etapie C dostępne będą lokale o powierzchni : od 29 do 54 m2   .
Przemyślane rozkłady apartamentów pozwalają na swobodną aranżację i optymalne wykorzystanie przestrzeni. Każdy lokal wyposażony jest w balkon, który obejmie całą długość lokalu. Duże przeszklenia (witryny), szklane balustrady sprawią, że wnętrza lokali będą jasne i przestronne. Apartamenty będą przekazywane w stanie developerskim, dając pełną swobodę nabywcą na ich wykończenie. Będzie istniała możliwość wykończenia lokali „pod klucz” na podstawie osobnej umowy i ustaleń.
 Lokale wyposażone w klimatyzację w cenie lokalu.
Wraz z apartamentem będzie istniała możliwość zakupu miejsca postojowego w hali garażowej lub miejsca zewnętrznego.
W odległości 300 m od inwestycji zlokalizowane są dwa ogólnodostępne parkingi miejskie (płatne), na których z powodzeniem można zostawić samochód.</t>
  </si>
  <si>
    <t>https://otodom.pl/pl/oferta/apartamenty-kasprowicza-apartament-c509-ID4chTR</t>
  </si>
  <si>
    <t>4chTR</t>
  </si>
  <si>
    <t>APartament 3pokoje 3balkony widok na kanał ROWY</t>
  </si>
  <si>
    <t>ul. Nadmorska, Rowy, Ustka, słupski, pomorskie</t>
  </si>
  <si>
    <t xml:space="preserve">PREZENTUJEMY NA SPRZEDAŻ W PEŁNI WYPOSAŻONY, LUKSUSOWY APARTAMENT O POW. 42,61M2 W NOWYM KOMPLEKSIE BUDYNKÓW W SAMYM CENTRUM ROWÓW Z WIDOKIEM NA KANAŁ PORTOWY!
APARTEMENT DLA WYMAGAJĄCYCH!
Proponujemy do sprzedaży wykończony apartament na pierwszym piętrze o powierzchni 42,61m2, składający się z pokoju z aneksem kuchennym, dwóch sypialni oraz łazienki z WC. Z każdego pokoju wyjście na słoneczne balkony z widokiem na kanał portowy w Rowach.
3-pokojowy w pełni wykończony, spójnie zaprojektowany apartament na zadbanym osiedlu przy ul. Nadmorskiej w Rowach. To idealna propozycja dla osób szukających kameralnej zabudowy oraz estetycznych, niebanalnych rozwiązań architektonicznych, zapewniających najwyższy komfort życia. Przyszli mieszkańcy będą mogli cieszyć się przestronnymi i funkcjonalnymi wnętrzami oraz pełną soczystej zieleni i nowoczesnych udogodnień przestrzenią osiedla. Budynek umiejscowiony jest w otoczeniu przyrody, którą docenią w szczególności rodziny, osoby aktywne zawodowo, jak również dojrzałe pary. Apartament oraz osiedle zapewniają pełną kameralność, prywatność, intymność oraz ciszę. Jest to doskonałe miejsce na realizowanie swoich pasji.
Atutem nieruchomości jest wspaniała lokalizacja. Charakter miejscowości czyni, iż jest to oferta skierowana do osób ceniących ciszę, spokój i bliskość natury. Niedaleka odległość od plaży Morza Bałtyckiego sprawia, iż nieruchomość idealnie nadaje się do celów zarobkowych. Dzielnica, której tradycją jest całoroczny wynajem pokoi. KUP i ZARABIAJ!
Apartament to powierzchnia 42,61m2, na którą składa się: salon z aneksem kuchennym (19,73m2) z wyjściem na słoneczny balkon z widokiem na kanał portowy, dwa pokoje sypialniane (10,73m2; 8,39m2) z wyjściami na balkony oraz łazienka z WC (3,76m2).
Mieszkanie to idealna przestrzeń dla osób poszukujących sprawdzonych i komfortowych rozwiązań. Przestronny pokój dzienny z aneksem kuchennym stanowi centrum mieszkania. Duże okna balkonowe sprawiają, że w pomieszczeniu jest słonecznie. Część wypoczynkowa z kanapą, stołem z to najlepsze miejsce na popołudniowy relaks i spotkania z przyjaciółmi. Kuchnia zabudowana funkcjonalnymi meblami, wyposażona w bardzo wysokiej jakości sprzęt AGD tj.: lodówka, zmywarka, płyta indukcyjna, piekarnik elektryczny, mikrofali oraz pochłaniacz. Z pokoju dziennego prowadzi wyjście na balkon z przepięknym widokiem na kanał portowy. W mieszkaniu została wydzielona strefa nocna, na którą składają się dwie sypialnia, każda z własnym balkonem. Łazienka z WC została zaprojektowana w każdym detalu. W całości wyłożona idealnie komponującą się ze sobą glazurą i terakot, wyposażona w prysznic narożny, umywalkę w zabudowie, toaletę oraz pralkę.
Komfortowy, w pełni wyposażony apartament, zlokalizowany w nowym kompleksie budynków stylizowanych na mur pruski, w samym centrum Rowów, 15m od kanału portowego, a 100m od szerokiej piaszczystej plaży. Do apartamentu jest przydzielone prywatne miejsce parkingowe, znajdujące się na ogrodzonym, monitorowanym terenie osiedla, do którego dostęp mają wyłącznie mieszkańcy apartamentów.
Rowy to mała miejscowość letniskowa nad Morzem Bałtyckim na Wybrzeżu Słowińskim. Położona jest pomiędzy Łebą a Ustką. Jest to miejscowość przede wszystkim nadmorska, jednak nie jest to jedyny zbiornik wodny. Rowy leżą także nad jeziorem Gardno. Miejscowość przypomina trochę Mierzeję Helską. Także jest to pas lądu ograniczony od dwóch stron wodą – z północy jest to Morze Bałtyckie a od strony południowej jezioro.
Atrakcje turystyczne w okolicy:
- Słowiński Park narodowy,
- ruchome wydmy w Łebie,
- latarnia morska w Ustce i Czołpinie,
- bunkry Buchera w Ustce,
- Muzeum Wsi Słowińskiej Skansen w Klukach,
- czerwony szlak turystyczny wiodący wzdłuż linii brzegowej z Rowów przez Dębinę, Poddąbie, Orzechowo do Ustki – dla miłośników wycieczek pieszych,
- 20km Szlak Zwiniętych Torów prowadzący dawnym nasypem kolejowym z Ustki do Rowów – dla miłośników wycieczek rowerowych,
- jezioro Gardno – raj dla windsurferów,
- Dębina – raj dla paralotniarzy.
Głównym atutem tej miejscowości są aspekty przyrodnicze. Miasteczko położone jest wśród lasów sosnowych, dzięki czemu jest tu niepowtarzalny mikroklimat. Morze Bałtyckie i Jezioro Gardno umożliwiają spokojny wypoczynek a obecność bardzo blisko Słowińskiego Parku Narodowego pozwala na aktywne spędzenie czasu i zobaczenie wyjątkowych miejsc na tym obszarze. Park Narodowy rozciąga się na szerokości około 37 kilometrów pomiędzy Łebą a Rowami.
DODATKOWE INFORMACJE:
- stan prawny: pełna własność, brak obciążeń w Księdze Wieczystej,
- apartament sprzedawany z wyposażeniem widocznym na zdjęciach,
- czynsz do Wspólnoty Mieszkaniowej – 159zł (zimna woda, wywóz nieczystości, eksploatacja, wynagrodzenie zarządcy) dodatkowo zużycie energii elektrycznej,
- miejsce parkingowe przynależne do apartamentu przed budynkiem,
- ogrzewanie elektryczne poprzez ekonomiczne, ekologiczne grzejniki energooszczędne,
- ciepła woda z podgrzewacza elektrycznego,
- rolety zewnętrze automatyczne, okno kuchenne wyposażone w roletę zewnętrzną ręczną,
- ogrodzony oraz monitorowany teren,
- apartament zlokalizowany w nowym kompleksie budynków.
CENA: 725 000PLN
Strona Kupująca pokrywa wynagrodzenie prowizyjne dla biura.
Więcej informacji uzyskasz kontaktując się z nami:
799 799 313 – Marta Rutkowska (opiekun oferty)
728 202 030 – Marta Patyna
669 647 067 – Karolina Jakuczun
503 901 101 – Adrianna Iwanicka
728 111 007 – Przemek Pryzwan
Serdecznie zapraszam Państwa na prezentację nieruchomości, z przyjemnością odpowiem na wszelkie pytania oraz udzielę dodatkowych informacji.
Zamierzasz kupić nieruchomość i skorzystać z finansowania banku? Pomożemy dokonać Ci dobrego wyboru najlepszej oferty spośród wielu banków. Nasz doradca dostosuje ofertę kredytu hipotecznego do Twoich potrzeb i oczekiwań oraz będzie do Twojej dyspozycji na każdym etapie procesu kredytowego.
Niniejsza oferta nie stanowi oferty w rozumieniu Kodeksu Cywilnego, a dane w niej zawarte mają jedynie charakter informacyjny i mogą ulec zmianie.
</t>
  </si>
  <si>
    <t>https://otodom.pl/pl/oferta/apartament-3pokoje-3balkony-widok-na-kanal-rowy-ID4linN</t>
  </si>
  <si>
    <t>4linN</t>
  </si>
  <si>
    <t>Apartament z widokiem na morze</t>
  </si>
  <si>
    <t>Jeżeli szukasz apartamentu z widokiem na morze w prestiżowym kompleksie, nie wymagającego dodatkowego wkładu finansowego. To koniecznie zapoznaj się z tą ofertą.Jednopokojowy apartament o pow. 22,38 m2, położony na piątym piętrze w Arka Medical Spa.Apartament położony od strony wschodniej. Widok na morze z lewej strony.Duża loggia o pow. ok. 6 m2 - z której można podziwiać Bałtyk. W cenie wyposażenie widoczne na zdjęciach.Koszty utrzymania ok. 450 zł + prąd.Kompleks Arka Medical Spa posiada najbogatszy program dla swoich gości. Do dyspozycji są m.in. dwa baseny, kryty kort tenisowy, sklepy, gabinety spa, restauracje, place zabaw dla dzieci. Możliwość korzystania z atrakcji zgodnie z cennikiem Arka Medical SpaKLUCZE W BIURZELINK DO OFERTY:Mamy jeszcze 181 podobnych ofert w tej okolicy.Zapraszamy do naszych biur; KOSZALIN PIŁSUDSKIEGO 43, KOŁOBRZEG POMORSKA 2C, ŚWINOUJŚCIE BOH. WRZEŚNIA 77JEŻELI DO TEJ PORY Z NAMI NIE WSPÓŁPRACOWAŁEŚ, ZAPOZNAJ SIĘ Z ZASADAMI NA NASZEJ STRONIE, ZAKŁADKA POŚREDNICTWO LUB KLIKNIJ W LINKA Treść niniejszego ogłoszenia nie stanowi oferty handlowej w rozumieniu Kodeksu Cywilnego.</t>
  </si>
  <si>
    <t>https://otodom.pl/pl/oferta/apartament-z-widokiem-na-morze-ID4lcMT</t>
  </si>
  <si>
    <t>4lcMT</t>
  </si>
  <si>
    <t>4 Pokoje*Idealne dla Rodziny*Super Inwestycja</t>
  </si>
  <si>
    <t>Zapraszam do zakupu dużego, przestronnego mieszkania 96,54 m2 mieszczącego się na trzecim piętrze w czteropiętrowej kamienicy.Lokal znajduje się przy ul. Komuny Paryskiej, w odnowionej i ocieplonej kamienicy.Bliskość do centrum i świetna infrastruktura czynią to miejsce idealnym dla każdego, kto ceni wygodę.Cztery przestronne pokoje , dwie łazienki i dwa przedpokoje to także super rozwiązanie pod inwestycję.Rozkład mieszkania :- przedpokój ok 13,8 m2- kuchnia / oddzielna, jasna/ z pełnym wyposażeniem ok 10,6m2- duży pokój ok 21m2- sypialnia ok 10,3m2- 2 sypialnie po ok 14 m2 i 13 m2- łazienka z wc ok 8,1m2- łazienka 4,6 m2- oddzielne wc ok  1,5 m2Do mieszkania przynależy piwnica ok 13 m2Na podwórku znajduje  własny parking- 4 miejsca parkingowe pod wiatą , płatne 50 zł od miejsca z pełnym monitoringiem.ZALETY : - mieszkanie w pełni rozkładowe, ekspozycja okien na wschód, południe i zachód   - funkcjonalne,  z możliwością adaptacji według potrzeb   - okna drewniane,trójwarstwowe, dźwiękoszczelne   - klimatyzacja , wentylacja   - wymienione piony wodno-kanalizacyjne i  elektryczne   - w części mieszkania na podłogach deska barlinecka , panele , kafle   - trzy duże szafy w zabudowie Wielkim atutem są dwie łazienki , w tym jedna przy sypialni , co czyni to miejsce bardzo wygodnym i intymnymKamienica odnowiona , dach wymieniony , w przyszłości plany odnowienia klatki schodowej.Budownictwo solidne  z cegły, stropy żelbetonowe.Czynsz razem z funduszem remontowym wynosi ok 1290 zł + energia elektryczna i internet.* To przestronne mieszkanie, wygodne i  z wielkim potencjałem *Zapraszam serdecznie do umawiania się na prezentację.Iwona Ciemierzewska Wronieruchomościtel. 730 170 222, 507 048 266Jako strona kupująca otrzymasz pełne wsparcie w zakresie zakupu nieruchomości.Nota prawna :Opis oferty zawarty na stronie internetowej sporządzany jest na podstawie oględzin nieruchomości, oraz informacji uzyskanych od właściciela,może podlegać aktualizacji i nie stanowi oferty handlowej określonej w art 66 i następnych K.COferta wysłana z programu dla biur nieruchomości ASARI CRM ()</t>
  </si>
  <si>
    <t>https://otodom.pl/pl/oferta/4-pokojeidealne-dla-rodzinysuper-inwestycja-ID4h1ZB</t>
  </si>
  <si>
    <t>4h1ZB</t>
  </si>
  <si>
    <t>Apartamenty bezczynszowe z ogrodem</t>
  </si>
  <si>
    <t>Nadmorska, Lębork, lęborski, pomorskie</t>
  </si>
  <si>
    <t xml:space="preserve">O% - NABYWCA NIE PŁACI PROWIZJI, PROWIZJĘ BIURA POKRYWA SPRZEDAJĄCY! Komfortowy, słoneczny apartament bezczynszowy z miejscem parkingowym (6000zł) zlokalizowany na nowo powstającym, prestiżowym, spokojnym i w pełni bezpiecznym osiedlu w Lęborku przy ulicy Nadmorskiej (była Buczka), o powierzchni użytkowej 45,7m2. Lokal usytuowany na parterze w nowoczesnym, budynku jednopiętrowym, czterorodzinnym, wykonanym najnowocześniejszą technologią z materiał&amp;oacute;w wysokiej jakości, wszystkie posiadają niezbędne atesty i gwarancję (co daje bardzo dużą energooszczędność, ciepło). Mieszkanie składa się z niezależnego, oddzielnego wejścia, korytarza, widnego pokoju dziennego z aneksem kuchennym oraz wyjściem na ogrodzony taras, sypialni, pomieszczenia gospodarczego/garderoby oraz łazienki z WC. Na tym etapie budowy istnieje jeszcze możliwość zamontowania kominka. Do lokalu przynależy r&amp;oacute;wnież ogr&amp;oacute;dek oraz wspomniane miejsce parkingowe przed budynkiem. Oferowane lokale w stanie deweloperskim, można dowolnie dostosować do potrzeb i wymagań klienta. W apartamencie będą położone tynki maszynowe, instalacje CO z rozprowadzeniem podłogowym+ piec gazowy dwufunkcyjny kondensacyjny, instalacja elektryczna+ gniazdka do prądu oraz włączniki światła, instalacja wodno-kanalizacyjna, okna PCV z parapetami zewnętrznymi oraz  taras wyłożony kostką brukową. Opodal budynku znajduje się infrastruktura &amp;ndash; budynki użyteczności publicznej i instytucje usługowo-handlowe, szkoły, sklepy. Całość prezentuje się bardzo dobrze. Ze względu na standard, zaciszne położenie oraz brak czynszu oferta jest godna polecenia. Osoba kupująca w/w lokal nie płaci podatku PCC w wysokości 2% od zakupu nieruchomości, co pozwala zaoszczędzić sporą kwotę pieniędzy.Uwaga! Zdjęcia nie odzwierciedlają całego uroku nieruchomości. Zapraszamy na bezpłatną prezentację oferty. Szczeg&amp;oacute;łowych informacji, więcej ofert i zdjęć uzyskacie Państwo w biurze lub na stronie internetowej.ZACHĘCAMY R&amp;Oacute;WNIEŻ DO SKORZYSTANIA Z NASZEGO DORADZTWA KREDYTOWEGO.W jednym miejscu, bezpłatnie por&amp;oacute;wnamy i dobierzemy najbardziej korzystną ofertę kredytu hipotecznego spośr&amp;oacute;d kilkunastu bank&amp;oacute;w.Dzięki długoletniemu doświadczeniu i ważnej polisy OC, gwarantujemy bezpieczeństwo transakcji oraz że do podanej ceny nie zostanie doliczony żaden koszt.Wszelkie prawa zastrzeżone. Kopiowanie i publikacja treści i zdjęć bez zgody autora zabronione.Nota prawnaOpis oferty zawarty na stronie internetowej sporządzany jest na podstawie oględzin nieruchomości oraz informacji uzyskanych od właściciela, może podlegać aktualizacji i nie stanowi oferty określonej w art. 66 i następnych K.C.::LINK DO STRONY ::KONTAKT DO AGENTA Leszek Kochman723 207 038601-059-692 </t>
  </si>
  <si>
    <t>https://otodom.pl/pl/oferta/apartamenty-bezczynszowe-z-ogrodem-ID4mchX</t>
  </si>
  <si>
    <t>4mchX</t>
  </si>
  <si>
    <t>kawalerka w top inwestycji Pod Klucz Bez Prowizji</t>
  </si>
  <si>
    <t>Mirów, Wola, Warszawa, mazowieckie</t>
  </si>
  <si>
    <t>KUPUJĄCY NIE PŁACI PROWIZJIWitam. Na sprzedaż nowe, wykończone mieszkanie o powierzchni 29,53m2 znajdujące się budowanej inwestycji Towarowa Towers przy ulicy Prostej.Zdecydowanie jest to jedna z ciekawszych propozycji na nowej mapie Warszawy.Obserwując rynek śmiało można powiedzieć, że to będzie dobra lokata kapitału.O INWESTYCJIInwestycja zlokalizowana jest w nowym biznesowym centrum stolicy, tuż obok stacji drugiej linii metra i kilka minut spacerem do centrum. Wszystko to, wraz z doskonałą infrastrukturą dzielnicy, licznymi przedszkolami i szkołami, tworzy idealne miejsce do mieszkania dla najbardziej wymagających.-Dwie 29-kondygnacyjne wieże (325 apartamentów w Wieży A oraz 252 w Wieży B)-Trzy 7-12 kondygnacyjne budynki apartamentowe-Reprezentacyjne lobby z recepcją-Wspólną przestrzeń dla mieszkańców z zewnętrznym tarasem, strefą lounge, salą spotkań i klubem fitness-Zielony dziedziniec ze strefą relaksu-Apartamenty od 1- do 4-pokojowych-Apartamenty w wieżach wykończone pod kluczNAGRODZONE OSIEDLETowarowa Towers została polskim zwycięzcą konkursu European Property Awards w dwóch kategoriach: Residential High Rise Development oraz Residential High Rise Architecture oraz dodatkowo otrzymała specjalne wyróżnienie Five Stars, które przyznawane jest dla najlepiej punktującego projektu w danej kategorii. Podczas gali konkursowej w Londynie Towarowa Towers uzyskała również wyjątkową nominację do grona najlepszych projektów w Europie, których rozstrzygnięcie odbędzie się podczas International Grand Final.LOKALIZACJALokalizacja oferuje wygodny i szybki transport do różnych części Warszawy, dzięki bliskości metra, tramwajów, autobusów i ścieżek rowerowych.W odległości kilku minut pieszo znajduje się kilka linii autobusowych, kilka linii tramwajowych, zabytkowa linia tramwajowa T, 2 stacje Veturilo, a przede wszystkim, tuż obok – stacja II linii metra - Rondo Daszyńskiego. Dzięki lokalizacji w centrum miasta do najważniejszych punktów można także spokojnie dość pieszo.MIESZKANIA WYKOŃCZONE POD KLUCZInspiracją do stworzenia standardów wykończenia Towarowa Towers stał się styl modernistyczny, zrodzony w latach 20 XX wieku, a którego wpływy do dziś są mocno widoczne na terenie warszawskiej Woli. Modernistyczne połączenie minimalizmu z elegancją zapewni nie tylko funkcjonalność, ale także ponadczasowość wnętrza. W Towarowa Towers oferujemy do wyboru 3 wysokiej jakości standardy w 5 wariantach kolorystycznych, wśród których idealne rozwiązanie znajdzie nawet najbardziej wymagający klient.DODATKOWE INFORMACJEPlanowany termin oddania to końcówka sierpnia 2024r.Możliwość zakupu miejsc parkingowych w garażu podziemnym w cenie 75 000 - 90 000zł bruttoObowiązkowy zakup wykończenia apartamentu pakiet silver - 2400 pln brutto / m2, pakiet gold - 2800 pln brutto / m2, pakiet premium 3500 pln brutto /m2.W swojej ofercie posiadam wszystkie pozostałe mieszkania w tej inwestycji. Tak jak na wstępie, kupujący nie płaci prowizji. Zapraszam do kontaktuDominik Śmigel+4████████9 973Oferta wysłana z programu dla biur nieruchomości ASARI CRM ()</t>
  </si>
  <si>
    <t>https://otodom.pl/pl/oferta/62m2-w-pieknej-inwestycji-pod-klucz-bez-prowizji-ID4jWN4</t>
  </si>
  <si>
    <t>4jWN4</t>
  </si>
  <si>
    <t>80 m2 apartament z tarasem Kraków Prądnik Biały</t>
  </si>
  <si>
    <t>Mieszkanie 80 m2, 3 pokojowe z możliwością zaaranżowania 4 pokoju z aneksem kuchennymGłówne atuty nieruchomości: • lokalizacja w sąsiedztwie biur/sklepów• dobra komunikacjaNieruchomość złożona z: • salon 30,08 m.kw• pokój dzieci 11 m.kw• pokój 15 m.kw• łazienka 5 m.kw• wc 2 m.kw• komunikacja 7 m.kw• kuchnia otwarta z oknem 10 m.kw W skład nieruchomości wchodzą też:• komórka lokatorska• garaż• tarasTyp ogrzewania: ogrzewanie miejskie. Typ własności: własność. Oferujemy do sprzedaży 80-metrowe mieszkanie z 14-metrowym tarasem w doskonałej lokalizacji na Prądniku Białym ze wspaniałym widokiem na całe miasto, a przy dobrej widoczności widać Tatry. Lokal mieszkalny składa się z 3 niezależnych pokoi do aranżacji wedle własnego uznania. Przestrzeń jest bardzo dobrze doświetlona, a wykończenie zadowoli najbardziej wymagających klientów. Przestronny salon ma 30m2, znajdują się w nim 2 wyjścia na taras, drugi pokój ma wyjście na taras od południa, w trzecim pokoju jest zabudowana szafa.W mieszkaniu znajdują się  jeszcze: osobna kuchnia z ekspozycją okienną wychodzącą na wschód. W mieszkaniu jest łazienka i osobne, drugie wc. Mieszkanie wyposażone jest w meble robione na wymiar, klimatyzację i  ogrzewanie podłogowe w łazience. Mieszkanie znajduje się na 4 piętrze w bloku 5 piętrowym z windą, teren osiedla jest zamknięty i monitorowany. Ciepła woda i ogrzewanie z MPC.Miejsce postojowe i komórka lokatorska dodatkowo płatne (65.000 zł)Zapraszamy do kontaktu!Biuro Metrohouse razem we współpracy z ekspertem kredytowym Credipass proponują Państwu: BEZPŁATNĄ usługę badania zdolności kredytowej oraz dostępność do ofert kredytowania nieruchomości z 11 wiodących banków.Oferta dostępna tylko w Metrohouse. ZADZWOŃ: 729 914 493.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</si>
  <si>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https://otodom.pl/pl/oferta/80-m2-apartament-z-tarasem-krakow-pradnik-bialy-ID4l0ao</t>
  </si>
  <si>
    <t>4l0ao</t>
  </si>
  <si>
    <t>Apartament w eleganckim i bezpiecznym osiedlu</t>
  </si>
  <si>
    <t>ul. Aragońska, Oksywie, Gdynia, pomorskie</t>
  </si>
  <si>
    <t>Apartament w eleganckim i bezpiecznym osiedluPOŁOŻENIEApartament znajduje się w eleganckim osiedlu Ogrody Tesoro z w Pogórzu k. Gdyni, z zachwycającym widokiem na Zatokę Pucką. Lokalizacja ta jest wręcz doskonała, gdyż z jednej strony zapewnia mieszkańcom ciszę, spokój i tak ważne poczucie bezpieczeństwa, a z drugiej pełną infrastrukturę handlowo- usługową niezbędną do komfortowego życia. Osiedle jest świetnie skomunikowane z Trójmiastem, do centrum Gdyni mamy zaledwie 800 m, a do Obwodnicy Trójmiasta tylko 1 kilometr. Kompleks gwarantuje mieszkańcom absolutne poczucie bezpieczeństwa- teren jest ogrodzony, monitorowany, posiada też mobilną ochronę przez 24h na dobę. Architektura osiedla jest niepowtarzalna- inspirowana dziełami włoskich mistrzów renesansu i polską architekturą przełomu XVIII i XIX wieku. Apartamenty usytuowane są w pięknym otoczeniu natury, wokół rozpościera się perfekcyjnie utrzymany park w stylu angielskim, liczne malownicze zakątki, niespotykane kompozycje roślinne. Dla mieszkańców ogólnodostępny grill w amerykańskim stylu, dla dzieci plac zabaw, dla osób ceniących aktywny wypoczynek trasy rowerowe i do jazdy na rolkach. Jest to wręcz wymarzone miejsce do życia. APARTAMNETApartament składa się z 3 pokoi, łazienki, dwóch balkonów i poddasza użytkowego. Jego powierzchnia wynosi 52, 67 m2.Apartament wykończony wysokiej jakości materiałami, ale wymaga odświeżenia i  dopieszczeniaIstnieje także możliwość wynajmu apartamentu- koszt 4500 zł miesięcznie Zapraszam do obejrzenia bo warto. INFORMACJE DODATKOWE- zadaszone miejsce parkingowe w cenie nieruchomości- wydanie nieruchomości do uzgodnienia- czynsz około 500 zł KUP Z NAMI - KORZYSTNIE, SZYBKO I BEZPIECZNIE!- 0% prowizji od kupującego i żadnych dodatkowych oraz ukrytych kosztów- gwarantujemy bezpieczny zakup i najlepszą cenę- oferujemy skuteczną i bezpłatną pomoc w uzyskaniu kredytuWięcej podobnych ofert znajdziesz na naszej stronie 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</si>
  <si>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https://otodom.pl/pl/oferta/apartament-w-eleganckim-i-bezpiecznym-osiedlu-ID4hSXv</t>
  </si>
  <si>
    <t>4hSXv</t>
  </si>
  <si>
    <t>Apartament w Krynicy Morskiej</t>
  </si>
  <si>
    <t>ul. Gdańska, Krynica Morska, nowodworski, pomorskie</t>
  </si>
  <si>
    <t>WYJĄTKOWY APARTAMENT NAD MORZEM  W BLISKIEJ ODLEGŁOŚCI OD CENTRUM KRYNICY MORSKIEJ !Gotowa inwestycja !Jeśli szukasz nieruchomości wakacyjnej bądź chcesz zainwestować w nieruchomość, z której szybko zaczniesz osiągać zyski, ta oferta skierowana jest właśnie do Ciebie ! Na sprzedaż przedstawiamy Państwu cichy, przytulny, jasny apartament o powierzchni 33,53m2, znajdujący się na 2 piętrze, 2-piętrowego apartamentowca i składający się z:* salonu  wraz z aneksem kuchennym z wyjściem   balkon * sypialni  wraz z szafą w zabudowie * łazienki* przedpokojuApartament utrzymany jest w bardzo dobrym stanie i nie wymaga żadnego wkładu finansowego. Całość wyposażenia pozostaje do dyspozycji nowych właścicieli. Do nieruchomości przynależy miejsce postojowe w hali garażowej (płatne dodatkowo 35.000 zł)BUDYNEK:Nieruchomość znajduje się w na zamkniętym osiedlu w skład ,którego wchodzi kilkanaście apartamentów. Położenie apartamentowca pozwala podziwiać Zalew Wiślany.Do plaży od strony Zatoki Gdańskiej dojdziemy w ok 15 min( lasem) a od strony Zalewu Wiślanego 2 min.LOKALIZACJA:Krynica Morska to najbardziej znany kurort nad Bałtykiem.Malownicze lasy sosnowe otaczają ją ze wszystkich stron. Woda cieplejsza niż w innych nadbałtyckich miejscowościach stwarzają idealne warunki do kąpieli. Krynica Morska to świetne miejsce o niepowtarzalnej atmosferze.Krynica Morska cieszy się popularnością wśród miłośników kąpieli słonecznych, kąpieli wodnych, mini golfa, jazdy konnej. Można na miejscu zaangażować się również w sporty takie, jak windsurfing, jachty, kajakarstwo, wędkarstwo i sporty motorowodne.ZAPRASZAM DO KONTAKTU I NA PREZENTACJĘ!KUP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</si>
  <si>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https://otodom.pl/pl/oferta/apartament-w-krynicy-morskiej-ID4l3mJ</t>
  </si>
  <si>
    <t>4l3mJ</t>
  </si>
  <si>
    <t>Apartament 3p na ostatnim piętrze Bez Prowizji</t>
  </si>
  <si>
    <t>KUPUJĄCY NIE PŁACI PROWIZJIWitam. Na sprzedaż nowe, wykończone mieszkanie o powierzchni 66,66m2 znajdujące się budowanej inwestycji Towarowa Towers przy ulicy Prostej.Zdecydowanie jest to jedna z ciekawszych propozycji na nowej mapie Warszawy.Obserwując rynek śmiało można powiedzieć, że to będzie dobra lokata kapitału.O INWESTYCJIInwestycja zlokalizowana jest w nowym biznesowym centrum stolicy, tuż obok stacji drugiej linii metra i kilka minut spacerem do centrum. Wszystko to, wraz z doskonałą infrastrukturą dzielnicy, licznymi przedszkolami i szkołami, tworzy idealne miejsce do mieszkania dla najbardziej wymagających.-Dwie 29-kondygnacyjne wieże (325 apartamentów w Wieży A oraz 252 w Wieży B)-Trzy 7-12 kondygnacyjne budynki apartamentowe-Reprezentacyjne lobby z recepcją-Wspólną przestrzeń dla mieszkańców z zewnętrznym tarasem, strefą lounge, salą spotkań i klubem fitness-Zielony dziedziniec ze strefą relaksu-Apartamenty od 1- do 4-pokojowych-Apartamenty w wieżach wykończone pod kluczNAGRODZONE OSIEDLETowarowa Towers została polskim zwycięzcą konkursu European Property Awards w dwóch kategoriach: Residential High Rise Development oraz Residential High Rise Architecture oraz dodatkowo otrzymała specjalne wyróżnienie Five Stars, które przyznawane jest dla najlepiej punktującego projektu w danej kategorii. Podczas gali konkursowej w Londynie Towarowa Towers uzyskała również wyjątkową nominację do grona najlepszych projektów w Europie, których rozstrzygnięcie odbędzie się podczas International Grand Final.LOKALIZACJALokalizacja oferuje wygodny i szybki transport do różnych części Warszawy, dzięki bliskości metra, tramwajów, autobusów i ścieżek rowerowych.W odległości kilku minut pieszo znajduje się kilka linii autobusowych, kilka linii tramwajowych, zabytkowa linia tramwajowa T, 2 stacje Veturilo, a przede wszystkim, tuż obok – stacja II linii metra - Rondo Daszyńskiego. Dzięki lokalizacji w centrum miasta do najważniejszych punktów można także spokojnie dość pieszo.MIESZKANIA WYKOŃCZONE POD KLUCZInspiracją do stworzenia standardów wykończenia Towarowa Towers stał się styl modernistyczny, zrodzony w latach 20 XX wieku, a którego wpływy do dziś są mocno widoczne na terenie warszawskiej Woli. Modernistyczne połączenie minimalizmu z elegancją zapewni nie tylko funkcjonalność, ale także ponadczasowość wnętrza. W Towarowa Towers oferujemy do wyboru 3 wysokiej jakości standardy w 5 wariantach kolorystycznych, wśród których idealne rozwiązanie znajdzie nawet najbardziej wymagający klient.DODATKOWE INFORMACJEPlanowany termin oddania to końcówka sierpnia 2024r.Możliwość zakupu miejsc parkingowych w garażu podziemnym w cenie 75 000 - 90 000zł bruttoObowiązkowy zakup wykończenia apartamentu pakiet silver - 2400 pln brutto / m2, pakiet gold - 2800 pln brutto / m2, pakiet premium 3500 pln brutto /m2.W swojej ofercie posiadam wszystkie pozostałe mieszkania w tej inwestycji. Tak jak na wstępie, kupujący nie płaci prowizji. Zapraszam do kontaktuDominik Śmigel+4████████9 973Oferta wysłana z programu dla biur nieruchomości ASARI CRM ()</t>
  </si>
  <si>
    <t>https://otodom.pl/pl/oferta/apartament-z-tarasem-pod-klucz-77m2-bez-prowizji-ID4jWN5</t>
  </si>
  <si>
    <t>4jWN5</t>
  </si>
  <si>
    <t>4 pokoje | Panorama Kwiatkowskiego | NOWY budynek</t>
  </si>
  <si>
    <t>ul. Eugeniusza Kwiatkowskiego, Drabinianka, Rzeszów, podkarpackie</t>
  </si>
  <si>
    <t>❤️NOWY BUDYNEK - PANORAMA KWIATKOWSKIEGO - PIERWSZE TAKIE OSIEDLE Z MASĄ UDOGODNIEŃ!❤️
Mieszkanie o powierzchni 91,89 m2 znajduje się na VI piętrze w budynku E i składa się z:✅️Hollu✅️Łazienki✅️Garderoby✅️Sypialni✅️Salonu z aneksem kuchennym✅️Łazienki✅️Pokoju✅️Pokoju
Do mieszkania przynależy również loggia o powierzchni: 7,49 m2 i 4,73 m2 oraz taras o powierzchni 26,74 m2.
Charakterystyczne cechy mieszkania:➡️Kompaktowy układ➡️Loggia i taras zwiększające miejsce do wypoczynku➡️Idealne dla rodziny
Charakterystyczne cechy osiedla:
Plaża przy osiedlu
Molo o długości 25 m i promenada o długości 290 m
Deptak spacerowy, strefa relaksu, plac zabaw dla dzieci, wybieg dla psów
Miejsce do fitnessu/jogi
Mini port dla łódek i kajaków
Szybki dojazd do centrum, blisko przystanki autobusowe
W okolicy sklepy spożywcze, przedszkole, żłobek
Przy Żwirowni oraz promenady nas Wisłokiem
Mieszkania z pięknymi widokami
Nowoczesna architektura
Cena tego układu: 10900 zł/m2
Istnieje możliwość nabycia miejsca postojowego w garażu podziemnym
WAŻNE: OFERTA BEZPOŚREDNIO PRZEZ DEWELOPERA.
Z NAMI MASZ GWARANCJĘ 100% RZETELNYCH INFORMACJI. 
Nie płać prowizji i dowiedz się wszystkiego z pierwszej ręki!
Szukasz innego mieszkania? Skontaktuj się z nami, a pokażemy Ci ponad 100 mieszkań, których nie ma na OTODOM.
Zadzwoń i umów się na spotkanie w naszym biurze sprzedaży, a my pomożemy wybrać mieszkanie najlepiej pasujące do Ciebie.
Zapraszamy do kontaktu od poniedziałku do piątku w godz. 09:00 - 17:00.
695 002 003
577 511 544
Powyższa oferta ma charakter informacyjny i nie stanowi oferty handlowej w rozumieniu art. 66 §1 Kodeksu Cywilnego. </t>
  </si>
  <si>
    <t>https://otodom.pl/pl/oferta/4-pokoje-panorama-kwiatkowskiego-nowy-budynek-ID4jTgg</t>
  </si>
  <si>
    <t>4jTgg</t>
  </si>
  <si>
    <t>A2 Miejski Las Kołobrzeg</t>
  </si>
  <si>
    <t>ul. Tarnopolska, Kołobrzeg, kołobrzeski, zachodniopomorskie</t>
  </si>
  <si>
    <t>https://otodom.pl/pl/oferta/a2-miejski-las-kolobrzeg-ID4ikF5</t>
  </si>
  <si>
    <t>4ikF5</t>
  </si>
  <si>
    <t>Lokal mieszkalny na Osiedlu Grafitowe Zabrze 2</t>
  </si>
  <si>
    <t>ul. Marii Curie-Skłodowskiej, Osiedle Tadeusza Kotarbińskiego, Zabrze, śląskie</t>
  </si>
  <si>
    <t>Grafitowe Zabrze II to kontynuacja inwestycji Grafitowe Zabrze I, cieszącej się ogromnym zainteresowaniem.
Rozbudowana infrastruktura (przedszkola, szkoły, uczelnie, markety, obiekty kulturowe), bliskie sąsiedztwo terenów zielonych oraz wygodne połączenie węzłów komunikacyjnych sprawiają, że Grafitowe Zabrze II to doskonały wybór dla poszukujących spokojnego miejsca do życia, pozostając w centrum miasta.
Użyteczność, trwałość materiałów oraz staranne wykończenie to cechy przyświecające Simple Architecture podczas całego procesu projektowania. Wszystkie oferowane powierzchnie, zarówno kawalerki, mieszkania o średniej powierzchni oraz apartamenty są wzbogacone o przemyślane rozwiązania aranżacyjne.
Z myślą o potrzebach przyszłych mieszkańców lokale wyposażone są m.in:
w ogrzewanie podłogowe, 
zewnętrzne rolety okienne, 
biały montaż elektryczny. 
W budynkach znajdują się windy, rekuperacja, a osiedle jest ogrodzone i dostosowane pod system monitoringu.
Dostępny lokal posiada:
powierzchnię użytkową 80,97 m2w,
balkon o powierzchni 6,16 m2w,
Dla przyszłych mieszkańców przewidzieliśmy również możliwość zakupu:
miejsca postojowego naziemnego,
miejsca postojowego w garażu wielostanowiskowym,
miejsca postojowego w garażu jednostanowiskowym,
komórki lokatorskiej
Zapraszamy do śledzenia naszych prac w Social Mediach:FB: Grafitowe ZabrzeIG: dmt_progress
Niniejsze ogłoszenie nie stanowi oferty handlowej w rozumieniu art. 66 i nast. Kodeksu Cywilnego oraz innych właściwych przepisów, lecz jest zaproszeniem do zawarcia umowy w rozumieniu art. 71 KC.</t>
  </si>
  <si>
    <t>https://otodom.pl/pl/oferta/lokal-mieszkalny-na-osiedlu-grafitowe-zabrze-2-ID4k6IC</t>
  </si>
  <si>
    <t>4k6IC</t>
  </si>
  <si>
    <t xml:space="preserve">SPRZEDAŻ CESJI PRAW DO LOKALU W INWESTYCJI ŻEROMSKIEGO 15Inwestycja Żeromskiego 15 to wyjątkowo zlokalizowany kompleks budynków mieszkalnych, położony w jednej z bardziej malowniczych i naturalnych części Szklarskiej Poręby - Białej Dolinie.To tu swój początek mają liczne szlaki turystyczne, trasy biegowe, trasy rowerowe oraz single track&amp;rsquo;i. Dodatkowo inwestycja znajduje się w bliskiej odległości od lasu oraz terenów ochrony przyrody. Dzięki tym walorom możemy się cieszyć tym, co najcenniejsze w Szklarskiej Porębie - naturą.Cała inwestycja podzielona będzie na dwa etapy. Etap I to 4 budynki, z których jeden jest juz zrealizowany. Architektura budynków posiada typowo górski charakter, co idealnie wkomponowuje się w otaczającą ich przestrzeń. Oba etapy zrealizowane będą na działkach o powierzchni ponad 17.000 m2. Zapewnia to stały dostęp do terenów zielonych, odpowiednie rozproszenie i usytuowanie budynków, a co za tym idzie, kontakt z naturą.Inwestycja Żeromskiego 15 będzie miejscem, do którego będą chętnie wracały osoby chcące wycisnąć maksimum przyjemności z pobytu w  Szklarskiej Porębie.W każdym z trzech budynków znajduje się 14 lokali. W ofercie posiadamy apartamenty typu studio, dwupokojowe 31m2 i 40m2 oraz trzypokojowy o powierzchni całkowitej około 64m2.Lokal 5 zlokalizowany na pierwszym piętrze, dwupokojowy, składa pokoju dziennego z aneksem kuchennym, sypialni, łazienki oraz dwóch balkonów.Podane ceny są cenami netto + 8% VATMiejsce postojowe zewnętrzne w cenie 30.000 zł bruttoPierwszy etap zrealizowany zostanie do końca IV kwartału 2022r.Zapraszamy do zapoznania się z ofertą wolnych apartamentów.Nie muszą się Państwo martwić o wykończenie apartamentów czy też przygotowanie oraz obsługę wynajmu krótkoterminowego. Jesteśmy w stanie zapewnić wykończenia w systemie &amp;bdquo;Wnętrza Pod Klucz&amp;rdquo; jak i sprawować późniejszą opiekę nad apartamentem. W odróżnieniu jednak od innych resortów, nie narzucamy obowiązkowych, długoletnich umów.Ciesz się przepięknym apartamentem w jednym z najlepszych kompleksów tego typu w Szklarskiej Porębie.Pośrednik odpowiedzialny zawodowo za wykonanie umowy pośrednictwa: Sinicki Andrzej (licencja nr: 23451) </t>
  </si>
  <si>
    <t>https://otodom.pl/pl/oferta/apartament-przy-samych-szlakach-trasach-rowerowych-ID4iiVb</t>
  </si>
  <si>
    <t>4iiVb</t>
  </si>
  <si>
    <t>Apartament B011 Na sprzedaż nad Morzem</t>
  </si>
  <si>
    <t>ul. Plażowa, Grzybowo, Kołobrzeg, kołobrzeski, zachodniopomorskie</t>
  </si>
  <si>
    <t>Posesja Plażowa to zespół  budynków usytuowanych niecałe 100m od szerokich i piaszczystych plaż w nadmorskiej miejscowości Grzybowo, nieopodal Kołobrzegu.
W każdym budynku zaprojektowano strefę relaksu składającej się z jacuzzi oraz dwóch saun. By zminimalizować koszty energii elektrycznej wykonamy instalację fotowoltaiczną na potrzeby części wspólnych.
oprócz apartamentów zapewniamy :
* podgrzewany basen zewnętrzny
* Ogniwa fotowoltaiczne, połączone z pompami ciepła ( centralnego ogrzewania oraz cieplej wody użytkowej )współpracującymi z kotłownią gazową w trybie hybrydowym.
* w każdym budynku sauny I jacuzzi
* siłownie zewnętrzne
* place zabaw
* wiaty rowerowe 
W naszej ofercie, znajdują się lokale o powierzchni od 34 m2 do 54 m2 . W tym metrażu otrzymują Państwo przestronny salon z aneksem kuchennym, sypialnię i łazienkę.   Mieszkanie na Posesji Plażowej  jest  atrakcyjne pod względem ceny i lokalizacji .
Zapraszamy do kontaktu celem zapoznania się z pełną ofertą 
Oferujemy możliwość wykończenia w standardzie "pod klucz" za cenę 1600  zł/m2  brutto 
Miejsce postojowe płatne dodatkowo 37 000 zł brutto</t>
  </si>
  <si>
    <t>https://otodom.pl/pl/oferta/apartament-b011-na-sprzedaz-nad-morzem-ID4laEV</t>
  </si>
  <si>
    <t>4laEV</t>
  </si>
  <si>
    <t>Apartament z widokiem na morze, 3 Żagle</t>
  </si>
  <si>
    <t>ul. Olsztyńska, Przymorze Wielkie, Gdańsk, pomorskie</t>
  </si>
  <si>
    <t>Szanowni Klienci,mając na uwadze Państwa cenny czas, komfort i bezpieczeństwo,prosimy o wcześniejszy kontakt telefoniczny lub elektronicznyw celu umówienia prezentacji lub spotkania w biurze.Oferta, którą oglądasz jest aktualna i sprawdzona pod względem formalno-prawnym.Kupujesz bezpiecznie, w cenach dewelopera.KONIECZNIE zapoznaj się z pełną ofertą na naszej stronie:Znajdziesz tam wirtualny spacer!JEDYNY dostępny apartament w inwestycji "3 ŻAGLE", jeszcze  w stanie deweloperskim.Taka oferta dostępna jest  TYLKO w naszym biurze.ATUTY:- widok na morze- BARDZO jasne i  słoneczne- idealne do zamieszkania- bezpośrednie sąsiedztwo z Parkiem Reagana- DUŻE miejsce postojowe (szerokość 3,77m) w hali garażowej GRATIS- 15 minut spacerem do plaży- 3 minuty do przystanku autobusowego- gotowe do odbioruLOKALIZACJA Jest ogromnym atutem prezentowanej nieruchomości. Od morza dzieli nas zaledwie 15 minut spacerem. Park Regana oddalony jest zaledwie o 5 min zapewniający świetnie rozwinięta infrastrukturę rekreacyjna ( ścieżki rowerowe, place zabaw, siłownie zewnętrzne i wiele innych). Okolica odznacza się także kompleksowym zapleczem usługowo- handlowym, licznymi przedszkolami i szkołami. Jest także dobrze skomunikowana z innymi dzielnicami Gdańska oraz Sopotem ( przystanki autobusowe oddalone o 3 minuty).MIESZKANIEApartament, położony jest na 9 piętrze w 17 piętrowym budynku.Składa się on z:- przestronnego salonu z aneksem kuchennym (ok. 28,10m2)- 2 sypialni (ok 12,09m2 i 10,61m2)- łazienki (ok 4,85m2)-  wc (ok 1,66m2)- tarasu (ok 11,50m2)Do mieszkania przynależy dość nietypowe miejsce postojowe w hali garażowej o szerokości 3,77m, które zagwarantuje nam KOMOFORTOWE parkowanie samochodu.BUDYNEKApartament zlokalizowany jest w inwestycji cenionego dewelopera  INPRO, "3 ŻAGLE" z 2011r. Prestiż osiedla podnosi 24-godzinny monitoring, ochrona, 2 cichobieżne windy, drzwi antywłamaniowe i alarm bezpieczeństwa, znajdujący się na klatce schodowej. Na parterze budynków znajdują się sklepy oraz lokale usługowe. Na terenie znajdują się także place zabaw. Inwestycja wyróżnia się zadbanymi i czystymi częściami wspólnymi.Spiesz się, bo apartamenty w tej okolicy nie czekają długo na nowych właścicieli.Serdecznie ZAPRASZAM  do kontaktu. Co zyskujesz współpracując z naszym biurem? - oszczędność czasu, opiekę i kompleksowe wsparcie doświadczonego Agenta na każdym etapie transakcji- szeroki wybór ofert dopasowanych do Twoich potrzeb- pewność uzyskania najkorzystniejszej wartości nieruchomości- szybką ocenę zdolności kredytowej i ofertę korzystnego kredytu hipotecznegoskuteczny i nowoczesny marketing Twojej oferty- profesjonalne i bezpłatne doradztwo prawne- bezpieczeństwo transakcji gwarantowane współpracą z czołowym biurem nieruchomości na Pomorzu, które obsługuje zarówno oferty z rynku wtórnego, jak i deweloperskieChcesz poznać więcej szczegółów tej oferty?Zadzwoń pod numer 58 558 53 53 lub 784 008 353. Możesz także do nas napisać.W naszej bazie znajdziesz najwięcej aktualnych ofert z Trójmiasta, Kaszub i Kociewia.Serdecznie zapraszamy do naszych oddziałów w Gdańsku, Gdyni, Bytowie, Kościerzynie, Chojnicach i Starogardzie Gdańskim. Pracujemy również w soboty.Zaufaj profesjonalistom i kupuj bezpiecznie!</t>
  </si>
  <si>
    <t>https://otodom.pl/pl/oferta/apartament-z-widokiem-na-morze-3-zagle-ID4miAB</t>
  </si>
  <si>
    <t>4miAB</t>
  </si>
  <si>
    <t>Apartamenty Boya | przytulne mieszkanie C.2.40</t>
  </si>
  <si>
    <t>ul. Tadeusza Boya-Żeleńskiego, Zgierz, zgierski, łódzkie</t>
  </si>
  <si>
    <t>Przedmiotem ogłoszenia jest 3-pokojowe mieszkanie C.2.40 powierzchni 63,93 m kw. znajdujące się na 2 piętrze w inwestycji Apartamenty Boya zlokalizowanej w Zgierzu przy ul. Boya Żeleńskiego 48. Cechą inwestycji jest wysoki standard i świetna lokalizacja. Zapraszamy do zapoznania się z ofertą i do kontaktu.
O INWESTYCJI
Inwestycja “Apartamenty Boya” to pięciokondygnacyjny budynek wielorodzinny z lokalami usługowymi i garażami w parterze. Apartamenty Boya to nowoczesna bryła budynku i 55 lokali mieszkalnych o powierzchniach od 26 do 84 m2.
Z myślą o wygodzie mieszkańców zaprojektowano duże przeszklenia, przestronne loggie i balkony. Chcąc realizować proekologiczny kierunek rozwoju miasta na terenie inwestycji umieszczone będą ładowarki dla pojazdów elektrycznych.</t>
  </si>
  <si>
    <t>https://otodom.pl/pl/oferta/apartamenty-boya-przytulne-mieszkanie-c-2-40-ID4gyG1</t>
  </si>
  <si>
    <t>4gyG1</t>
  </si>
  <si>
    <t xml:space="preserve">Poniżej prezentuję jeden z szerokiej gamy dostępnych 1 oraz 2 - pokojowych apartamentów.Skontaktuj się ze mną, jeżeli chcesz porozmawiać o pozostałej ofercie. Apartament P.157● pokój z aneksem ● 30,23 m2 ● balkon 4,90 m2 ● apartament w stanie deweloperskim ● gotowy w trzecim kwartale 2024 r. ● miejsce postojowe w garażu podziemnym ● 3 piętro ● 5 minut pieszo do pięknej piaszczystej plaży ● lokal usługowy 23% VAT ● jasny apartament ● zielona okolica ● ekspozycja na wschód ● balkon ● bliskość do dodatkowych udogodnień w postaci sauny i basenów Opis Przedstawiam Państwu na sprzedaż apartament, który może być wykorzystywany na cele prywatne lub inwestycyjnie. Jest to całoroczny obiekt, zlokalizowany w znanej, nadmorskiej miejscowości Ustronie Morskie. Położony zaledwie 5 minut pieszo od morza.Apartament znajduję się na 1 piętrze i posiada balkon. Lokal jest mocno doświetlony. Do lokalu przynależy miejsce postojowe w garażu podziemnym, które należy wykupić przy zakupie lokalu w cenie 60 000 zł netto. Cały obiekt wraz z zakupionym lokalem będzie obsługiwany przez operatora najmu, posiadającego wieloletnie doświadczenie oraz bogate portfolio obiektów hotelowych w obsłudze. Lokal może zostać w pełni wyposażony i umeblowany, gotowy do zarabiania pieniędzy już w sezonie letnim 2025 r. Rozkład pomieszczeń Pokój dzienny z aneksem - pow. 21,39 m2Hol - pow. 4,32 m2Łazienka - pow. 4,52 m2Balkon - pow. 4,46 m2 OkolicaUstronie Morskie zachwyca widokowo i oferuje wiele imprez kulturalnych oraz sportowych. Aktywni turyści mogą skorzystać z wycieczek rowerowych, pieszych, jazdy konnej oraz lotów widokowych.Dostępne atrakcje :●Międzynarodowy szlak pieszy E9 - obejmujący wędrówkę z Ustronia Morskiego w dwóch kierunkach: 8 km do Gąsek lub 11 km do Kołobrzegu,●Rowerowy szlak błękitny o dł. 31 km wiodący w kierunku Lasu Kołobrzeskiego,●Nadmorski szlak rowerowy wokół Bałtyku R10 - łączna dł. trasy to blisko 8 km. Łączy najważniejsze nadmorskie miejscowości,●Park linowy - położony z widokiem na morze, liczy 11 tras oraz łącznie 142 przeszkody,●Western Park - rodzinny park rozrywki,●Pole paintballowe o pow. 8000 m²,●Atrakcje najnowszej generacji takie jak: Kino 7DMax oraz kino Virtual Reality.Okolica jest bardzo cicha i spokojna. Lokalizacja ta daje możliwość cieszyć się spokojem i prywatnością, jednocześnie pozwalając aktywnie uczestniczyć we wszelkiego rodzaju aktywnościach, które oferują Ustronie Morskie. W niedalekiej odległości od obiektu znajdują się restauracje i sklepy.W celu uzyskania większej ilości szczegółów, zapraszam do kontaktu!
Oferta wysłana z programu dla biur nieruchomości ASARI CRM ()
</t>
  </si>
  <si>
    <t>https://otodom.pl/pl/oferta/apartament-nad-morzem-23-vat-obsluga-najmu-ID4mfvN</t>
  </si>
  <si>
    <t>4mfvN</t>
  </si>
  <si>
    <t>Po remoncie | Rynek | Plac Legionów | Grabiszyńska</t>
  </si>
  <si>
    <t>ul. Iwana Pawłowa, Przedmieście Świdnickie, Stare Miasto, Wrocław, dolnośląskie</t>
  </si>
  <si>
    <t>Zapraszam do zapoznania się z ofertą rozkładowego mieszkania mieszczącego się w centrum Wrocławia, na ulicy Iwana Pawłowa 9/11. Lokal świetnie sprawdzi się jako inwestycja lub lokum dla mniejszej rodziny. Mieszkanie znajduje się na 3. piętrze w niskim 4-piętrowym bloku, niespełna 900m od Wrocławskiego Rynku.W skład mieszkania wchodzą:- Korytarz- Pokój z aneksem- Pokój 2- ŁazienkaDo mieszkania przynależy komórka lokatorska w piwnicy jak i schowek na parterze.Mieszkanie o wielkości 58.24m2 po remoncie kapitalnym. Za aranżacje odpowiedzialna była profesjonalna firma projektowa. W mieszkaniu wyrównano ściany, położono na nowo elektrykę i sieć grzewczą. Wszystkie zabudowy wykonane zostały na zamówienie. Kuchnia jak i łazienka zostaną w pełni wyposażone w zabudowę meblową, dodatkowo kuchnia wyposażona zostanie w sprzęty AGD. Miejsce na pralkę przewidziane jest w zabudowie meblowej zlokalizowanej na korytarzu, przy łazience. Piec gazowy w łasience zostanie zamaskowany drewnianą zabudową. W salonie zamontowane zostaną lamele podkreślające elegancji styl wystroju, w strefie multimedialnej znajdziemy wypukliną strefę na TV, z ukrytym za nią oświetleniem LED, jak i wykonaną na zamówienie szafkę RTV. Na podłogach położone zostały płytki gresowe jak i wysokiej jakości panele imitujące drewno.Łazienka wyposażona została w kabinę prysznicową, WC i zabudowę meblową. Za ogrzewanie podpowiada wodociąg miejski, ciepła woda grzana jest piecem gazowym. W mieszkaniu została zamontowana klimatyzacja z funkcją grzania. Lokalizacja: Iwana Pawłowa zlokalizowana jest w Starym Mieście, Budynek mieście się w środku osiedla składającego się z niskich bloków. Osiedle bogate w zieleń, w bliskim sąsiedztwie znajdują się: szkoła podstawowa nr 97, przedszkole nr 87, park Lesława Krzywoustego jak i liczne restauracje serwujące dania z różnych regionów kulinarnego świata.Komunikacja:W bliskiej odległości od nieruchomości znajdują się przystanki tramwajowe jak i autobusowe pozwalające z łatwością dostać się do pozostałych dzielnic WrocławiaStrony świata:- PołudnieOpłaty:- Czynsz do zarządcy - 500zł - Gaz- prąd Stan prawny:- Mieszkanie własnościowe z KWPOLECAM I ZAPRASZAM NA PREZENTACJĘ!Krzysztof Szarpak609-222-535Jako agent JOT-BE NIERUCHOMOŚCI zapewniam Państwu uniknięcie niepotrzebnego ryzyka i przeprowadzenie korzystnej transakcji.Gwarantuję rynkowe ceny, bezpieczeństwo i obsługę własnego działu prawnego. Stosuję system jakości Polskiej Federacji Rynku Nieruchomości Expert oraz Kartę Praw Klienta Pośrednika. Służę życzliwym zaangażowaniem, ekspercką wiedzą i najwyższym poziomem usług opartym o niemal 40-letnie doświadczenie biura JOT-BE NIERUCHOMOŚCI.Oferta wysłana z programu dla biur nieruchomości ASARI CRM ()</t>
  </si>
  <si>
    <t>https://otodom.pl/pl/oferta/po-remoncie-rynek-plac-legionow-grabiszynska-ID4lwZH</t>
  </si>
  <si>
    <t>4lwZH</t>
  </si>
  <si>
    <t>Apartament Premium 64m Mielno nad morzem</t>
  </si>
  <si>
    <t xml:space="preserve">
Jedyne na wybrzeżu apartamenty z tarasem widokowym i basenem na dachu, w unikatowym położeniu pomiędzy morzem, a jeziorem, otoczone sosnowym lasem z mariną dostępną w najbliższej okolicy!Podejmij dobrą decyzję i te wakacje spędź już we własnym apartamencie.
Cena netto to 1299000 zł.
Cena podana w nagłówku jest ceną brutto i zawiera podatek VAT 23%, który może być Tobie zwrócony przez Urząd Skarbowy, przy każdej formie zakupu apartamentu, również jako osobie fizycznej nie prowadzącej działalności gospodarczej.
Jeżeli interesuje Cię lokal w prestiżowym apartamentowcu nad polskim morzem- kup apartament w Sea &amp;amp; Lake.Zamieszkaj, zarabiaj na wynajmie lub połącz obie te funkcje.Wybór należy do Ciebie.Wszystkie dostępne apartamenty są gotowe do odbioru.Jesteśmy dla Ciebie dostępni przez 7 dni w tygodniu!Rabat za polecenie!Przy zakupie apartamentu przez osobę z grona Twoich znajomych lub rodziny, cena zakupionego apartamentu dla obu nowych właścicieli zostanie obniżona aż o 2%!OfertaApartament numer 204 jest to penthouse o powierzchni 64 m2, z dwiema sypialniami i salonem ok. 30m2 z aneksem kuchennym.Ma balkon 30 m2 na dwie strony świata. Na balkonie jest wyprowadzone podłączenie do instalacji jacuzzi.Oprócz tego winda zawiezie Ciebie na 1000 m2 tarasu wypoczynkowego z basenem na dachu i z pięknym widokiem na siódme co do wielkości jezioro w Polsce i sosnowe lasy.WYKOŃCZENIE APARTAMENTU- wideofon- drzwi zewnętrzne White Gloss INTERDOOR samoopadające- inteligentna klamka z możliwością zdalnej kontroli generująca m.inn. kody wejściowe-zyskujesz 2650 netto- ściana zewnętrzna-witryna suwana Aluprof MB-77HS- sufity z oświetleniem ledowym- podłoga w apartamencie- ogrzewanie podłogowe firmy ROTH- włączniki i gniazdaŁazienka w standardzie VIP:- drzwi wewnętrzne White Gloss INTERDOOR- kafle na ścianach- brodzik Laufen (180x80)- kafle na podłodze pod kolor brodzika - gres rektyfikowany Antico Matt 60x120 cm- ogrzewanie podłogowe firmy ROTH- deszczownica, prysznic- toaleta Grohe z deską Laufen Pro- grzejnik drabinkowy z grzałką i timerem Terma- oświetlenie górne- balkon - płyty tarasowe 60x60 gres Nicea ułożone na wspornikach odprowadzających wodęNa życzenie możemy umeblować każdy apartament "pod klucz".Każdy apartament ma własne liczniki na prąd, wodę i ogrzewanie.Zakup bez prowizji, bezpośrednio od dewelopera.Centralne położenie Mielna w pasie wybrzeża morskiego razem z realizowaną drogą ekspresową S6 zapewnia doskonały dojazd.W planach miejskich w przygotowaniu unikalna w skali Polski i Europy przeprawa żaglowa między jeziorem Jamno, a morzem Bałtyckim.Jesteśmy dla Państwa dostępni przez 7 dni w tygodniu.Zadzwoń po więcej informacji i umów się na wizytęZapraszamy!Treści prezentowane na niniejszej stronie internetowej to informacje handlowe i nie stanowią oferty w rozumieniu Kodeksu Cywilnego.</t>
  </si>
  <si>
    <t>https://otodom.pl/pl/oferta/apartament-premium-64m-mielno-nad-morzem-ID4a1iZ</t>
  </si>
  <si>
    <t>4a1iZ</t>
  </si>
  <si>
    <t>Apartament inwestycyjny w Juracie</t>
  </si>
  <si>
    <t>Ratibora, Jurata, Jastarnia, pucki, pomorskie</t>
  </si>
  <si>
    <t>Wyjątkowa oferta wygodnego i świetnie zlokalizowanego apartamentu w Juracie. Apartament zapewnia pełne obłożenie od maja aż do połowy września dzięki temu jest świetną inwestycją i miejscem do odpoczynku dla właściciela. Takie oferty zdarzają się bardzo rzadko - nie czekaj i przekonaj się osobiście o atrakcyjności tej inwestycji.GŁÓWNE ZALETY+Wyjątkowa lokalizacja i atrakcyjne niezatłoczone plaże.+Możliwość inwestycji i odpoczynku.+Przestronny i dobrze zaaranżowany apartament z garażem na sprzęt sportowy i samochód.+Zamknięte osiedle z ogrodem.+Potencjał wynajmu dobowego - w sezonie gwarantowane pełne obłożenieLOKALIZACJAJurata to jedna z najbardziej atrakcyjnych miejscowości na półwyspie Helskim. Jest to miejscowość z luksusowymi hotelami i apartamentami ale jednocześnie gęstość zabudowy jest stosunkowo niewielka .Te dwa parametry nadają jej wyjątkowego uroku i sprawiają, że w szczycie sezonu plaże nie są tak zatłoczone jak w innych miejscowościach na półwyspie. W pobliżu pełna infrastruktura turystyczna : restauracje, bary, wypożyczalnie sprzętu oraz szkoły surfingu. Zaledwie kilka minut spaceru i możemy korzystać z plaży nad otwartym morzem lub nad Zatoką Pucką gdzie woda jest dużo cieplejsza. Pobliskie hotele oferują możliwość korzystania ze SPA i basenu co pozwala korzystać z morskiego mikroklimatu również poza sezonem letnim.APARTAMENTO powierzchni 54m2 , 3 pokojowy zaaranżowany w klimacie marynistycznym. Apartament posiada duży 10 m2 narożny balkon od strony południowo zachodniej. Stan apartamentu jest dobry i  w zależności od potrzeb nowego właściciela wystarczy go gruntownie odświeżyć albo  wyremontować dostosowując idealnie do oczekiwań na co pozwala też konstrukcja gdzie większość ścian jest działowych co daje możliwość dowolnej aranżacji przestrzeni.Apartament składa się z:salonu z aneksem kuchennym (20 m2) z wyjściem na duży (10m2) słoneczny balkondwóch sypialni (8 i 12,3 m2)łazienki z prysznicem (4,5 m2)schowka- garderoby (2 m2) z możliwością wykorzystania na drugą łazienkę przestronnego holu (7 m2)BUDYNEKBudynek z 2000r jest częścią zamkniętego ogrodzonego mini-osiedla składającego sie z dwóch apartamentowców . Teren jest ogrodzony i znajduje sie na nim duży ogród tylko dla właścicieli i ich gości. Jest to świetne miejsce dla dzieci czy też spotkań przy grillu. W budynku znajduje się 16 apartamentów oraz hala garażowa. INFORMACJE DODATKOWEzamykany garaż (16m2) w hali garażowej w cenie 70tys (osobna KW) ale zakup obligatoryjnyczynsz średnio ok 700zł okna PCVpodłogi terakota oraz panelebudynek monitorowanywyposażenie do uzgodnieniaogrzewanie z kotłowni centralnej osiedla (olejowe) apartament jest wynajmowany dobowo DOSTĘPNOŚĆ -do uzgodnienia ZAPRASZAM DO KONTAKTU I ZOBACZENIA MIESZKANIA NA ŻYWO ! 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</si>
  <si>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https://otodom.pl/pl/oferta/apartament-inwestycyjny-w-juracie-ID4kv2k</t>
  </si>
  <si>
    <t>4kv2k</t>
  </si>
  <si>
    <t>80m2 blisko centrum i Politechniki, do remontu</t>
  </si>
  <si>
    <t>ul. bł. Czesława, Baildona, Gliwice, śląskie</t>
  </si>
  <si>
    <t>Oferujemy na sprzedaż duże mieszkanie z potencjałem do remontu zlokalizowane w Gliwicach przy ul. Błogosławionego Czesława.Prezentowany lokal usytuowany jest na 1 piętrze w 4-piętrowej kamienicy. W budynku w ostatnich latach został wykonany remont dachu oraz wymieniono piony wodno-kanalizacyjne. Obecnie trwa remont klatki schodowej podczas którego zostanie wymieniona instalacja elektryczna, instalacja gazowa oraz wszystkie okna (wymieniono już instalację elektryczną). Na powierzchnię 80m2 składa się:* Obszerny salon* Duża sypialnia z garderobą* Kuchnia* Łazienka z wc* PrzedpokójDodatkowo do mieszkania przynależy piwnica o powierzchni 5,90m2.Mieszkanie w stanie do remontu. Okna drewniane.Załączone wizualizacje są propozycją aranżacyjną jak można zaadaptować obecny układ mieszkania i jak może ono wyglądać po remoncie. W załączonej propozycji przeniesiono łazienkę do garderoby by uzyskać dużą kuchnie z oknem i jadalnią.Obecnie ogrzewanie węglowe - w budynku jest gaz. Możliwość zmiany na ogrzewanie gazowe lub elektryczne.Przyszły właściciel ani goście go odwiedzający nie będą mieli nigdy problemu z zaparkowaniem samochodu ze względu na dużo ogólnodostępnych miejsc parkingowych przy budynku i ulicy.Nieruchomość zlokalizowana jest w Gliwicach przy ul. Błogosławionego Czesława w bliskiej odległości od politechniki oraz centrum. W najbliższym otoczeniu znajdują się sklepy, przychodnia, centrum handlowe, apteka, piekarnia, szkoła oraz wszelkiego rodzaju usługi najpotrzebniejsze w codziennym życiu. Bardzo dobrą komunikację zapewnia bliskość zjazdu na DTŚ oraz liczne przystanki autobusowe w okolicy. Mieszkanie nada się idealnie zarówno na własne cele mieszkaniowe ale również jako inwestycja pod wynajem ze względu na jego lokalizację - blisko do centrum, politechniki i najważniejszych miejskich instytucji. Comiesięczne opłaty administracyjno-eksploatacyjne kształtują się na poziomie 440 zł (bez wody).Brak obciążeń i zadłużeń.Zapraszam do kontaktuMateusz Pytlarz 537 229 916Zapewniamy profesjonalną bezpłatna obsługę kredytową, oraz pomoc w przeprowadzeniu wszelkich formalności związanych z transakcją i notariuszem.Treść niniejszego ogłoszenia nie stanowi oferty handlowej w rozumieniu Kodeksu Cywilnego.</t>
  </si>
  <si>
    <t>https://otodom.pl/pl/oferta/80m2-blisko-centrum-i-politechniki-do-remontu-ID4lXiF</t>
  </si>
  <si>
    <t>4lXiF</t>
  </si>
  <si>
    <t>Apartament 4 pok. z dużym tarasem -w Mierzynie</t>
  </si>
  <si>
    <t>Mierzyn, Dobra (Szczecińska), policki, zachodniopomorskie</t>
  </si>
  <si>
    <t>Atrakcyjny apartament o powierzchni 105 m2 na pierwszym piętrze w Mierzynie. Mieszkanie znajduje się w budynku dwu lokalowym w zabudowie bliźniaczej. Wejście do mieszkania z poziomu parteru poprzez duży przestronny hol o pow. 11,06 m2, na którym znajduje się garderoba o pow. 4,11 m2 i wejście na szerokie schody, które prowadzą do części mieszkalnej apartamentu. Na piętrze duża przestrzeń do własnej aranżacji, na której znajdują się : salon o pow. 33,85 m2, kuchnia o pow. 8,50 m2 -otwarta na salon, pomieszczenie gospodarcze o pow. 2,36 m2, przestrzeń komunikacyjna o pow. 8,56 m2, toaleta o pow. 3,30m2, łazienka z oknem o pow. 4,43 m2, a także trzy pokoje o pow. 10,39 m2, 7,84 m2 i 11,61 m2. Z salonu i każdego z pokoi -wyjście na taras o łącznej pow. 50,75m2. W całym mieszkaniu jest ogrzewanie podłogowe gazowe (kocioł za zasobnikiem Dietrich), dodatkowo grzejnik drabinkowy w łazience oraz na klatce schodowej przy wejściu. Okna trzyszybowe PCV, na ścianach tynki gipsowe, parapety wewnętrzne kamienne, doprowadzony światłowód, wentylacja grawitacyjna, instalacja wodno -kanalizacyjna -podejścia pod przybory, instalacja elektryczna z wyposażeniem w osprzęt (bez oświetlenia). Do każdego mieszkania przynależą dwa miejsca parkingowe. Mieszkanie świetnie nadaje się dla rodziny wielodzietnej, a także pod inwestycję -na wynajem.Posiadamy w ofercie 2 takie mieszkania (lustrzane odbicia) na pierwszym piętrze.!!! KUPUJĄCY NIE PŁACI PCC 2% !!!Załączone zdjęcia są jedynie wizualizacją mieszkania.Atrakcyjny apartament o powierzchni 105 m2 na pierwszym piętrze w Mierzynie. Mieszkanie znajduje się w budynku dwu lokalowym w zabudowie bliźniaczej. Wejście do mieszkania z poziomu parteru poprzez duży przestronny hol o pow. 11,06 m2, na którym znajduje się garderoba o pow. 4,11 m2 i wejście na szerokie schody, które prowadzą do części mieszkalnej apartamentu. Na piętrze duża przestrzeń do własnej aranżacji, na której znajdują się : salon o pow. 33,85 m2, kuchnia o pow. 8,50 m2 -otwarta na salon, pomieszczenie gospodarcze o pow. 2,36 m2, przestrzeń komunikacyjna o pow. 8,56 m2, toaleta o pow. 3,30m2, łazienka z oknem o pow. 4,43 m2, a także trzy pokoje o pow. 10,39 m2, 7,84 m2 i 11,61 m2. Z salonu i każdego z pokoi -wyjście na taras o łącznej pow. 50,75m2. W całym mieszkaniu jest ogrzewanie podłogowe gazowe (kocioł za zasobnikiem Dietrich), dodatkowo grzejnik drabinkowy w łazience oraz na klatce schodowej przy wejściu. Okna trzyszybowe PCV, na ścianach tynki gipsowe, parapety wewnętrzne kamienne, doprowadzony światłowód, wentylacja grawitacyjna, instalacja wodno -kanalizacyjna -podejścia pod przybory, instalacja elektryczna z wyposażeniem w osprzęt (bez oświetlenia). Do każdego mieszkania przynależą dwa miejsca parkingowe. Mieszkanie świetnie nadaje się dla rodziny wielodzietnej, a także pod inwestycję -na wynajem.Posiadamy w ofercie 2 takie mieszkania (lustrzane odbicia) na pierwszym piętrze.!!! KUPUJĄCY NIE PŁACI PCC 2% !!!Załączone zdjęcia są jedynie wizualizacją mieszkania.Oferta wysłana z programu dla biur nieruchomości ASARI CRM ()</t>
  </si>
  <si>
    <t>https://otodom.pl/pl/oferta/apartament-4-pok-taras-w-mierzynie-promocja-ID4jVt7</t>
  </si>
  <si>
    <t>4jVt7</t>
  </si>
  <si>
    <t>2pokoje/salon z aneksem+sypialnia/po remoncie gene</t>
  </si>
  <si>
    <t>Giszowiec, Katowice, śląskie</t>
  </si>
  <si>
    <t>Mam przyjemność zaprezentować piękne, jasne mieszkanie po remoncie generalnym, znajdujące się w jednej z najpiękniejszych dzielnic Katowic-Giszowcu.  Parametry mieszkania:Ilość pokoi: 2 (pokój+salon z aneksem kuchennym)Metraż:38m2Budynek: blok po termomodernizacjiPiętro:5/10Winda; TAKBalkon:TAKPiwnica:TAKOgrzewanie:miejskieWoda ciepła: z sieci miejskieMiejsce parkingowe: dużo miejsc ogólnodostępnych pod budynkiemEkspozycja okien: północny zachód  Stan:mieszkanie po remoncie generalnym z wymianą instalacji włącznie. Wyposażenie:W łazience (toaleta, kabina prysznicowa, szafka z umywalką i lustro)Kuchnia w stanie deweloperskim z możliwością wykończenia jej przez naszą ekipę. Na zdjęciu przykładowa propozycja wykończenia (wizualizacja) Lokalizacja:Nieruchomość znajduje się w niezwykle urokliwej części Katowic, jaką jest dzielnica Giszowiec. W mieście ogród można zobaczyć zarówno zabytkowe domy z zadbanymi, imponującymi ogrodami jak i liczne tereny zielone w tym Park Giszowiecki czy plac Pod Lipami.W pobliżu pełna infrastruktura- szkoły, przedszkola, sklepy, restauracje. Między innymi:Żłobek-3min samochodemPrzedszkole-5min samochodemSzkoła Podstawowa-4min samochodemSklep Lidl-4 min pieszoSklep Carrefour-3 min samochodemStacja benzynowa-2 min samochodemWyjazd na autostradę A4-3 min samochodemCentrum  Katowic-8 min samochodem Zapraszam na prezentację nieruchomości Pomożemy Ci w uzyskaniu kredytu. Mieszkanie można zakupić z programu "Bezpieczny Kredyt 2%. Martyna Jagielska Doradcads. nieruchomościE-mail: Tel.: 510 208 588Katowice Silesia Keller Williams Poland</t>
  </si>
  <si>
    <t>https://www.otodom.pl/pl/oferta/2pokoje-salon-z-aneksem-sypialnia-po-remoncie-gene-ID4ohjW</t>
  </si>
  <si>
    <t>4ohjW</t>
  </si>
  <si>
    <t>Mrągowo Wolności | mieszkanie z ogródkiem 49 m2</t>
  </si>
  <si>
    <t>ul. Wolności, Mrągowo, mrągowski, warmińsko-mazurskie</t>
  </si>
  <si>
    <t>O inwestycji
Inwestycja Mrągowo Wolności jest odpowiedzią na potrzeby osób szukających mieszkania w Mrągowie lub chcących zainwestować w nieruchomość na Mazurach. W każdej z dwóch klatek znajduje się winda. Mieszkania na parterze posiadają ogródki.
Niewątpliwym atutem nowego bloku mieszkalnego będzie dogodna lokalizacja blisko centrum Mrągowa. Kilka minut spacerem dzieli Twoje mieszkanie od jeziora, a w pobliżu znajdują się wszystkie niezbędne elementy infrastruktury.
Inwestycja jest świetnie skomunikowana dzięki niedalekiej odległości od głównych dróg oraz zlokalizowana w pobliżu przystanku autobusowego. W pobliżu znajduje się sklep spożywczy oraz apteka (150 m). W niedalekiej odległości znajduje się park handlowy z marketami (300 m). Szpital oraz SOR znajduje sie w odległości około 120 m.</t>
  </si>
  <si>
    <t>https://www.otodom.pl/pl/oferta/mragowo-wolnosci-mieszkanie-z-ogrodkiem-49-m2-ID4njlI</t>
  </si>
  <si>
    <t>4njlI</t>
  </si>
  <si>
    <t>Mieszkanie - Gdańsk Morena</t>
  </si>
  <si>
    <t>ul. Myśliwska, Piecki-Migowo, Gdańsk, pomorskie</t>
  </si>
  <si>
    <t>!! TYLKO U NAS !!!! DOSTĘPNE TYLKO W PEPPERHOUSE !!ATUTY NIERUCHOMOŚCI:- całkowicie zagospodarowany klimatyczny ogród do wyłącznej dyspozycji!- dwustronna ekspozycja!- możliwość wyodrębnienia dodatkowego pokoju!- piękny widok!- kominek!- zamknięte chronione osiedle!CHARAKTERYSTKA:Na sprzedaż komfortowo urządzone mieszkanie o pow. 65,32m2, położone na parterze w budynku z 2010r.W skład nieruchomości wchodzi: :- salon z nowoczesnym aneksem kuchennym i wyjściem na słoneczny taras,- 2 sypialnie,- przedpokój z pojemnymi szafami w zabudowie,- oraz łazienka.Niewątpliwie największym atutem nieruchomości jest przynależny zagospodarowany ogród z wydzielonym miejscem do relaksu, przepięknym widokiem na las oraz funkcjonalnym domkiem narzędziowym.  Ogród jest praktycznie bezobsługowy, głównie dzięki zastosowaniu systemu nawadniającego.Do lokalu przynależy miejsce postojowe w hali garażowej (dodatkowo płatne 35tys. zł). oraz komórka lokatorska o pow. 3,21m2Przed budynkiem ogólnodostępne miejsca parkingowe.LOKALIZACJA:Bardzo dobra komunikacja gwarantuje szybkie dotarcie do centrum miasta oraz obwodnicy Trójmiasta.W okolicy pełna infrastruktura usługowo handlowa. Monitorowane, zamknięte Osiedle Nad Wodą jest bardzo ciekawym miejscem, chociażby ze względu na to, że na terenie osiedla znajduje się staw oraz las. W pobliżu inwestycji znajduje się przystanek autobusowy. Dużym atutem jest także bliskość terenów zielonych oraz kilku punktów handlowo-usługowych.Opłaty kształtują się na poziomie: 700zł/mscZapraszam na prezentację już dziś!Nr oferty: PH656769Barbara Krężelewska</t>
  </si>
  <si>
    <t>https://www.otodom.pl/pl/oferta/mieszkanie-gdansk-morena-ID4msOW</t>
  </si>
  <si>
    <t>4msOW</t>
  </si>
  <si>
    <t>okolice ul. Brzoskwiniowej Balkon/Piwnica/inwest.</t>
  </si>
  <si>
    <t>Gaj, Krzyki, Wrocław, dolnośląskie</t>
  </si>
  <si>
    <t xml:space="preserve">Mieszkanie rozkładowe 82m2 znajdujące się we Wrocławiu na osiedlu Krzyki Gaj.
Mieszkanie składa się z 4 w pełni ustawnych, dużych pokojów, przedpokoju, kuchni oraz oddzielnie łazienki i toalety.
Z salonu jest wyjście na duży balkon.
Mieszkanie jest obecnie wynajmowane. Nowy właściciel może przejąć umowy z najemcami.
Do lokalu przynależy komórka lokatorska.
Mieszkanie znajduje się na 7 piętrze budynku 10 piętrowego. W bloku jest winda. Przed budynkiem bezpłatne miejsca parkingowe dla mieszkańców. Blok ocieplony, nowa elewacja. Wspólnota mieszkaniowa prężnie działająca.
Mieszkanie znajduje się w super lokalizacji. W pobliżu sklepy, kawiarnie, szkoły, przedszkola, Uniwersytet, przystanki autobusowe i tramwajowe. Do centrum 10min tramwajem.
Dużym atutem jest również dostępność terenów zielonych (Parków, Placów Zabaw, Wybiegów dla psów)
Mieszkanie sprawdzi się zarówno jako miejsce do zamieszkania dla rodziny z dziećmi, dla studentów, a także jako inwestycja pod wynajem.
mieszkanie 4-pokojowe o powierzchni 82 m²
7 piętro w 10-piętrowym bloku z windą
Wrocław, Krzyki, ul. Jabłeczna
Balkon, piwnica, osobna kuchnia
Mieszkanie do zamieszkania
Odrębna własność z księgą wieczystą
Interesuje Cię zakup tego mieszkania? Zadzwoń i umów się na prezentację.
Cena: 795 000zł - CENA DO NEGOCJACJI
nr oferty : 11073/10630/OMS
Interesuje Cię zakup tego mieszkania?
ZAPRASZAM NA BEZPŁATNĄ PREZENTACJĘ
Przy zakupie otrzymasz wsparcie w uzyskaniu finansowania na zakup nieruchomości.
| Phone: +4████████████6
Kacper Ziorkowski
Specjalista ds. Sprzedaży Nieruchomości
Agencja UNITED Nieruchomości | ul. Młynarska 14/E | 51-116 Wrocław |
Oferta wysłana z programu dla biur nieruchomości ASARI CRM ()
</t>
  </si>
  <si>
    <t>https://www.otodom.pl/pl/oferta/okolice-ul-brzoskwiniowej-balkon-piwnica-inwest-ID4oknt</t>
  </si>
  <si>
    <t>4oknt</t>
  </si>
  <si>
    <t>95 powierzchni + 2 balkony /klucze luty 2024!</t>
  </si>
  <si>
    <t>ul. Aleksandra Dulin'a, Ujeścisko-Łostowice, Gdańsk, pomorskie</t>
  </si>
  <si>
    <t>BEZPOŚREDNIO OD DEWELOPERA.
Park Dulin’a to kameralny, czteropiętrowy blok składający się z 44 mieszkań. Budynek zostanie wybudowany w najnowszej technologii z dbałością o każdy szczegół oraz wyposażony w windę. Dla zwiększenia bezpieczeństwa teren inwestycji zostanie ogrodzony. Usytuowanie budynku będzie na cztery strony świata, dzięki czemu każdy może wybrać kierunek według swoich potrzeb i preferencji.
Lokale będą miały powierzchnie od 40 do 100 m2, wyposażone w przestronny balkon. Ostatnie piętro będzie posiadało antresole, która ma także balkon.
Transakcja obejmuje obligatoryjny zakup miejsca parkingowego naziemnego w cenie 20'000zł oraz komórkę lokatorską- 15'000zł.
LOKALIZACJA
Inwestycja zlokalizowana jest przy ul. Dulin’a vis a vis ul. Dulin’a 12 w dzielnicy Zakoniczyn/ Ujeścisko-Łostowice, położona w południowej części miasta.
Dzielnica ma charakter szybko rozwijającego się przedmieścia. Mimo tego większa część składa się z ulic o uspokojonym ruchu. Dzielnica posiada dużo zieleni. Na obszarze Zakoniczyn położone są dwa duże zbiorniki wodne usytuowane tuż obok osiedla na Potoku Oruńskim, który stanowi lewy dopływ Kanału Raduni. Zbiorniki są oddalone od siebie o około 500 m i połączone ścieżką przebiegającą przez las wzdłuż potoku.
W pobliżu inwestycji zlokalizowane są sklepy, restauracje, poczta, place zabaw, apteka, gabinet stomatologiczny, jak również przedszkola i żłobki co wpływa korzystnie na komfort życia codziennego.
W niedalekiej odległości funkcjonują dwie nowoczesne szkoły podstawowe. Do jednej z nich prowadzi ścieżka pieszo-rowerowa. W sąsiedztwie szkoły znajduje się przystanek tramwajowy.
Na terenie osiedla jeżdżą autobusy ZTM w Gdańsku na południu łączące Zakoniczyn z węzłem przesiadkowym Łostowice Świętokrzyska umożliwiającym przesiadkę na tramwaj w inne rejony Gdańska, a także z węzłem Gdańsk Jasień umożliwiając przesiadkę na pociąg.
Do centrum jest zaledwie 8 km, a do plaży w Gdańsku tylko 15 km.
Zachęcamy do kontaktu z biurem sprzedaży znajdującego się na terenie inwestycji od poniedziałku do piątku w godzinach 10:00 – 18:00.
*Przedstawiona oferta cenowa ma charakter informacyjny i nie stanowi oferty handlowej w rozumieniu ART. 66 par. 1 Kodeksu Cywilnego.</t>
  </si>
  <si>
    <t>https://www.otodom.pl/pl/oferta/95-powierzchni-2-balkony-klucze-luty-2024-ID4mbvz</t>
  </si>
  <si>
    <t>4mbvz</t>
  </si>
  <si>
    <t>Osiedle Zodiak | wygodne mieszkanie 39 M62</t>
  </si>
  <si>
    <t>Mieszkanie:
Przedmiotem ogłoszenia jest 1-pokojowe mieszkanie położone na 3 piętrze w inwestycji Osiedle Zodiak. To nowy lokal o powierzchni 26,3 m kw.  Cechą inwestycji jest wysoki standard i świetna lokalizacja. Zapraszamy do zapoznania się z ofertą i do kontaktu.
Inwestycja
Pierwszy z budowanych budynków to jeden z 13 obiektów wznoszonych w ramach inwestycji ZODIAK przy ul. Domagały w Krakowie. Osiedle realizowane jest przez firmę Grupa Orion Investment S.A.
Na pięciu kondygnacjach naziemnych budynku znajdą się 78 lokale mieszkalne. Będą to mieszkania jedno-, dwu- i trzypokojowe. Najmniejsze z nich będą miały powierzchnię około 25 metrów kwadratowych, a metraż największych wyniesie nieco ponad 64 metry kwadratowe.
Do mieszkań na parterze będą przynależały ogródki, natomiast do lokali na wyższych kondygnacjach zaprojektowano balkony. 
Inwestycja będzie posiadała miejsca parkingowe w hali garażowej. Komunikację między wszystkimi kondygnacjami obsłuży nowoczesna winda.
Mieszkania w inwestycji ZODIAK będą oddane w stanie deweloperskim. Ściany zostaną pokryte tynkiem gipsowym maszynowym, a na podłogach będą wylewki cementowe. W lokalach mieszkalnych zostaną zamontowane drzwi wejściowe antywłamaniowe, a także nowoczesne okna.
Termin realizacji budynku powstającego na osiedlu ZODIAK zaplanowano na IV kwartał 2024 r.
Lokalizacja
Nowoczesne osiedle ZODIAK zlokalizowane jest w południowo - wschodniej części Krakowa z dobrym wjazdem na S7 oraz A4. Dzięki temu mieszkańcy osiedla będą mieli możliwość łatwego wyjazdu na obwodnicę i ominięcie zakorkowanych ulic w mieście.
Dla osób, które podróżują komunikacją zbiorową, zapewne dobrą informacją jest to, że niedaleko inwestycji realizowany jest przystanek kolei aglomeracyjnej - stacja Kraków Złocień, oraz fakt funkcjonowania przystanków obsługiwanych przez linie aglomeracyjne Miejskiego Przedsiębiorstwa Komunikacyjnego w Krakowie. W planach miasta jest też wybudowanie w niedalekiej przyszłości linii tramwajowej przy ul.Śliwiaka. Mieszkańcy inwestycji, którzy lubią ruch i rekreację na świeżym powietrzu, zapewne docenią bliskość terenów zielonych wokół.
O nas
Orion Investment S.A. działa na rynku deweloperskim, oferując mieszkania i domy – Kraków to główny obszar, na którym jesteśmy do Państwa dyspozycji i tu tutaj skupiamy nasze inwestycje.
W naszej ofercie znajdują się zarówno luksusowe i przestronne apartamenty znajdujące się w samym sercu Krakowa, jak również ekonomiczne propozycje przeznaczone dla młodych. Dzięki temu, że wychodzimy naprzeciwko oczekiwaniom wszystkich naszych klientów, znalezienie w naszej ofercie idealnego lokum nie powinno być żadnym problemem.
Kładziemy nacisk na nowoczesne rozwiązania w budownictwie oraz profesjonalne wykończenie i najwyższą jakość stosowanych materiałów, wybieramy najbardziej atrakcyjne lokalizacje i fachową pomoc naszym klientom w spełnianiu ich marzeń. Orion Investment S.A. – tu czeka to wymarzone mieszkanie – Kraków – zapraszamy serdecznie do bliższego zapoznania się z naszą pełną ofertą!</t>
  </si>
  <si>
    <t>https://www.otodom.pl/pl/oferta/osiedle-zodiak-wygodne-mieszkanie-39-m62-ID4my8F</t>
  </si>
  <si>
    <t>4my8F</t>
  </si>
  <si>
    <t>Mieszkanie 3pok 40m2 Plac Bankowy al. Solidarności</t>
  </si>
  <si>
    <t>Śródmieście Północne, Śródmieście, Warszawa, mazowieckie</t>
  </si>
  <si>
    <t>Na sprzedaż 3-pokojowe mieszkanie o pow. 40,58 m2 zlokalizowane przy al. Solidarności w Śródmieściu. Bardzo dobra lokalizacja: w promieniu 300 m Plac Bankowy i stacja metra Ratusz Arsenał; Pałac Kultury i Nauki, Starówka i Zamek Królewski w odległości 1,5 km.Mieszkanie zlokalizowane na 4 piętrze w czteropiętrowym bloku bez windy, z lat 50-tych. Na powierzchnię składają się: pokój dzienny z aneksem kuchennym, 2 sypialnie, łazienka, pralnia oraz przedpokój z wbudowaną szafą. Brak balkonu.Lokal po remoncie. Wymienione instalacje. Okna PCV. Na podłogach wysokiej jakości panele.Ogrzewanie z sieci miejskiej. Koszty utrzymania: czynsz do administracji 420 PLN (w tym zaliczka na wodę, ogrzewanie, śmieci) + prąd wg wskazań licznika.Do korzystania piwnica. Na terenie wspólnoty parking dla mieszkańców na plakietki.Dla nieruchomości nie sporządzono świadectwa charakterystyki energetycznej.Dane kontaktowe do agenta: Lena Sosnowska Tel: 881-006-091 E-mail:  ---For sale, a 3-room apartment with an area of 40.58 m2 located on Solidarności Avenue in the city center. Very good location: within a radius of 300 m, there is Plac Bankowy and Ratusz Arsenał metro station; Palace of Culture and Science, Old Town, and the Royal Castle are within a distance of 1.5 km.The apartment is situated on the 4th floor of a four-story building without an elevator, dating back to the 1950s. It comprises a living room with a kitchenette, 2 bedrooms, a bathroom, a laundry room, and an entrance hall with a built-in wardrobe. No balcony.The premises have undergone renovation. The installations have been replaced. PVC windows. High-quality panels on the floors.Heating from the municipal network. Maintenance costs: administration fee of 420 PLN (including an advance payment for water, heating, garbage) + electricity according to the meter readings.A cellar is available for use. In the community area, there is parking for residents with permits.For the property, an energy performance certificate has not been prepared. For service in English, please call Mariola Sklorz at: +48 888-889-529.-Biuro nieruchomości PROPERCO współpracuje z doświadczonymi specjalistami finansowymi, oferującymi sprawdzenie zdolności kredytowej oraz przedstawienie oferty finansowania nieruchomości / Informacje dotyczące opisu nieruchomości podane są przez właściciela, mają charakter wyłącznie informacyjny i mogą podlegać aktualizacji. Oferta dotycząca nieruchomości nie stanowi oferty określonej w art. 66 i następnych KC.Zapraszamy do siedziby naszego biura w Warszawie przy ul. Brylowskiej 2 lok. 3B (Wola, Czyste).Dane adresowe:PROPERCO sp. z o.o. sp.kul. Brylowska 2 lok. 3B01-216 Warszawa/</t>
  </si>
  <si>
    <t>https://www.otodom.pl/pl/oferta/mieszkanie-3pok-40m2-plac-bankowy-al-solidarnosci-ID4oFvV</t>
  </si>
  <si>
    <t>4oFvV</t>
  </si>
  <si>
    <t>Mieszkanie 44m2 w centrum Bez pośredników</t>
  </si>
  <si>
    <t>Piotrków Trybunalski, łódzkie</t>
  </si>
  <si>
    <t>Sprzedam dwupokojowe mieszkanie 44m2 w centrum na ul. Armii Krajowej  Dwa pokoje, przedpokój, kuchnia, łazienka z toaletą. W łazience pralka. Mieszkanie częściowo umeblowane. W pokoju duża szafa w zabudowie. W kuchni zmywarka. Do mieszkania należy również piwnica.  Blok nie jest z wielkiej płyty. Budowany był metodą tradycyjną z cegły. Posiada 4 piętra.  Super lokalizacja. Wszędzie blisko. Idealnie skomunikowane. Obok przedszkole i duży plac zabaw. Niedaleko szkoła, przystanek, sklepy.  W mieszkaniu wymieniona instalacja gazowa, kanalizacyjna i wodociągowa. W pokoju wykonana wyciszająca przedścianka. Blok po wymianie pionów instalacyjnych. Cały budynek wykonany w technologii tradycyjnej murowanej, wykonane docieplenie ścian i dachu. Czynsz do spółdzielni obecnie wynosi 440zł.  Możliwość obejrzenia po wcześniejszym umówieniu się drogą telefoniczną dostępne od zaraz.</t>
  </si>
  <si>
    <t>https://www.otodom.pl/pl/oferta/mieszkanie-44m2-w-centrum-bez-posrednikow-ID4oyKA</t>
  </si>
  <si>
    <t>4oyKA</t>
  </si>
  <si>
    <t>Przytulne | W samym sercu Dąbrówki | Koło lasu</t>
  </si>
  <si>
    <t>TOBIS Nieruchomości sp. z o.o.Kupujesz bezpiecznie z ubezpieczonym biurem w PZU SA do wysokości 1,5 mln euro.Jako liderzy rynku nieruchomości z 2020r. i 2021r. w Wielkopolsce według serwisu Otodom zapraszamy Państwa do zakupu wyjątkowej nieruchomości:• 3 pokojowy dom w zabudowie szeregowej ze znakomitym rozkładem pomieszczeń w fantastycznej lokalizacji!• Adres: Dąbrówka, ul. Świerkowa• Powierzchnia lokalu - 73,02 m2, w tym:Na parterze:o Salon z wyjściem na ogród: 18,27 m2o Kuchnia: 9,19 m2o Toaleta: 1,34 m2o Komunikacja: 6,09 m2Na piętrze:o Sypialnia: 11,23 m2o Pokój dziecięcy: 10,18 m2o Korytarz: 11,37 m2o Łazienka: 5,35 m2✅Dodatkowo zamykana wiata garażowa - ok. 20 m2.✅Dodatkowo przytulny ogródek!NIERUCHOMOŚĆ IDEALNA DLA RODZINY 3/4 OSOBOWEJ CENIĄCEJ SOBIE SPOKÓJ I BEZPIECZEŃSTWOA CO W POBLIŻU?Dom zlokalizowany w samym sercu Dąbrówki - blisko lasu idealnego na rodzinne spacery i aktywne spędzanie czasu wolnego w otoczeniu natury. Wszystkie potrzebne sklepy pod nosem.W bardzo bliskiej odległości:Sklepy: Lidl (350 m), Netto (350 m), Biedronka (800 m), Żabka (500 m), Stokrotka (350 m)Komunikacja: dająca doskonały dojazd do Centrum Poznania: o Przystanek autobusowy (400 m), linie: 257, 727, 729, 796, 797 o Stacja kolejowa Palędzie (650 m) - dająca niezależność nastolatkom w dojazdach do PoznaniaEdukacja: szkoły podstawowe, żłobki z świetną opinią, przedszkolaPozostałe: paczkomat (350 m), poczta (350 m), place zabaw, Orlen (900 m), tereny zielone.CECHY NIERUCHOMOŚCI:✅Dwupiętrowe mieszkanie w zabudowie szeregowej z 2006 roku✅W pełni umeblowany z kominkiem w salonie✅Dodatkowo do nieruchomości przynależy duża wiata garażowa idealna na samochód✅Cicha i spokojna okolica✅Wolne od zaraz!SERDECZNIE ZAPRASZAMY DO KONTAKTU:TOBIS NieruchomościDoradca ds. nieruchomości:Dominik Batycki ☎ 602-755-661Pracujesz z najlepszymi specjalistami w branży w całej Wielkopolsce:- TOP 3 w konkursie LIDER NIERUCHOMOŚCI portalu otodom za 2020r.- TOP 5 w konkursie LIDER NIERUCHOMOŚCI portalu otodom za 2021r.Obsługa formalności / proces zakupu z TOBIS Nieruchomości:• Komplet dokumentów do zakupu przygotowuje biuro nieruchomości• Transakcja jest ubezpieczona do wysokości ceny zakupowej• Biuro nieruchomości bezpłatnie pomaga w uzyskaniu kredytu hipotecznego• Każda nasza nieruchomość, która prezentowana jest na sprzedaż badana jest przez nasze biuro pod kątem prawnym i formalnym.• Kupujesz od licencjonowanego biura nieruchomości: licencja PFRN nr 24517 BEZPIECZNA TRANSAKCJA</t>
  </si>
  <si>
    <t>https://www.otodom.pl/pl/oferta/przytulne-w-samym-sercu-dabrowki-kolo-lasu-ID4oyAy</t>
  </si>
  <si>
    <t>4oyAy</t>
  </si>
  <si>
    <t>Parter!! Z ogródkiem!!! 2 pokojowe!!!Wilanów!!</t>
  </si>
  <si>
    <t>Powsinek, Wilanów, Warszawa, mazowieckie</t>
  </si>
  <si>
    <t>Mieszkanie w Wilanowie o niepowtarzalnym klimacie z widokiem na patioMieszkanie w Wilanowie o powierzchni 40,77 m2 plus ogródek 36,37 m2 z funkcjonalnym tarasem oraz elektryczną markizą.Doskonała lokalizacja. Blisko przystanki autobusowe i wjazd na Południową Obwodnicę Warszawy. W okolicy przedszkole, szkoła, przychodnia państwowa, prywatna, sklepy, restauracje, piekarnie, kawiarnie, Rossman, Empik. Dużo zieleni, parków, ścieżki rowerowe, siłownie miejskie, stacja Veturilo. zamknięty teren, ochrona, monitoring).Na tarasie znajduje się wyjście ciepłej i zimnej wody dzięki czemu można zarówno podlewać trawnik jak i napełnić dzieciom basen.Miejsce parkingowe w garażu podziemnym dodatkowo płatne 50.000 zł.Osiedle zamknięte, z recepcją, ochroną i monitoringiem</t>
  </si>
  <si>
    <t>https://www.otodom.pl/pl/oferta/parter-z-ogrodkiem-2-pokojowe-wilanow-ID4ofgN</t>
  </si>
  <si>
    <t>4ofgN</t>
  </si>
  <si>
    <t>Zabobrze 78,36m2, balkon winda, w pełni wyposażone</t>
  </si>
  <si>
    <t>Zapraszamy do zapoznania się z ofertą sprzedaży mieszkania w Jeleniej Górze - Zabobrze. Mieszkanie spółdzielcze własnościowe o powierzchni 78,36m2, znajdujące się na drugim piętrze bloku z windą. Mieszkanie sprzedawane jest wraz z całym wyposażeniem tj. meblami oraz sprzętem na gwarancji. Mieszkanie składa się z otwartego hallu połączonego z jadalnią i kuchnią, salonu z wyjściem na balkon, dwóch sypialni, łazienki z prysznicem oraz oddzielnej toalety. Dodatkowo do mieszkania przynależy piwnica. Mieszkanie jest słoneczne i dwustronne. Na podłogach znajdują się panele, kafle oraz parkiet. Ogrzewanie z sieci miejskiej, czynsz wynosi 990zł (przy 3 zameldowanych osobach), w tym zaliczka na ogrzewanie oraz podgrzewanie ciepłej wody. W pobliżu znajdują się sklepy, przedszkole, szkoła, przystanek autobusowy oraz ścieżki spacerowo-rowerowe. Przy budynku znajdują się miejsca postojowe oraz plac zabaw dla dzieci. Mieszkanie jest atrakcyjne zarówno dla rodzin z dziećmi, jak i dla osób starszych. Zachęcamy do zapoznania się z ofertą oraz zapraszamy na prezentację. Polecamy i zapraszamy na prezentację.  Nota prawna. Opis oferty sporządzony jest na podstawie oględzin nieruchomości oraz informacji przekazanych przez właściciela, może on podlegać weryfikacji i nie stanowi oferty określonej w art. 66 i następnych K.C.</t>
  </si>
  <si>
    <t>https://www.otodom.pl/pl/oferta/zabobrze-78-36m2-balkon-winda-w-pelni-wyposazone-ID4oIID</t>
  </si>
  <si>
    <t>4oIID</t>
  </si>
  <si>
    <t>Mieszkanie w Dobrej Cenie! Myślenice</t>
  </si>
  <si>
    <t xml:space="preserve">Szukasz mieszkania, które nie tylko zapełni przestrzeń, ale również stworzy harmonijną atmosferę? Nasze mieszkania są zaprojektowane z myślą o Twoim komforcie, dobrej cenie  i zrównoważonym stylu życia.LOKALIZACJA: Nasze kameralne, ogrodzone osiedle to oaza spokoju na wzgórzu, z dala od zgiełku ruchliwych ulic. Malownicze trasy rowerowe i spacerowe w pobliżu sprawią, że codzienne życie stanie się prawdziwą przyjemnością dla rodzin, opiekunów psów i miłośników zdrowego trybu życia. Zaledwie 31 km od centrum Krakowa, oferujemy wyjątkowe połączenie ciszy i bliskości centrum. Przystanek autobusowy zaledwie 450 m od osiedla. PROJEKT: Nasze mieszkania, o powierzchni od 25 do 58 m2, to doskonałe rozwiązanie dla osób zróżnicowanych potrzeb. Funkcjonalne 1-3 pokojowe mieszkania z balkonamim, ogródki i tarasami pozwalają cieszyć się prywatnością z widokiem na góry. Dla troski o zdrowie przyszłych mieszkańców, zastosowaliśmy rozwiązania przyjazne alergikom.ECO TECHNOLOGIE: Jesteśmy świadomi roli, jaką odgrywamy w ochronie środowiska. Nasze budynki oparte są na technologii modułowo drewnianej, wykorzystującej naturalne materiały takie jak drewno, wełna mineralna i płyty gipsowo-włóknowe. Zainstalowaliśmy pompy ciepła, instalację fotowoltaiczną, wentylację mechaniczną z rekuperacją i ogrzewanie podłogowe, co przekłada się na niskie koszty eksploatacji mieszkania.KOMFORT I DOSTOSOWANIE: Z myślą o wygodzie mieszkańców, oferujemy windy, miejsca postojowe na rowery oraz dostosowania dla osób z niepełnosprawnościami. Drzwi antywłamaniowe, wideodomofon i monitoring zapewniają poczucie bezpieczeństwa, a 162 miejsca postojowe dla mieszkańców to gwarancja wygody w codziennym życiu.WYKOŃCZENIE:Mieszkanie w stanie deweloperskim, ogrzewanie podłogowe. Wysokość pomieszczeń w zależności od kondygnacji od 260 do 280 cm wysokościZapraszam do dołączenia do naszej społeczności, gdzie mieszkanie staje się nie tylko domem, ale również ekologicznym i komfortowym miejscem do życia. Skorzystaj z tej unikalnej okazji i zainwestuj w swój własny kąt pod słońcem!
Pozdrawiam, Telimena Stachnik Doradca ds. Nieruchomości+4████████████2
Oferta wysłana z programu dla biur nieruchomości ASARI CRM ()
</t>
  </si>
  <si>
    <t>https://www.otodom.pl/pl/oferta/mieszkanie-w-dobrej-cenie-myslenice-ID4o7UM</t>
  </si>
  <si>
    <t>4o7UM</t>
  </si>
  <si>
    <t>Mieszkanie W Nowoczesnym Stylu.</t>
  </si>
  <si>
    <t>ul. Hetmańska, Czuby Północne, Lublin, lubelskie</t>
  </si>
  <si>
    <t>Atrakcyjnie usytuowane, w wygodnie zaaranżowanej przestrzeni mieszkanie 3-pokojowe.Główne atuty nieruchomości: • doskonała komunikacja z centrum• bliskość komunikacji miejskiej• bez wykończeń do indywidualnej aranżacjiNieruchomość złożona z: • pokój z aneksem kuchennym 29,07 m.kw• sypialnia 14,6 m.kw• sypialnia 9,76 m.kw• łazienka 4,25 m.kw• przedpokój 10,29 m.kw W skład nieruchomości wchodzą też:• balkon• miejsce parkingoweTyp ogrzewania: ogrzewanie miejskie. Typ własności: własność. 3-pokojowe mieszkanie o powierzchni 67,97 mkw do indywidualnej aranżacji. 5-kondygnacyjny budynek w sąsiedztwie punktów usługowo-handlowych, szkół, przedszkoli, lokali gastronomicznych. Do dyspozycji mieszkańców za dodatkową opłatą hale garażowe pod budynkiem i komórki lokatorskie. Mieszkanie funkcjonalnie zaaranżowane z balkonem. W budynku winda do poziomu hali garażowej. Dobrze skomunikowane miejsce, przyjazne rodzinom. Oferta z rynku pierwotnego, bez podatku PCC.Zapraszam na prezentację.ZADZWOŃ: 797 331 684.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</si>
  <si>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https://www.otodom.pl/pl/oferta/mieszkanie-w-nowoczesnym-stylu-ID4mA04</t>
  </si>
  <si>
    <t>4mA04</t>
  </si>
  <si>
    <t>2 pokojowe przy parku Szczęśliwickim-Ogrody Shiraz</t>
  </si>
  <si>
    <t>ul. Drawska, Szczęśliwice, Ochota, Warszawa, mazowieckie</t>
  </si>
  <si>
    <t>Na sprzedaż mieszkanie znajdujące się na parterze 3 piętrowego budynku w inwestycji Ogrody Shiraz, zlokalizowane na warszawskiej Ochocie przy Parku Szczęśliwickim. Zadbane, zamknięte osiedle wyposażone w monitoring i całodobową ochronę. Doskonała propozycja dla osób poszukujących nieruchomości w sąsiedztwie zieleni.PomieszczeniaMieszkanie o powierzchni całkowitej 59,39 m2 (54,30 m2 w księdze wieczystej) na którą składa się:- przedpokój 6,5 m2- toaleta 1,5 m2 - łazienka 4,81 m2- salon z aneksem kuchennym 31,75 m2- sypialnia 14,82 m2Nieruchomość wykończona w ponadczasowym stylu przy użyciu wysokiej jakości materiałów. Mieszkanie w idealnym stanie, do tej pory używane sporadycznie jedynie przez właściciela do nocowania w Warszawie.Czynsz do wspólnoty mieszkaniowej w wysokości 650 zł miesięcznie.Do mieszkania przynależy miejsce postojowe w garaż podziemnym - dodatkowo płatne 50 000 zł oraz komórka lokatorska o powierzchni 2,7 m2 - 20 000 zł.LokalizacjaW najbliższym sąsiedztwie znajduje się Park Szczęśliwicki z kawiarniami oraz miejscami na rekreację, puby, restauracje, centrum handlowe Blue City i Reduta. Przystanek autobusowy 3 min pieszo od nieruchomości. W pobliżu zlokalizowany jest dworzec PKS i PKP Dworzec Zachodni, PKP Aleje Jerozolimskie (15 minut pieszo). Dojazd do centrum zajmuje 10 minut samochodem. Szybki dojazd do trasy szybkiego ruchu S2 oraz S8.Prezentowana oferta ma charakter informacyjny, nie stanowi oferty handlowej w rozumieniu Art. 66 par. 1 Kodeksu Cywilnego.</t>
  </si>
  <si>
    <t>https://www.otodom.pl/pl/oferta/2-pokojowe-przy-parku-szczesliwickim-ogrody-shiraz-ID4oHd6</t>
  </si>
  <si>
    <t>4oHd6</t>
  </si>
  <si>
    <t>Mieszkanie w sercu Pruszkowa 3 pokoje PKP Galeria</t>
  </si>
  <si>
    <t>Pruszków, pruszkowski, mazowieckie</t>
  </si>
  <si>
    <t>Zapraszam do kontaktu w celu omówienia oferty
Jarosław Komorowski
J.W. Construction
502 497 521</t>
  </si>
  <si>
    <t>https://www.otodom.pl/pl/oferta/mieszkanie-w-sercu-pruszkowa-3-pokoje-pkp-galeria-ID4ouO5</t>
  </si>
  <si>
    <t>4ouO5</t>
  </si>
  <si>
    <t>Dwa apaartamenty Sopot</t>
  </si>
  <si>
    <t>ul. Władysława Łokietka, Karlikowo, Sopot, pomorskie</t>
  </si>
  <si>
    <t>Nieruchomość w województwie pomorskim w kurorcie nadmorskim SopotApartament w Sopockiej Rezydencji 74m  podzielony na dwa apartamenty 50m+24m.Apartamenty są kompletnie wyposażone, ostatnio wynajmowane krótkoterminowo.W skład kompleksu Sopockiej Rezydencji wchodzą cztery budynki na terenie zamkniętym i chronionym całodobowo.Pod całym kompleksem jest hala garażowa.Serdecznie zapraszam na prezentację</t>
  </si>
  <si>
    <t>https://www.otodom.pl/pl/oferta/dwa-apaartamenty-sopot-ID4nRRM</t>
  </si>
  <si>
    <t>4nRRM</t>
  </si>
  <si>
    <t>Gotowiec Inwestycyjny - Ścisłe centrum Sosnowca</t>
  </si>
  <si>
    <t>ul. Jagiellońska, Centrum / Śródmieście, Sosnowiec, śląskie</t>
  </si>
  <si>
    <t>Mamy przyjemność zaprezentować unikalną ofertę gotowca inwestycyjnego - mieszkanie na pokoje w centralnej lokalizacji Sosnowca, przy ul. Jagiellońskiej. Ta nieruchomość o powierzchni 49 m2 stanowi idealną okazję dla inwestorów poszukujących stabilnego źródła dochodu.
Charakterystyka Nieruchomości:
Mieszkanie o funkcjonalnym rozkładzie, z czterema niezależnymi pokojami w pełni umeblowanymi. Wszystkie cztery pokoje są obecnie wynajęte, co gwarantuje stały i pewny dochód.Kuchnia wyposażona w niezbędny sprzęt, zapewniający wygodę najemcom.Łazienka z prysznicem, umożliwiająca komfortowe korzystanie dla wszystkich lokatorów.
Atuty Inwestycyjne:
Obecne wynajęte wszystkie pokoje - stabilny miesięczny dochód.Doskonała lokalizacja z łatwym dostępem do komunikacji publicznej, sklepów i innych udogodnień, w pobliżu Śląski Uniwersytet Medyczny.Gotowe do prowadzenia interesu mieszkanie na pokoje, eliminujące potrzebę długotrwałych przygotowań czy dodatkowych kosztów związanych z wyposażeniem. 
Dane Finansowe:
Dokładne informacje dotyczące obecnego zysku oraz kosztów eksploatacji dostępne są po skontaktowaniu się z nami.
Dodatkowe Informacje:
Ta nieruchomość to nie tylko mieszkanie, ale także gotowe źródło inwestycyjnego dochodu. Zadzwoń lub napisz, aby uzyskać więcej informacji na temat tej atrakcyjnej oferty. To doskonała szansa na rozpoczęcie inwestycji lub poszerzenie portfolio nieruchomości w dynamicznym rynku Sosnowca.</t>
  </si>
  <si>
    <t>https://www.otodom.pl/pl/oferta/gotowiec-inwestycyjny-scisle-centrum-sosnowca-ID4o0F5</t>
  </si>
  <si>
    <t>4o0F5</t>
  </si>
  <si>
    <t>3 pokojowe mieszkania, pod inwestycję, w Centrum</t>
  </si>
  <si>
    <t>Śródmieście, Katowice, śląskie</t>
  </si>
  <si>
    <t xml:space="preserve">| IDEALNE POD INWESTYCJĘ LUB DO ZAMIESZKANIA!Zapraszam do zapoznania się z ofertą 3 pokojowego mieszkania o powierzchni użytkowej 41,93m2 usytuowane na parterze w 3 piętrowym budynku w Centrum Katowic.Dostępne jest również mieszkanie o metrażu 55,80m2 znajdujące się na 2 piętrze. (cena- 9.500zł/m2)Każde z mieszkań przeszło generalny remont i są gotowe do zamieszkania.Dodatkowe atuty nieruchomości:-Renowacja klatki schodowej-Zainstalowany monitoring na całym terenie obiektu-Wszystkie mieszkania zostały wyremontowane w wysokim standardzie wykończenia, wymienione zostały wszystkie instalacje w mieszkaniach oraz na klatce schodowej-W cenie mieszkania zawarte jest częściowe wyposażenie i umeblowanie (widoczne na zdjęciach)-Ogrzewanie i ciepła woda z pieca gazowego znajdującego się w kotłowni budynku-Niski czynsz około 700zł ( w zależności od metrażu nieruchomości)-Możliwość wynajęcia piwnicy-Nowe okna PCV-Ciche, dobrze przeszklone mieszkania-Wejście do klatki schodowej zabezpieczone domofonemLokalizacja:Nieruchomości znajdują się w świetnej lokalizacji w Centrum Katowic, dzięki czemu jest stosunkowo blisko do wszelkich atrakcji, uczelni, drogi szybkiego ruchu czy samego Rynku Katowic.-550m Rynek Katowic  (pieszo)-300m Dworzec PKP (pieszo)-2,7km Uniwersytet Ekonomiczny (autem)-1,3km Uniwersytet Śląski (pieszo)-1,1km Uniwersytet Medyczny (pieszo)-Droga Średnicowa DTŚ-Galerie handlowe-Komunikacja miejskaMieszkania idealne dla osób ceniących sobie spokój oraz wygodę.Jeśli jesteś zainteresowany nieruchomościami, masz jakieś pytania to zapraszam do kontaktu telefonicznego, w calu umówienia się na prezentację.  | ASPECT NIERUCHOMOŚCI oddział KatowiceOpiekun Oferty- MAJA RUSINul. Żelazna 17d/115tel: 790-848-185DZIĘKI NAM KUPUJESZ TANIO, SZYBKO I BEZPIECZNIE!!! Gwarantujemy bezpieczeństwo transakcji. Oferty zamieszczone na stronie internetowej przygotowywane są na postawie oględzin nieruchomości oraz informacji uzyskanych od właściciela. Weryfikujemy je i sprawdzamy, jednak wszelkie informacje w nich zawarte mogą ulegać aktualizacji, w związku z czym nie stanowią oferty w rozumieniu Kodeksu Cywilnego, a dane w nich zawarte mają jedynie charakter informacyjny.::DODATKOWE INFORMACJE | Rodzaj budynku: kamienica | Dozór budynku: nie | Głośność: ciche | Widok: na podwórko | Gaz: jest | Woda: tak - własna | Dojazd: asfalt | Otoczenie: zabudowa wielorodzinna | Ogrzewanie: własne dla budynku | Komunikacja publ.: autobus miejski | Winda: NIE | Rozkład: rozkładowe | Usytuowanie: dwustronne | Opłaty w czynszu: woda ciepła, fundusz remontowy, prąd, woda | Rodzaj mieszkania: jednopoziomowe | Stan lokalu: Do wprowadzenia | Okna: nowe PCV | Instalacje: nowe | Balkon: brak | Powierzchnia użytkowa [m2]: 41,9300 | Rok budowy: 1905 | Liczba pokoi: 3 | Liczba sypialni: 2 | Podłogi pokoi: panele | Ściany pokoi: malowane | Typ kuchni: aneks kuchenny - połączony z salonem | Rodzaj kuchni: bez zabudowy | Podłoga kuchni: panele | Typ łazienki: razem z wc | Liczba łazienek: 1 | Glazura łazienki: nowego typu | Podłoga łazienki: płytki | Wyposażenie łazienki: WC, umywalka, lustro, kabina prysznicowa | Ściany łazienki: kafelki | Liczba przedpokoi: 1 | Podłoga przedpokoi: panele | Ściany przedpokoi: malowane | ::LINK DO STRONY | ::KONTAKT DO AGENTA | Maja Rusin | +4████████████5 | ::DANE BIURA | Aspect Nieruchomości - Katowice | Żelazna 17D/115 | 44-300 Katowice | +4████████████3 | </t>
  </si>
  <si>
    <t>https://www.otodom.pl/pl/oferta/3-pokojowe-mieszkania-pod-inwestycje-w-centrum-ID4ofJ2</t>
  </si>
  <si>
    <t>4ofJ2</t>
  </si>
  <si>
    <t>Przestronna kawalerka z wanną</t>
  </si>
  <si>
    <t>ul. Bolesława Limanowskiego 22, Zatorze, Olsztyn, warmińsko-mazurskie</t>
  </si>
  <si>
    <t>Zapraszam do zapoznania się z ogłoszeniem, oddzielna kuchnia, łazienka z wanną, okna kukułki , po generalnym remoncie, interesuje mnie sprzedaż bezpośrednia.</t>
  </si>
  <si>
    <t>https://www.otodom.pl/pl/oferta/przestronna-kawalerka-z-wanna-ID4oI2L</t>
  </si>
  <si>
    <t>4oI2L</t>
  </si>
  <si>
    <t>Szykowny 2-pokojowy apartament we Władysławowie!</t>
  </si>
  <si>
    <t>ul. Mikołaja Reja, Władysławowo, Władysławowo, pucki, pomorskie</t>
  </si>
  <si>
    <t>SZYKOWNY 2-POKOJOWY APARTAMENT W NADMORSKIM KURORCIE!LOKALIZACJA:Władysławowo to nadmorski kurort położony nad Morzem Bałtyckim między Mierzeją Helską a przylądkiem Rozewie. Jest to idealna baza wypadowa dla turystów oraz miłośników wypoczynku nad morzem. Komfort życia zapewnia bliskość morza, dobrze rozwinięte zaplecze handlowo-usługowe a także bardzo dobra komunikacja z Trójmiastem!NIERUCHOMOŚĆ: Apartament usytuowany jest na parterze w trzypiętrowym budynku Baltic Nova. Inwestycja ta powstała w 2011 roku w spokojnej i kameralnej części Władysławowa. W bezpośrednim sąsiedztwie znajduje się zabudowa mieszkaniowa i jednorodzinna.CHARAKTERYSTYKA:Przedmiotem sprzedaży jest narożny apartament o powierzchni blisko 55 mkw.Na powierzchnię lokalu składają się:- przestronny salon z aneksem kuchennym i wyjściem na taras- sypialnia wyposażona w pojemną szafę- łazienka wyposażona w kabinę prysznicową, wykończona kaflami- korytarzTaki układ mieszkania sprawia, że jest ono niesamowicie funkcjonalne!Apartament w 2022 roku przeszedł generalny remont! Jest gotowy do zamieszkania lub wynajmu! Wysoki standard wykończenia w neutralnej kolorystyce. Wyposażenie widoczne na zdjęciach zostaje w całości w mieszkaniu, począwszy od mebli po sprzęt AGD!Apartament jest dostępny od zaraz!Do mieszkania przynależy jednostanowiskowy garaż w cenie 40 000 PLN!FINANSE:Cena nieruchomości: 585 000 PLN + 40 000 PLNCzynsz administracyjny około 800 PLNSerdecznie zapraszam na prezentację!Martyna Zakrzewska792 102 132</t>
  </si>
  <si>
    <t>https://www.otodom.pl/pl/oferta/szykowny-2-pokojowy-apartament-we-wladyslawowie-ID4nYYD</t>
  </si>
  <si>
    <t>4nYYD</t>
  </si>
  <si>
    <t>Mieszkanie na parterze Kawalerka w kredycie 2%</t>
  </si>
  <si>
    <t>Białołęka Dworska, Białołęka, Warszawa, mazowieckie</t>
  </si>
  <si>
    <t>ZAPRASZAM DO KONTAKTU
Jarosław Komorowski
J.W. Construction
502 497 521</t>
  </si>
  <si>
    <t>https://www.otodom.pl/pl/oferta/mieszkanie-na-parterze-kawalerka-w-kredycie-2-ID4nCWE</t>
  </si>
  <si>
    <t>4nCWE</t>
  </si>
  <si>
    <t>Kawalerka Szczepin Okazja 27m2/Piwnica</t>
  </si>
  <si>
    <t>Przedmieście Świdnickie, Stare Miasto, Wrocław, dolnośląskie</t>
  </si>
  <si>
    <t>KAWALERKA SZCZEPIN OKAZJA 27m2/PIWNICAPolecamy na sprzedaz kawalerka Wysoki parter , 27m2 duży pokój ,  jasna kuchnia, duża piwnica ul. Zachodnia  Mieszkanie cały czas wynajmowane od wielu lat , spółdzielnia cichy kącik Blok 4 pietrowy lata 80Zapraszam na prezentacje biuro 789 100 422Oferta wysłana z programu dla biur nieruchomości ASARI CRM ()</t>
  </si>
  <si>
    <t>https://www.otodom.pl/pl/oferta/kawalerka-szczepin-okazja-27m2-piwnica-ID4oISo</t>
  </si>
  <si>
    <t>4oISo</t>
  </si>
  <si>
    <t>Ostatnie mieszkania na piętrze ul.Jabłonkowa</t>
  </si>
  <si>
    <t xml:space="preserve">Przedstawiamy Państwu bezczynszowe mieszkanie na sprzedaż. Budowa zakończy się w II kwartale 2023 roku. Jest to samodzielny lokal mieszkalny z udziałem w gruncie i księgą wieczystą. To nowoczesne osiedle powstało w wyjątkowo urokliwym, atrakcyjnym i szybko rozwijającym się rejonie miasta. Mieszkanie będzie oddawane w stanie deweloperskim wyposażone we wszystkie instalacje do wykończenia według własnej aranżacji z własnym indywidualnym wejściem oraz miejscem parkingowym. Budynek wyposażony jest  w instalacje elektryczną oraz instalację sanitarno-grzewczą. Mieszkanie posiada dostęp do telewizji kablowej. Budynek został wybudowany z porothermu i ocieplone z zewnątrz styropianem 20 cm.   Cena mieszkania zawiera miejsce parkingowe.
Lokal o powierzchni 68,00 m2 znajduje się na piętrze składa się z: 2 pokoi, salonu z aneksem kuchennym, łazienki, pomieszczenia gospodarczego oraz klatki schodowej.Do mieszkania przynależy balkon.
Bezpieczeństwo transakcji zapewni Państwu zakup w myśl nowej ustawy deweloperskiej i rachunku powierniczego inwestora.Kupujący nie ponosi kosztów związanych z obsługą biura sprzedaż, zwolniony jest również z podatku od czynności cywilno - prawnych wynoszącego 2%.
</t>
  </si>
  <si>
    <t>https://www.otodom.pl/pl/oferta/ostatnie-mieszkania-na-pietrze-ul-jablonkowa-ID4kT87</t>
  </si>
  <si>
    <t>4kT87</t>
  </si>
  <si>
    <t>Mieszkanie - Pruszcz Gdański</t>
  </si>
  <si>
    <t>Pruszcz Gdański, gdański, pomorskie</t>
  </si>
  <si>
    <t xml:space="preserve">OFERTA DOSTĘPNA  W BIURZE NIERUCHOMOŚCI PEPPER HOUSE!Trzypokojowe mieszkanie w doskonale skomunikowanej części Pruszcza Gdańskiego.ATUTY NIERUCHOMOŚCI:- zlokalizowane w centrum Pruszcza,- trzy  pokoje,- możliwość własnej aranżacji,- ustawny rozkład pomieszczeń,- dogodna komunikacja,- pełna infrastruktura, - zamknięte osiedle,LOKALIZACJA:Nieruchomość położona jest w samym centrum Pruszcza Gdańskiego. W pobliżu mieszkania całe zaplecze handlowo - usługowe. Lokal jest zlokalizowany w cichej i spokojnej okolicy, zarazem będącej doskonale skomunikowaną z centrum Gdańska oraz obwodnicą Trójmiasta.CHARAKTERYSTYKA:Mieszkanie o powierzchni 66,08m2( po podłodze 74m2) znajduje się na ostatnim trzecim piętrze.W skład mieszkania wchodzą:- salon  z wyjściem na balkon- jasna kuchnia- pokój- pokój- przedpokój- łazienka- wcW cenę mieszkania wliczona jest zabudowa kuchenna i wysokiej klasy sprzęt AGD. W sypialni i przedpokoju pojemne szafy typu Komandor. Mieszkanie znakomicie położone. Dookoła pełna infrastruktura handlowo-usługowa.Blisko liczne sklepy osiedlowe, apteka, przychodnia zdrowia, szkoła, przedszkole oraz wiele innych udogodnień i atrakcji.INFORMACJE DODATKOWE:Ogrzewanie gazowe z własnej kotłowni.Wymienione ocieplenie poddasza.Zamontowana wentylacja mechaniczna każdego pomieszczenia.Mieszkanie po generalnym remoncie.Przeprowadzony remont klatki dzięki prężnie działającej wspólnocie.Możliwość zakupu garażu ( 27,18m2) dzięki czemu mamy możliwość parkowania w garażu ale także przed garażem ( za dodatkową opłatą).Opłaty kształtują się na poziomie : zima 600 zł, lato 450 złZapraszam na prezentacje!Karolina SmukałaPH799468 </t>
  </si>
  <si>
    <t>https://www.otodom.pl/pl/oferta/mieszkanie-pruszcz-gdanski-ID4kkyp</t>
  </si>
  <si>
    <t>4kkyp</t>
  </si>
  <si>
    <t>Dom w stylu skandynawskim, dowolny metraż</t>
  </si>
  <si>
    <t>Osiedle Puszcza, Brochów-Kolonia, Brochów, sochaczewski, mazowieckie</t>
  </si>
  <si>
    <t>ZOSTAŁY OSTATNIE 2 DZIAŁKI!!
Osiedle PUSZCZA to kameralne osiedle, składające się z kilkunastu domów. Domy spełniać będą standardy współczesnych mieszkań w mieście, jednocześnie dając przestrzeń i komfort życia w bliskości z naturą.Nowoczesny projekt domu w oparciu o ekologiczne surowce zapewni Państwu radość i spokój. Czas budowy domu w stanie deweloperskim - 6 miesięcy. Możemy wykończyć dom pod klucz. Załatwiamy wszystkie dokumenty oraz odbiór domu.
Proponujemy 4 projekty domu do wyboru (szczegóły i rzuty zamieszczone są na naszej stronie), możemy oczywiście wykonać dowolny projekt Państwa marzeń. Proponowany projekt ma 100m/kw po podłodze.
Dom jest ogrzewany gazem (butla na własność, ceny hurtowe). Możemy również zainstalować pompę ciepła, fotowoltaikę, klimatyzację, zaprojektować ogród.
Istnieje możliwość wykończenia domu pod klucz. Podana cena netto plus 8%vat.
Więcej informacji na naszej stronie OsiedlePuszcza
Zapraszamy :)</t>
  </si>
  <si>
    <t>https://www.otodom.pl/pl/oferta/dom-w-stylu-skandynawskim-dowolny-metraz-ID4osyI</t>
  </si>
  <si>
    <t>4osyI</t>
  </si>
  <si>
    <t>3 Kawalerki w jednym ul.Podwisłocze</t>
  </si>
  <si>
    <t>W ofercie biura Prosper Home na sprzedaż mieszkanie 68m2 zrobione na 3 niezależne kawalerki ul. Podwisłocze SZUKASZ MIESZKANIA POD INWESTYCJĘ!!!CHCESZ SZYBKIEGO ZWROTU ZAINWESTOWANEJ GOTÓWKI???TO MIESZKANIE JEST DLA CIEBIE!!!3 niezależne kawalerki czekają na CIEBIE!!!Mieszkanie to stanowi doskonałą inwestycję pod kątem wynajmu kawalerek, co zapewni stały dochód. Wysoki standard i atrakcyjna lokalizacja przyciągają zarówno klientów zainteresowanych krótkoterminowymi, jak i długoterminowymi wynajmami.Nie przegap tej wyjątkowej okazji! Skontaktuj się z nami już teraz, aby umówić się na spotkanie i odwiedzić to unikalne mieszkanie podzielone na trzy kawalerki w ŚWIETNEJ lokalizacji!!!OPIS NIERUCHOMOŚCI:- powierzchnia mieszkania 68m2- mieszkanie podzielone na 3 niezależne kawalerki - piętro 1/10 wysoki parter- czynsz na jedna kawalerkę wynosi około 300zł- każde z nich posiada osobny pokój z aneksem kuchennym ,łazienkę, przedpokój- wykończone w wysokim standardzie z dbałością o każdy szczegół- w wyposażone w płytę indukcyjna, okap- lodówka i pralka -zakup we własnym zakresie- ogrzewanie i woda z sieci miejskiej- dodatkowo płatny tylko prąd- zdjęcia załączone na ofercie pokazują jak poglądowo będzie wyglądać mieszkanie- w takim stylu i standardzie będzie wykończone jak na załączonych zdjęciach- dostępne od zaraz!!!UKŁAD POMIESZCZEŃ:- mieszkanie podzielone na 3 osobne kawalerki !!!kawalerka nr 1 - aneks kuchenny - pokój- łazienka- przedpokój- balkonkawalerka nr 2 - aneks kuchenny- pokój- łazienkakawalerka nr 3- aneks kuchenny- pokój- łazienka- przedpokójWSPOLNY przedpokój - wejście do mieszkania !!!LOKALIZACJA:- Świetna lokalizacja, ścieżki rowerowe,trasy biegowe, centrum handlowe Milenium Hall,5 minut spacerem do rynku- Uczelnie wyższe w zasięgu ręki- pełna infrastruktura!!!3 KAWALEKI CZEKAJĄ NA CIEBIE!!!MIESZKANIE IDEALNE POD INWESTYCJE !!!!NIE ZWLEKAJ!! ZADZWOŃ I UMÓW SIĘ NA PREZENTACJĘ!!!Agent prowadzący to zlecenie:Natalia BojdaProsper Homeul. Lwowska 635-959 Rzeszówtel. 695 460 393tel. 695 460 390Powyższa oferta ma jedynie charakter informacyjny i nie stanowi oferty handlowej w rozumieniu Art. 66 1 Kodeksu Cywilnego.</t>
  </si>
  <si>
    <t>https://www.otodom.pl/pl/oferta/3-kawalerki-w-jednym-ul-podwislocze-ID4ofJf</t>
  </si>
  <si>
    <t>4ofJf</t>
  </si>
  <si>
    <t>2 pokoje (do remontu) w Super lokalizacji</t>
  </si>
  <si>
    <t>Turzyn, Śródmieście, Szczecin, zachodniopomorskie</t>
  </si>
  <si>
    <t>Obiektem sprzedaży jest mieszkanie o powierzchni 40,75m2 zlokalizowane pomiędzy Galerią Turzyn a kilkoma wydziałami ZUT.Budynek w pierwszej linii zabudowy.Lokal mieści się na pierwszym piętrze w wyremontowanej kamienicy, a w jego skład wchodzą:- większy pokój- pokój mniejszy- niewielki hol- kuchnia- skromna toaleta (nie ujawniona w KW - preferowany zakup gotówkowy)Nieruchomość ogrzewana piecem gazowym dwufunkcyjnym,z oknami PCV i stosunkowo niedużym czynszu (ok.250zł).Wymaga wkładu pracy i finansów, lecz dogodna lokalizacja dla studentów zapewni szybki zwrot z inwestycji do potencjalnych inwestorów.Mieszkanie wolne od zadłużeń i hipotek.POZNAJ MOC MULTIKORZYŚCI:*10% rabatu na wykonanie mebli w firmie DMiR*10% rabatu na wszystkie produkty w LEROY MERLIN oraz projekt kuchni i łazienki gratis *10% rabatu w Hiper Stolarka*voucher na projekt domu w Superdom*oraz wiele innych sprawdź nasKupuj taniej dzięki MULTI NIERUCHOMOŚCI!Oferta wysłana z programu dla biur nieruchomości ASARI CRM ()</t>
  </si>
  <si>
    <t>https://www.otodom.pl/pl/oferta/2-pokoje-do-remontu-w-super-lokalizacji-ID4oq5N</t>
  </si>
  <si>
    <t>4oq5N</t>
  </si>
  <si>
    <t>Mieszkanie na sprzedaż Zabrze Okrzei</t>
  </si>
  <si>
    <t>ul. Stefana Okrzei, Biskupice, Zabrze, śląskie</t>
  </si>
  <si>
    <t>Na sprzedaż mieszkanie do remontu z dużym potencjałem w zabytkowej dzielnicy Zabrza - osiedle Borsiga.Bozywerek to spokojniejsza część dzielnicy Biskupic z zabytkowymi kamienicami zarządzanymi obecnie w większości przez wspólnoty mieszkaniowe. W północnej i środkowej części osiedla znajdują się zabytkowe, prawie stuletnie aleje kasztanowców. Obecnie osiedle należy do najbardziej unikatowych miejsc na Górnym Śląsku. Kamienice są z lat 1863 - 71.Mieszkanie o pow. całkowitej 62,46 m2 z czego 5,71 m2 to piwnica.Mieszkanie jest przygotowane do remontu - tynki skute do oryginalnej cegły, piony wodne i kanalizacyjne po wymianie w całej kamienicy. Elektryka również w kamienicy wymieniona. Na mieszkaniu rozprowadzone nowe kable instalacji elektrycznej.W mieszkaniu pozostaje zainstalowanie ogrzewania (np. gazowego), położenie podłóg oraz wymiana okien i drzwi. Duże możliwości aranżacyjne.Wysokość mieszkania to około 3,20m2 co pozwala na instalację podwieszanych sufitów oraz np. zbudowanie antresoli. Obecny właściciel wyodrębnił już część na łazienkę oraz kuchnie, tak, że obecnie pozostają do dyspozycji dwa ogromne pokoje, z czego można jeszcze wydzielić spokojnie 3 pokój również z własnym oknem. Szybko można pozbyć się także postawionych ścianek i przebudować według własnego pomysłu.Nad mieszkaniem jest nieużytkowany strych, który, jeśli będą chęci przyszłego właściciela można będzie zaadaptować na powiększenie mieszkania o drugi poziom, co obecnie robi się często w kamienicach.Mieszkanie jest jasne dzięki bardzo dużym oknom. Kamienica z zadbaną klatką z nowymi wejściami z obu stron budynku zabezpieczona domofonem.Dużo miejsc parkingowych - pod samą kamienicą, jak i wzdłuż ulicy. Kamienica oddalona od zgiełku i hałasu, gdyż nie znajduje się przy głównej ulicy dzielnicy. Na tej samej ulicy paczkomat, piekarnia, sklepy lewiatan, odido,  przystanek autobusowy, bliziutko przystanki tramwajowe, szpital i poradnie, plac zabaw, park,szkoła.Do C.H. Platan i ścisłego Centrum 2 minuty samochodem. Blisko również wjazd na DK 88. Nieruchomość idealna dla rodziny oraz POD INWESTYCJE np. najmu pracowniczego.Serdecznie zapraszam na prezentację.CENA DO NEGOCJACJI!KONTAKT:Wioleta RycombelEkspert ds. nieruchomościtel.: 536839399Opis oferty zawarty na stronie internetowej sporządzany jest na podstawie oględzin nieruchomości oraz informacji uzyskanych od właściciela, może podlegać aktualizacji i nie stanowi oferty określonej w art. 66 i następnych K.C.</t>
  </si>
  <si>
    <t>https://www.otodom.pl/pl/oferta/mieszkanie-na-sprzedaz-zabrze-okrzei-ID4oAsy</t>
  </si>
  <si>
    <t>4oAsy</t>
  </si>
  <si>
    <t>Rezerwacja Widok na Park Śląski i Staw, 2 sypialni</t>
  </si>
  <si>
    <t>al. Bolesława Krzywoustego, Osiedle Tysiąclecia, Katowice, śląskie</t>
  </si>
  <si>
    <t>Mamy przyjemność zaprezentować wyjątkowy apartament zlokalizowany na Osiedlu Tysiąclecia w Katowicach, przy ul. Bolesława Krzywoustego.Nieruchomość znajduje się na 9 piętrze 12-piętrowego apartamentowca wybudowanego w 2010 roku.Budynek wyposażony jest w 2 windy.Rozkład pomieszczeńNa przestrzeń o powierzchni 89,95 m2 składają się:	dwie niezależne sypialnie, w tym jedna z wyjściem na prywatny balkon z widokiem na Park Śląski	przestronny salon z wyjściem na drugi balkon z widokiem na Staw Maroko,	oddzielna kuchnia z oknem, 	łazienka z prysznicem i WC,	oddzielne WC,	przedpokój,	komórka lokatorska o powierzchni 1,47 m2. Dodatkowe informacje 	Mieszkanie połączone zostało z dwóch mniejszych mieszkań, co czyni je unikatowym.	Ogrzewanie i ciepła woda z sieci miejskiej.	Mieszkanie jest w pełni wyposażone, odświeżone i gotowe do wprowadzenia się.	Dwa ustawne, słoneczne balkony ze wspaniałym widokiem.	Z każdego pokoju widok na zieleń.	Apartamentowiec wybudowany w 2010 roku.	Do nieruchomości przynależy miejsce postojowe w garażu podziemnym dodatkowo płatne w cenie 45 000 zł oraz komórka lokatorska w cenie 10 000 zł.	Przed budynkiem znajduje się parking odgrodzony szlabanem do wyłącznej dyspozycji mieszkańców budynku.Lokalizacja	na terenie osiedla liczne punkty handlowe i usługowe, markety, sklepy spożywcze, apteki, place zabaw	w bliskim sąsiedztwie wejście do Parku Śląskiego	w pobliżu Silesia City Center	bezproblemowy dojazd do centrum miasta samochodem i komunikacją miejską.  Oferta prezentowana jest przez biuro nieruchomości.Przed prezentacją agent prowadzący zobowiązany jest do podpisania umowy pośrednictwa określającej warunki współpracy z zainteresowanym.We Speak English. W celu uzyskania dodatkowych informacji zapraszamy do kontaktu telefonicznego.Agent odpowiedzialny za ofertę: Klaudyna tel: 518-389-185, biuro: 503-661-613, e-mail: , nr licencji pośrednika: 20664.  ::oferta eksportowana z programu mediaRent::</t>
  </si>
  <si>
    <t>https://www.otodom.pl/pl/oferta/rezerwacja-widok-na-park-slaski-i-staw-2-sypialni-ID4mfXi</t>
  </si>
  <si>
    <t>4mfXi</t>
  </si>
  <si>
    <t>Przy Belwederskiej, bezpośrednio.</t>
  </si>
  <si>
    <t>Sielce, Mokotów, Warszawa, mazowieckie</t>
  </si>
  <si>
    <t>Na sprzedaż przestronne mieszkanie o powierzchni 37,6 m2, na dolnym Mokotowie (Sielce). Nieruchomość położona jest u zbiegu ulic Belwederskiej i Nabielaka, vis-à-vis Parku Promenada. Mieszkanie znajduje się na piątym piętrze,  10-piętrowego budynku zbudowanego w technologii ramy H.
Mieszkanie ciepłe. Wschodnia ekspozycja okien, od strony podwórka, zapewnia, że w mieszkaniu jest bardzo cicho.
Mieszkanie składa się z:
·         salonu, kuchni oraz przedpokoju stanowiących jedno pomieszczenie (20.6 m2)
·         sypialni wraz z miejscem biurowym do pracy (13,7 m2)
·         łazienki (3,3 m2)
Mieszkanie 4 lata temu przeszło remont generalny, podczas którego zostały wymienione podłogi (wraz z usunięciem subitu), okna (na PCV), tynki, instalacja elektryczna, wodna i kanalizacyjna. Usunięta instalacja gazowa.
Zabudowa meblowa na wymiar, panele podłogowe w części salonowo-sypialnianej, w łazience oraz kuchni gres, nowoczesne oświetlenie LED. Kuchnia w pełni wyposażona w nowoczesny sprzęt AGD (lodówka w zabudowie, zmywarka, płyta indukcyjna, piekarnik, okap), w łazience kabina prysznicowa walk-in wraz z ukrytą baterią termostatyczną oraz pralka. Salon oraz sypialnia przedzielone są przestronnymi 4-skrzydłowami drzwiami, dzięki czemu pozwalają na uzyskanie dużej przestrzeni, a także na zachowanie prywatności.
Mieszkanie wynajmowane przez okres 4 lat, zadbane, niezniszczone, bardzo dobrze utrzymane.
Do mieszkania przynależy niewielka piwnica oraz współdzielone z innymi mieszkańcami pomieszczenie na wózki i rowery. Mieszkanie posiada balkon.
Świetna lokalizacja:
·         Przystanek dolna 52 (w odległości 50 metrów)
·         Park Promenada (20 metrów)
·         Park Łazienki Królewskie (300 metrów)
·         Bezpośredni tramwaj do centrum oraz Wilanowa od września 2024 (zakończenie prac budowalnych zw. z „Budową tramwaju do Wilanowa”)
Pełna własność (z KW.), jeden właściciel.
Czynsz w wysokości ok. 620 zł.
Transakcja gotówkowa/kredyt gotówkowy (bez hipotecznego).
Idealne dla singla lub pary.
Agencjom, pośrednikom z góry dziękuję, sprzedaż bezpośrednio.</t>
  </si>
  <si>
    <t>https://www.otodom.pl/pl/oferta/przy-belwederskiej-bezposrednio-ID4oqkR</t>
  </si>
  <si>
    <t>4oqkR</t>
  </si>
  <si>
    <t>Dom, 174 m², Nowizna</t>
  </si>
  <si>
    <t>Nowizna, Dzierżoniów, dzierżoniowski, dolnośląskie</t>
  </si>
  <si>
    <t xml:space="preserve">
---
Oferta Sprzedaży Nieruchomości – Lokal Mieszkalny w Nowizna, 1 km od Dzierżoniowa
Opis Nieruchomości:Przedmiotem oferty jest lokal mieszkalny o imponującej powierzchni 174 m2, zajmujący połowę kamienicy na trzech kondygnacjach. Ta urokliwa nieruchomość oferuje nowoczesne udogodnienia, a jednocześnie zachowuje swój historyczny charakter. Dodatkowym atutem jest własny ogródek, idealny do relaksu i korzystania z uroków otaczającej przyrody.
Szczegóły Techniczne:- Nowe ogrzewanie na pellet z podłogowym i grzejnikowym rozprowadzeniem ciepła.- Generalny remont w 2022 roku obejmujący wymianę okien, instalacji wodno-kanalizacyjnej, elektrycznej, oraz podłóg.- Ogrzewanie podłogowe dla komfortu w każdym pomieszczeniu.- Całkowicie nowe pokrycie dachowe z orynnowaniem, gwarantujące bezpieczeństwo i trwałość.- Lokal po remoncie cechuje się nowoczesnymi oknami PCV, gładziami na ścianach i estetycznymi podłogami.
Lokalizacja:Nieruchomość usytuowana jest w malowniczej miejscowości Nowizna, zaledwie 1 kilometr od Dzierżoniowa. Doskonałe połączenie z miastem zapewnia spokój życia wiejskiego wraz z wygodami miejskimi.
Cena Ofertowa:Cena ofertowa nieruchomości to 449 000 zł. Sprzedający rozważy każdą propozycję cenową, co stwarza możliwość negocjacji.
UWAGA: Możliwość dokupienia działki 1827 m2 obok budynku 
Zapraszamy do Kontaktu:Aby uzyskać więcej informacji lub umówić się na oglądanie nieruchomości, prosimy o kontakt.
Nie przegap okazji na zakup tego unikalnego lokalu mieszkalnego, który łączy w sobie tradycję z nowoczesnością. Ta oferta spełni oczekiwania nawet najbardziej wymagających klientów.</t>
  </si>
  <si>
    <t>https://www.otodom.pl/pl/oferta/dom-174-m-nowizna-ID4nVyp</t>
  </si>
  <si>
    <t>4nVyp</t>
  </si>
  <si>
    <t>Krowodrza-Bronowice- Apartament 3 pok z tarasem</t>
  </si>
  <si>
    <t xml:space="preserve">BRONOWICE, ul. Na Polach, piękny apartament 3 pokojowy z tarasem i logią, pow.79m2, cena 1.099.000złMieszkanie położone w kameralnym solidnie wybudowanym apartamentowcu na III piętrze, wokół dużo zieleni, garaż w bryle budynku, niewielki ogród do dyspozycji mieszkańców. Mieszkanie bardzo jasne, przestronne, klimatyczne, pokój dzienny połączony z kuchnią o łącznej pow.ok.36m2, wysoki ponadstandardowo co dodatkowo daje dużo światła i przestrzeni. Całość gustownie i praktycznie wykończone. Kuchnia w formie aneksu połączona z salonem z  wygodną zabudową oraz wyspą na której umiejscowiono piekarnik i płytę grzewczą, z oknami na 2 strony świata ( wschód i zachód ), z balkonem ( logią) o pow. 3,57m2 od strony wschodniej i dużym tarasem o pow.17,1 m2 od strony zachodniej.Dwie sypialnie z oknami od strony wschodniej o pow, 11,3m2 i 12 m2, jasna przestronna łazienka z wanną, oraz wygodna garderoba. W mieszkaniu sporo wbudowanych szaf pozwalających lepiej zagospodarować przestrzeń.  Do mieszkania przynależy komórka lokatorska o pow. 2,78 m2.Jest możliwość kupna garażu znajdującego się w przyziemiu budynku o pow. 16,57m2 za cenę : 80.000zł.Nieruchomość doskonale zlokalizowana w zielonej części miasta w pobliżu komunikacji miejskiej, oraz wylotu na autostradę i obwodnicę Krakowa.Opiekun oferty:  Małgorzata Bobola, tel: 501/488-465, lic. zawodowa pośrednika nr 538, ubezpieczenie OC PZU  )   ; , CENTRUM DORADCÓW NIERUCHOMOŚCI, ul. Królewska1.::LINK DO STRONY ::KONTAKT DO AGENTA Małgorzata Bobola +4████████8 465Pośrednik odpowiedzialny zawodowo za wykonanie umowy pośrednictwa: Małgorzata Bobola  (licencja nr: 538) </t>
  </si>
  <si>
    <t>https://www.otodom.pl/pl/oferta/krowodrza-bronowice-apartament-3-pok-z-tarasem-ID4o25x</t>
  </si>
  <si>
    <t>4o25x</t>
  </si>
  <si>
    <t>Przytulne, dwupokojowe w świetnej lokalizacji.</t>
  </si>
  <si>
    <t>ul. Kopernika, Szczecinek, szczecinecki, zachodniopomorskie</t>
  </si>
  <si>
    <t xml:space="preserve">Szczecineckie Biuro Nieruchomości 5 Gwiazdek zaprasza Państwa do zapoznania się z ofertą sprzedaży mieszkania zlokalizowanego przy ulicy Kopernika w Szczecinku.Jest to lokal o powierzchni użytkowej 37,00 m2.Lokal składa się z:- dwóch pokoi- kuchni- łazienki- przedpokoju.Położony jest na III piętrze.W pokojach znajdują się plastikowe okna.Ogrzewanie z sieci miejskiej.Ciepła woda z piecyka gazowego.Właściciel korzysta z piwnicy o powierzchni około 4 m2.Wejście do budynku zabezpieczone domofonem.Stan prawny - spółdzielcze własnościowe prawo do lokalu. Zarządcą jest Szczecinecka Spółdzielnia Mieszkaniowa.Miesięczny czynsz wynosi około 320 zł.Lokalizacja bardzo dobrze skomunikowana, pod blokiem znajduje się przystanek bezpłatnej komunikacji miejskiej.W pobliżu mieszkania znajdują się sklepy, szkoła, przedszkole, strefa aktywnego wypoczynku, plac zabaw, kościół oraz przychodnia.Zapraszam Cię serdecznie do obejrzenia tej nieruchomości na żywo.A jeśli to nie jest mieszkanie dla Ciebie lub nie tego szukasz, będziemy Ci wdzięczni gdy udostępnisz tę ofertę dalej.Kupując przez nasze biuro nie płacisz nam żadnych opłat.Zapraszam do kontaktu,Anna MajchrzakLicencja Pośrednika w Obrocie Nieruchomościami nr 28628tel. 505 462 922
Chcesz porozmawiać z nami o interesującej Cię ofercie?
A może potrzebujesz pomocy przy sprzedaży swojej nieruchomości?
Z przyjemnością Ci pomożemy i postaramy się odpowiedzieć na wszystkie pytania.
Jesteśmy dostępni pod telefonem, zadzwoń - porozmawiamy.
Zapraszamy Cię również serdecznie do naszego biura, które mieści się w Szczecinku przy ul. Kard. S. Wyszyńskiego 3/4a (na schodkach).
Do zobaczenia.
Oferta wysłana z programu dla biur nieruchomości ASARI CRM ()
</t>
  </si>
  <si>
    <t>https://www.otodom.pl/pl/oferta/przytulne-dwupokojowe-w-swietnej-lokalizacji-ID4ovs2</t>
  </si>
  <si>
    <t>4ovs2</t>
  </si>
  <si>
    <t>NOWA CENA! Gąski , 2 apartamenty 900 m od morza!</t>
  </si>
  <si>
    <t>Gąski, Mielno, koszaliński, zachodniopomorskie</t>
  </si>
  <si>
    <t>Na sprzedaż część domu z dwoma apartamentami położona w miejscowości Gąski k/Sarbinowa, ok. 900 m od morza.Nieruchomość usytuowana na parterze i piętrze (poddasze) budynku, o łącznej pow. użytkowej 61,72 m2.Nieruchomość z odrębną klatką schodową i bezpośrednim wejściem z terenu posesji.Rozkład pomieszczeń:  1. apartament na parterze o pow. użytkowej 25,10 m2; - pokój, kuchnia, łazienka, hall.
2. apartament na piętrze o pow. użytkowej 36,62 m2 ( pow. całkowita 56,26 m2)- 2 pokoje, łazienka, hall.
W cenie: umeblowanie i wyposażenie kuchni. Umeblowanie pokoi i wyposażenie - możliwość kupna, cena do uzgodnienia.Okna PCV i dachowe. Na podłogach płytki gresowe, ściany gipsowane. Ogrzewanie własne gazowe - piec gazowy II- funkcyjny.Nieruchomość bezczynszowa. Opłaty za media wg zużycia ( energia, gaz, woda).Odległość od Koszalina 24 km, od Sarbinowa 2 km.</t>
  </si>
  <si>
    <t>https://www.otodom.pl/pl/oferta/nowa-cena-gaski-2-apartamenty-900-m-od-morza-ID4nmpq</t>
  </si>
  <si>
    <t>4nmpq</t>
  </si>
  <si>
    <t>Okazja! Bardzo Niski Czynsz! W Centrum 3 Pokoje</t>
  </si>
  <si>
    <t>W ofercie na sprzedaż mieszkanie o powierzchni 71,5m2 w Śródmieściu Katowic 500m od Rynku w Katowicach. MIESZKANIE POSIADA BARDZO NISKI CZYNSZ - 70 złMieszkanie jest usytuowane na samym parterze w 4 piętrowej kamienicy. W skład mieszkania wchodzi: - pokój dzienny - pokój I- pokój II - kuchnia - łazienka - duża komórka z szafą przesuwną- dodatkowe pomieszczenie - piwnica DODATKOWE INFORMACJE: - Mieszkanie jest na sprzedaż z wyposażeniem - Czynsz - 70 zł  - ze względu na anteny Orange na dachu- Piecyk dwufunkcyjny gazowy - Domofon - Okna PCV - Drzwi antywłamaniowe - Ostatni remont był przeprowadzony rok temu Dodatkowe informacje :- Nieruchomość posiada Księgę Wieczystą- Zapraszamy po więcej informacji oraz w celu umówienia się na prezentację- Jako firma pobieramy wynagrodzenie od transakcji.Zapoznaj się z moimi nieruchomościami:Wójcik DominikaDoradca ds. Nieruchomości ALL Estate+4████████7 588Oferta wysłana z programu dla biur nieruchomości ASARI CRM ()</t>
  </si>
  <si>
    <t>https://www.otodom.pl/pl/oferta/okazja-bardzo-niski-czynsz-w-centrum-3-pokoje-ID4nwhN</t>
  </si>
  <si>
    <t>4nwhN</t>
  </si>
  <si>
    <t>Nowe i wyjątkowe, 3-pok. z balkonem, Grzegórzecka</t>
  </si>
  <si>
    <t>Biuro Nieruchomości WIZ ESTATES ma przyjemność zaprezentować Państwu nowe, wyjątkowe 3-pokojowe mieszkanie na sprzedaż z balkonem o powierzchni 59 m2, zlokalizowane w nowej inwestycji, w dzielnicy Grzegórzki przy ulicy Grzegórzeckiej.Lokalizacja:Nowoczesny budynek został usytuowany w dzielnicy Grzegórzki w prestiżowym kompleksie. Bliskość ścisłego centrum Krakowa gwarantuje nam dostęp do wszelkiego rodzaju punktów usługowych niezbędnych do codziennego życia: sklepy, restauracje, apteki, centra medyczne. W okolicy tereny spacerowe, takie jak Bulwary Wiślane. Nieopodal zabytkowa dzielnica, jaką jest Kazimierz. Dojście do Placu Nowego zajmie nam maksymalnie 10 minut. Również dotarcie do Rynku Głównego nie będzie stanowiło żadnego problemu – około 15 minut spaceru. Ulica Grzegórzecka znajduje się w pobliżu takich ulic jak: Kotlarska, Aleja Pokoju, Podgórska, Masarska, Daszyńskiego.Mieszkanie:Mieszkanie usytuowane jest na 5. piętrze 6-piętrowego nowego budynku, z windą a jego powierzchnia wynosi dokładnie 58,67 m2. Na nieruchomość składają się: salon z aneksem kuchennym, łazienka, sypialnia 1, sypialnia 2, przedpokój oraz balkon. Mieszkanie posiada ekspozycję południowo-zachodnią, dzięki czemu jest ono dobrze oświetlone i ciepłe. Ogrzewanie i ciepła woda zasilana przez MPEC. Mieszkanie zostało wykończone w wysokim standardzie. Posiada klimatyzację. Kuchnia została wyposażona w meble w zabudowie oraz nowe sprzęty AGD takie jak: płyta indukcyjna, lodówka z zamrażalką, piekarnik oraz zmywarka. Salon wyposażony jest w kanapę ze stolikiem, szafkę RTV i stylowe dodatki. Strefa jadalniana zawiera okrągły stół i krzesła.  Mieszkanie posiada dwa oddzielne pokoje, które mogą zostać zaaranżowane jako sypialnie, pokój dziecięcy lub gabinet, według potrzeb przyszłego Właściciela. Łazienka wyposażona została w umywalkę z szufladami, prysznic oraz toaletę. W przedpokoju znajdziemy szafę w zabudowie wraz z siedziskiem oraz elementy dekoracyjne. Istnieje możliwość zakupu jeszcze jednego mieszkania w podobnym metrażu w tej samej inwestycji w stanie deweloperskim. Po szczegółowe informacje zapraszam do kontaktu :)CENA:Cena mieszkania: 1 290 000 PLNBRAK MIEJSCA POSTOJOWEGO.VIDEO SPACER: s://youtu.be/o0OIaZoS_RwDOKŁADNY METRAŻ POMIESZCZEŃ:Przedpokój (10,74 m2), Łazienka (4,41 m2)Sypialnia 1 (10, 58 m2)Sypialnia 2 ( 8,97 m2) Salon z aneksem kuchennym (23,96 m2)Balkon (6,80 m2)Zachęcam serdecznie do kontaktu telefonicznego i obejrzenia mieszkania!KONTAKT DO DORADCY:Wiktoria FigułaNumer licencji 29172Tel: 577 013 707M:  Świadectwo charakterystyki energetycznej - zapotrzebowanie na energię: EU - użytkową (kWh/m2*rok): 40.00; EK - końcową (kWh/m2*rok): 66.14; EP - nieodnawialną energię pierwotną (kWh/m2*rok): 64.38; EC02 - Wielkość emisji CO2 (t C02/m2*rok): 0.02; UOZE - Udział odnawialnych źródeł energii w zapotrzebowaniu na energię końcową [%]: 0.00; Oferta wysłana z programu dla biur nieruchomości ASARI CRM ()</t>
  </si>
  <si>
    <t>https://www.otodom.pl/pl/oferta/nowe-i-wyjatkowe-3-pok-z-balkonem-grzegorzecka-ID4olnY</t>
  </si>
  <si>
    <t>4olnY</t>
  </si>
  <si>
    <t>Dwupoziomowe mieszkanie w wysokim standardzie</t>
  </si>
  <si>
    <t>ul. Niepołomicka, Ujeścisko-Łostowice, Gdańsk, pomorskie</t>
  </si>
  <si>
    <t>Mieszkanie znajduje się na trzecim piętrze w trzypiętrowym budynku oddanym do użytku w 2017 roku. Wnętrze wykończone w wysokim standardzie, w pełni umeblowane, bardzo dobrze oświetlone. Mieszkanie posiada także przestronny balkon.Atuty:-Mieszkanie posiada dwa poziomy-Nowo zamontowana klimatyzacja-Wysoki standard wykończenia-Brak nakładów na start-BalkonPoziom I:- salon z aneksem kuchennym i balkonem- przedpokój- łazienkaPoziom II:- pokój- sypialnia- pomieszczenie gospodarczeDodatkowe informacje:-Do mieszkania przynależy miejsce w hali garażowej dodatkowo płatne - 30 000zł. -Średni czynsz w wysokości 500 zł</t>
  </si>
  <si>
    <t>https://www.otodom.pl/pl/oferta/dwupoziomowe-mieszkanie-w-wysokim-standardzie-ID4mgto</t>
  </si>
  <si>
    <t>4mgto</t>
  </si>
  <si>
    <t>3 pokoje + ogródek o wielości 80 mkw. ostatnie!!!!</t>
  </si>
  <si>
    <t xml:space="preserve">OFERTA BEZPOŚREDNIA
BIURO SPRZEDAŻY DEWELOPERA
BRAK PODATKU PCC
Sosnowiec- Nova Środula, u zbiegu ulic Stefana Jędryczki/Konopnickiej, powstaje nowoczesne, kameralne osiedle.
Dogodna lokalizacja, wysoki standard wykonania, zastosowanie nowoczesnych technologii, szereg mieszkań o zróżnicowanych powierzchniach i układach pomieszczeń
Aż 384 mieszkania o powierzchni od 34 m² do 71 m².
Zalety:- Plac zabaw- Osiedle zamknięte i monitorowane- Winda- Brama wjazdowa oraz garażowa z systemem rozpoznawania tablic rejestracyjnych- Internet światłowodowy w każdym mieszkaniu- Wideo domofony- Ogrzewanie podłogowe w standardzie- Okna trzyszybowe- Sterowanie strefowe ogrzewaniem podłogowym- Ogrzewanie i ciepła woda miejska- widok na Górkę Środulską
PODSTAWOWE INFORMACJE:3 pokoje + ogródekLokal jest przestronny i funkcjonalny z trójdzielnym oknem w salonie.Nieruchomość składa się z salonu z aneksem kuchennym, 2 x sypialni, holu oraz  łazienki z WC.Do lokalu przynależy ogródek
W pobliżu pełna infrastruktura- sklepy, szkoły, przedszkola, centrum fitness, kino, restauracje.W sąsiedztwie osiedla znajduje się Park Środula, tereny rekreacyjne, sieć ścieżek rowerowych.Osiedle jest bardzo dobrze skomunikowane z centrum miasta, jak i innymi miastami aglomeracji śląskiej.
Zapraszam do kontaktu.
Biuro Sprzedaży 
793-315-313
</t>
  </si>
  <si>
    <t>https://www.otodom.pl/pl/oferta/3-pokoje-ogrodek-o-wielosci-80-mkw-ostatnie-ID4oCrX</t>
  </si>
  <si>
    <t>4oCrX</t>
  </si>
  <si>
    <t>Apartament na 22. piętrze, Złota 44</t>
  </si>
  <si>
    <t>ul. Złota, Śródmieście Północne, Śródmieście, Warszawa, mazowieckie</t>
  </si>
  <si>
    <t>Mamy przyjemność zaprezentować Państwu luksusowy apartament znajdujący się powyżej 20. piętra prestiżowego apartamentowca Złota 44. Inwestycja była nagradzana w międzynarodowych konkursach m.in. w International Property Awards, w którym została uznana za najlepszą inwestycję rezydencjonalną w Unii Europejskiej.PARAMETRY NIERUCHOMOŚCIPrzestronny apartament o powierzchni 100 m2 wykończony został w wysokim standardzie.Nieruchomość składa się z: - słonecznego salonu połączonego z funkcjonalną kuchnią i częścią jadalnianą, - komfortowej sypialni master z łazienką z wanną, - dodatkowej łazienki z prysznicem,- przestronnego hallu.Do apartamentu przynależy podwójnie miejsce postojowe w garażu podziemnym, płatne dodatkowo 300tys. Ekskluzywny budynek oferuje dodatkowe udogodnienia odpowiadające stylowi życia jego mieszkańców. W przestrzeni rekreacyjnej znajdziemy: prywatny basen, siłownię, sauny, salę kinową z symulatorem do gry w golfa, dwie sale konferencyjne, strefę wypoczynkową, taras z jacuzzi oraz pokój zabaw dla dzieci.KOMUNIKACJA I OKOLICALokalizacja luksusowej nieruchomości w samym centrum Warszawy zapewnia dogodne połączenie z każdą częścią Warszawy. W najbliższym sąsiedztwie apartamentowca znajdują się liczne restauracje, kawiarnie, butiki, prestiżowe hotele, galerie, muzea, centrum handlowe Złote Tarasy oraz główny dworzec kolejowy Warszawa Centralna.W NASZEJ OPINIINowoczesne i przestronne wnętrze apartamentu oraz widok na panoramę miasta usatysfakcjonuje nawet najbardziej wymagających klientów. Udogodnienia dostosowane do potrzeb mieszkańców jakie posiada Złota 44 wyznaczają nową jakość i stanowią o wyjątkowości tej oferty.Więcej unikalnych ofert w podobnych kryteriach znajdą Państwo na naszej stronie . Zapraszamy!We are pleased to present you a luxurious apartment located above the 20th floor of the prestigious Złota 44 apartment building. The investment has been awarded in international competitions, including the International Property Awards, in which it was recognized as the best residential investment in the European Union.PROPERTY PARAMETERSThe spacious apartment with an area of 100 sqm has been finished to a high standard.The property consists of:- a sunny living room connected to a functional kitchen and dining area,- a comfortable master bedroom with a bathroom with a bathtub,- additional bathroom with shower,- spacious hall.The apartment includes a double parking space in the underground garage, for an additional fee of PLN 300,000.The exclusive building offers additional amenities that suit the lifestyle of its residents. The recreational space includes: a private swimming pool, gym, saunas, a cinema room with a golf simulator, two conference rooms, a relaxation area, a terrace with a jacuzzi and a children's playroom.COMMUNICATION AND SURROUNDINGSThe location of a luxury property in the very center of Warsaw provides a convenient connection with every part of Warsaw. In the close vicinity of the apartment building there are numerous restaurants, cafes, boutiques, prestigious hotels, galleries, museums, Złote Tarasy shopping center and the main railway station.IN OUR OPINIONThe modern and spacious interior of the apartment and a city view will satisfy even the most demanding customers. The facilities tailored to the needs of the residents at Złota 44 set a new quality and make this offer unique.Please visit our website to find more unique offers with similar criteria!</t>
  </si>
  <si>
    <t>https://www.otodom.pl/pl/oferta/apartament-na-22-pietrze-zlota-44-ID4oFmR</t>
  </si>
  <si>
    <t>4oFmR</t>
  </si>
  <si>
    <t>Bezrzecze os.Dolina Słońca apartament z tarasem !</t>
  </si>
  <si>
    <t>Bezrzecze, Dobra (Szczecińska), policki, zachodniopomorskie</t>
  </si>
  <si>
    <t>Na sprzedaż dwupoziomowy apartament o powierzchni 128,50 m2 z dużym tarasem (16 m2) oraz balkonem ( 5 m2).Ten przestronny apartament zachwyca swoją elegancją i nowoczesnością. Nieruchomość położona na bezpiecznym i strzeżonym osiedlu Dolina Słońca na Bezrzeczu.Na powierzchnię 128,50 m2 składają się:I poziom:- Przestronny salon z kominkiem, aneksem kuchennym oraz bezpośrednim wyjściem na taras- Sypialnia- Łazienka II poziom- 3 sypialnie ( 2 posiadają bezpośrednie wyjście na balkon)- ŁazienkaApartament został wykończony najwyższej jakości materiałami, które dodają mu luksusu elegancji.Miejsce, w którym znajduje się nieruchomość, jest niezwykle atrakcyjne. Oferuje ono spokój i bliski kontakt z naturą, jednocześnie zapewniając dobry dojazd do Centrum Szczecina.Ogrzewanie oraz ciepła woda z osiedlowej kotłowni.Apartament został odświeżony i jest gotowy do wprowadzenia- nie wymaga żadnych nakładów finansowych.Jest to idealne miejsce dla osób, które cenią sobie wysoki standard życia i poszukują wyjątkowego lokum. Polecam i zapraszam na prezentację.Oferta wysłana z programu dla biur nieruchomości ASARI CRM ()</t>
  </si>
  <si>
    <t>https://www.otodom.pl/pl/oferta/bezrzecze-os-dolina-slonca-apartament-z-tarasem-ID4nlE4</t>
  </si>
  <si>
    <t>4nlE4</t>
  </si>
  <si>
    <t>Duży dom w Stargardzie</t>
  </si>
  <si>
    <t>Stargard, stargardzki, zachodniopomorskie</t>
  </si>
  <si>
    <t xml:space="preserve">Na sprzedaż duży dom o powierzchni użytkowej 245,8 m2 położony w centrum miasta a jednocześnie w cichej i bezpiecznej dzielnicy willowej. Budynek składa się z czterech kondygnacji: użytkowej piwnicy, parteru, piętra i użytkowego poddasza. Na parterze znajduje się duży pokój z tarasem, kuchnia, łazienka z toaletą. Piętro domu to 3 pokoje z garderobą oraz łazienka z toaletą.Poddasze na całości budynku zajmuje pokój z łazienką. W piwnicy znajduje się pokój z wyjściem na taras od strony zachodniej, pokój z wyjściem na taras od strony wschodniej i przyległym pomieszczeniem kuchni letniej, WC z prysznicem oraz 3 pomieszczenia gospodarcze (pralnia, kotłownia, spiżarnia). Dach domu pokryty wysokiej, jakości dachówką ceramiczną. Ogrzewanie i c.w. z pieca dwuobiegowego gazowego (istnieje możliwość zainstalowania pieca na paliwa stałe). Na posesji znajduje się wiata na samochód, zadaszenie grilla oraz miejsce na ognisko. Możliwość parkowania dodatkowo 3-ch samochodów. Posiadłość jest po kapitalnym remoncie w 2018 roku. Oferta godna polecenia ze względu na, przyjemną okolicę i korzystną cenę. Obecnie umowa najmu z firmą do lipca 2024 r. Zapraszamy na prezentację.
Oferta wysłana z programu dla biur nieruchomości ASARI CRM ()
</t>
  </si>
  <si>
    <t>https://www.otodom.pl/pl/oferta/duzy-dom-w-stargardzie-ID3o5kM</t>
  </si>
  <si>
    <t>3o5kM</t>
  </si>
  <si>
    <t>15 minut pieszo od metra, ogród 42 metry</t>
  </si>
  <si>
    <t>Eukaliptusowa, Stegny, Mokotów, Warszawa, mazowieckie</t>
  </si>
  <si>
    <t>Mam przyjemność zaprezentować Państwu trzypokojowe mieszkanie w inwestycji wybudowanej przez Yareal. Osiedle posiada certyfikat BREEM, który świadczy o wykorzystaniu jednych z najbardziej przyjaznych środowisku materiałów.Co powinieneś wiedzieć o najbliższej okolicy:parki i tereny zielone15 minut pieszo do stacji metra Wilanowskabary i restauracjeprzystanki autobusoweCo powinieneś wiedzieć o samej nieruchomości:Standard wykończenia- deweloperski (załączone zdjęcia to wizualizacje wykończenia przygotowane stricte pod to mieszkanie)Ogród o powierzchni nieco ponad 42 metrówTrzyszybowe okna antywłamaniowemiejsce parkingowe w garażu podziemnym (dodatkowo płatne 50 000,-)Pełna własność- bez hipotekiZdjęcia wykończonego mieszkania stanowią wizualizacje, aktualny stan mieszkania przedstawiają fotografie załączone w dalszej części ogłoszenia. Jako biuro nieruchomości oferujemy również współpracę ze sprawdzonymi firmami zajmującymi się projektowaniem i wykańczaniem tego typu wnętrz.Gorąco zapraszam do kontaktu (o każdej porze) i obejrzenia wszystkich zainteresowanych. Na część pytań chętnie odpowiem telefonicznie a po więcej informacji i wrażeń zapraszam do mieszkania.</t>
  </si>
  <si>
    <t>https://www.otodom.pl/pl/oferta/15-minut-pieszo-od-metra-ogrod-42-metry-ID4ncmn</t>
  </si>
  <si>
    <t>4ncmn</t>
  </si>
  <si>
    <t>Mieszkanie 2 pokojowe Człuchów, Ględowo</t>
  </si>
  <si>
    <t>Ględowo, Człuchów, człuchowski, pomorskie</t>
  </si>
  <si>
    <t>Zapraszamy do zapoznania się z ofertą sprzedaży mieszkania znajdującego się w Człuchowie – Ględowo. Jest to mieszkanie dwupokojowe, z oddzielną kuchnią, łazienką i korytarzem. Gotowe do zamieszkania.
Atrakcyjna lokalizacja:
- 1,5 km na plażę (WOPR Człuchów, jezioro. Rychnowskie)
- blisko lasy,
- blisko szkoły średnie, przedszkole
- łatwy i szybki dostęp do centrum miasta, do sklepów, przychodni, aptek, restauracji, dworca PKP.
- również łatwo i szybko wydostaniesz się z miasta jadąc drogą nr 25 prowadzącą m.in. do Bydgoszczy (90 km – co daje około 1h 30 min. drogi)
Jeżeli zdecydujesz się na zakup tej nieruchomości to:
- nie płacisz prowizji,
- zajmiemy się formalnościami, całe przygotowanie i zabezpieczenie transakcji jest po naszej stronie,
- zapewnimy bezpłatną pomoc w uzyskaniu kredytu,
- zajmiemy się ubezpieczeniem nieruchomości.
Zapraszamy na prezentację.
Ogłoszenie jest wyłącznie informacją handlową i nie stanowi oferty (art. 66 § 1 kc).</t>
  </si>
  <si>
    <t>https://www.otodom.pl/pl/oferta/mieszkanie-2-pokojowe-czluchow-gledowo-ID4nCAB</t>
  </si>
  <si>
    <t>4nCAB</t>
  </si>
  <si>
    <t>Rezerwacja BEZPOŚREDNIO! Mieszkanie 3 pokoje,</t>
  </si>
  <si>
    <t>Na sprzedaż komfortowe 3 pokojowe mieszkanie położone na pierwszym piętrze na Naramowicach, ul. Sielawy. Mieszkanie wykończone i gotowe do zamieszkania. Mieszkanie o powierzchni 58,24m2 w skład mieszkania wchodzą:  - Salon z aneksem kuchennym (25,57m2) z wyjściem na balkon (13,41m2),  - Sypialnia 1 (8,39m2),  - Sypialnia 2 (12,31m2) z wyjściem na balkon 5,48m2),  - Łazienka (4,83m2),  - Przedpokój (7,14m2).
Mieszkanie wyposażone w zabudowę meblową w kuchni wykonaną pod wymiar wraz ze sprzętami AGD: piekarnik, płyta indukcyjna, okap, zmywarka oraz lodówka. W korytarzu oraz sypialni duża szafa w zabudowie. 
 Do oferowanego mieszkania przynależą dwa miejsca parkingowe w naziemnej hali garażowej dodatkowo płatne za łączna cenę 60.000,00 złotych.
Mieszkanie w październiku 2023 roku zostało odświeżone / odmalowane. 
 Blok oddany do użytku w sierpniu 2019 roku. W okolicy sklep żabka, piekarnia, apteka, przychodnia zdrowia, kawiarnia, biblioteka. Biedronka ok. 700m, Lidl ok. 600m, Netto ok. 400m. Szkoła podstawowa ok. 800m. Kilka żłobków i przedszkoli w okolicy ok. 500-1500m. Komunikacja autobusowa i tramwajowa ok. 500m.
Sprzedaż bezpośrednia bez prowizji. 
Zapraszam do kontaktu: 796 253 053.
Przedstawiona oferta cenowa ma charakter informacyjny, nie stanowi oferty handlowej w rozumieniu Kodeksu Cywilnego.</t>
  </si>
  <si>
    <t>https://www.otodom.pl/pl/oferta/rezerwacja-bezposrednio-mieszkanie-3-pokoje-ID4oaj0</t>
  </si>
  <si>
    <t>4oaj0</t>
  </si>
  <si>
    <t>Apartamenty Zdrojowe w Krasnobrodzie- NA SPRZEDAŻ</t>
  </si>
  <si>
    <t>ul. Sikorskiego, Krasnobród, Krasnobród, zamojski, lubelskie</t>
  </si>
  <si>
    <t>Na sprzedaż doskonale prosperujące Apartamenty Zdrojowe w Krasnobrodzie!!!Obiekt idealnie usytuowany w centrum miasta zdrojowego Krasnobród. Duża szeroka działka o powierzchni 1900 m2, rewelacyjna pod rozbudowę Apartamentów. Do plaży zaledwie 5min spacerkiem, wszelkie atrakcje w zasięgu ręki-infrastruktura handlowo-usługowa tuż obok.
Budynek aktualnie składający się z 2 niezależnych Apartamentów o powierzchni ok.70 m2 każdy.Obiekt docieplony, całkowicie podpiwniczony, nowy piec gazowy.
Zapraszamy na prezentację !
Prezentacja Nieruchomości po wcześniejszym umówieniu się z przedstawicielem biura Nieruchomości Zamość.</t>
  </si>
  <si>
    <t>https://www.otodom.pl/pl/oferta/apartamenty-zdrojowe-w-krasnobrodzie-na-sprzedaz-ID4ntCi</t>
  </si>
  <si>
    <t>4ntCi</t>
  </si>
  <si>
    <t>Dwa pokoje z ogródkiem w Dąbiu -do remontu!</t>
  </si>
  <si>
    <t>Dąbie, Prawobrzeże, Szczecin, zachodniopomorskie</t>
  </si>
  <si>
    <t>Oferujemy do sprzedania mieszkanie dwupokojowe na pierwszym piętrze kamienicy w Dąbiu przy ulicy Gryfińskiej. Na powierzchni 56,2 m2 znajdują się : przedpokój z kuchnią i wc oraz dwa ustawne,  przejściowe pokoje (istnieje możliwość zrobienia łazienki). Nieruchomość wymaga remontu i nakładów finansowych, gdyż od lat była zamieszkała przez starszą osobę, która dla samej siebie nie potrzebowała zbyt wiele. W mieszkaniu nie ma ogrzewania, w każdym z pokoi jest piec kaflowy - wydane pozwolenia i zgoda gazowni i kominiarza na wykonanie ogrzewania gazowego.Wszystkie okna zostały wymienione na PCV, na podłogach deski i panele. Czynsz wynosi 240 zł i zawiera zaliczki na wodę, śmieci, fundusz remontowy (wspólnota ATUT) i dodatkowo prąd oraz licznik na gaz.Istnieje możliwość korzystania z dużego ogródka. Zdecydowanie jest to mieszkanie dla osób z dużą wyobraźnią, z dużym potencjałem.Zapraszam na prezentację. Klucze w biurze.Mieszkanie dwupokojowe na pierwszym piętrze w kamienicy -w Dąbiu przy ulicy Gryfińskiej. Na powierzchni 56,2 m2 znajdują się : przedpokój z kuchnią i wc oraz dwa ustawne, ale przejściowe pokoje. Nieruchomość wymaga remontu i nakładów finansowych, gdyż od lat była zamieszkała przez starszą osobę, która dla samej siebie nie potrzebowała zbyt wiele. W mieszkaniu nie ma ogrzewania, przez co niestety w pojawia się wilgoć na ścianach, w każdym z pokoi jest piec kaflowy -z czego jeden jest sprawny, a drugi do sprawdzenia. Są natomiast załatwione już pozwolenia i zgoda na zrobienie ogrzewania z gazowni oraz od kominiarza, ale na razie bez projektów. W mieszkaniu nie ma łazienki, jest jedynie toaleta oddzielona ścianką od kuchni. Natomiast powierzchniowo istnieje możliwość wydzielenia i zrobienia łazienki wraz z toaletą. W mieszkaniu jest woda z sieci miejskiej, ale bez ciepłej wody. W kuchni również mamy kuchnię kaflową starego typu oraz kuchenkę gazową działającą na gaz.Wszystkie okna zostały wymienione na PCV, na podłogach deski i panele. Instalacje elektryczne prawdopodobnie również nadają się już do wymiany, gdyż potrafią strzelać korki. Do mieszkania wg udziałów przysługujących z użytkowania wieczystego -za budynkiem przydzielony jest ogródek o powierzchni ok 450 m2 oraz szopka. Czynsz wynosi 240 zł i zawiera zaliczki na wodę, śmieci, fundusz remontowy (wspólnota ATUT) i dodatkowo prąd oraz licznik na gaz.Zdecydowanie jest to mieszkanie dla osób z dużą wyobraźnią, którym się nie spieszy -można je wyremontować i fajnie urządzić, gdyż powierzchniowo posiada taki potencjał, zrobienie tego wymaga jednak czasu i zainwestowania dodatkowych środków finansowych. Zapraszam na prezentację. Klucze w biurzeOferta wysłana z programu dla biur nieruchomości ASARI CRM ()</t>
  </si>
  <si>
    <t>https://www.otodom.pl/pl/oferta/dwa-pokoje-z-ogrodkiem-w-dabiu-do-remontu-ID4onU6</t>
  </si>
  <si>
    <t>4onU6</t>
  </si>
  <si>
    <t>Mieszkanie, 65 m², Gorzów Wielkopolski</t>
  </si>
  <si>
    <t>PRZESTRONNE MIESZKANIE 3 POKOJOWE – OS. PIASKILOKALIZACJA:Nieruchomość zlokalizowana na os. Piaski. Spokojna część miasta, z dala od dużego ruchu kołowego, w pobliżu liczne punkty usługowo-handlowe, szkoła oraz dostęp do komunikacji miejskiej.BUDYNEK ORAZ OTOCZENIE:Mieszkanie znajduje się na 4 piętrze niskiego budynku  z wielkiej płyty. Blok ocieplony, oddany do użytku w 1989 roku. W pobliżu ogólnodostępne miejsca parkingowe.ATUTY:- korzystny układ pomieszczeń,- spokojna okolica.ROZKŁAD POMIESZCZEŃ:Na całkowitą powierzchnię użytkową 65 m2 składają się:• widna kuchnia,• salon,• dwie sypialnie,• przedpokój,• łazienka z WC.Do mieszkania przynależy balkon oraz piwnica.OPŁATY EKSPLOATACYJNE:110 zł / 4 os. - czynsz administracyjny zawierający zaliczkę na wodę, centralne ogrzewanie, wywóz nieczystości komunalnych, fundusz remontowy, utrzymanie części wspólnych oraz gaz. Prąd płatny dodatkowo według zużycia. Centralne ogrzewanie oraz ciepła woda użytkowa z sieci miejskiej. JEŚLI OFERTA CIE ZAINTERESOWAŁA z chęcią przedstawimy jej szczegóły podczas prezentacji i odpowiemy na pojawiające się pytania.SKONTAKTUJ SIĘ Z NAMI lub skorzystaj z formularza kontaktowego.Więcej ciekawych ofert znajdą Państwo na naszej stronieeDOM Nieruchomości - przyjdź po dobrą ofertęOferta wysłana z programu dla biur nieruchomości ASARI CRM ()</t>
  </si>
  <si>
    <t>https://www.otodom.pl/pl/oferta/mieszkanie-65-m-gorzow-wielkopolski-ID4omjn</t>
  </si>
  <si>
    <t>4omjn</t>
  </si>
  <si>
    <t>Oława apartamenty z ogródkami-3F - 3J-PO ODBIORACH</t>
  </si>
  <si>
    <t>Godzikowice, Oława, oławski, dolnośląskie</t>
  </si>
  <si>
    <t>Oława apartament z ogródkiem- 3F - PO ODBIORACH - 598 997,00 zł
Oława apartament z ogródkiem- 3J - PO ODBIORACH -  592 120,00 zł
Sprzedam apartament w Godzikowicach k/OławyPodwyższony standard deweloperskiParter – SALON-KUCHNIA-PRZEDSIONEK-WC-KORYTARZPiętro – 3 POKOJE – KORYTARZ – ŁAZIENKAAntresola – POKÓJPowierzchnia całkowita apartamentu  91,45 m2Powierzchnia działki około 130 m2Media – PRĄD , WODA , KANALIZACJAPOMPY CIEPŁAliczba kondygnacji – parter , piętro , antresola liczba lokali w szeregu 6    liczba miejsc postojowych do lokalu 1Technologia wykonania ławy i stopy fundamentowe żelbetowe, ściany piwnic murowane z bloczka betonowego, ściany konstrukcyjne murowane z bloczków silikatowych, wieńce i elementy konstrukcyjne żelbetowe, strop monolityczny, dach o konstrukcji drewnianej – wiązar     Standard prac wykończeniowych w części wspólnej budynku i terenie wokół niego, stanowiącym część wspólną nieruchomościStandard wykończenie obejmuje m.in.:ŚCIANY I SUFITY - tynk gipsowyKLATKA SCHODOWAINSTALACJE - elektryczne, sanitarneDostępne media w budynku- woda- kanalizacja – prądOgrzewanie - pompy ciepła Dostęp do drogi publicznej , tak - poprzez drogę gminną wewnętrzną   
Zakres i standard prac wykończeniowych w lokalu:DRZWI WEJŚCIOWE:- antywłamanioweŚCIANY WEWNĘTRZNE- konstrukcyjne i między lokalowe silikatowePOSADZKI:- betonoweOKNA I DRZWI BALKONOWE:- pvc kolor wewnątrz biały , zewnątrz antracyt z roletami antywłamaniowymiPARAPETY WEWNĘTRZNE:- konglomeratDRZWI WEWNĘTRZNE- otwory przygotowane do montażu ościeżnic i skrzydeł drzwiowychKUCHNIE- instalacja elektryczna- podejścia do instalacji wod.-kan.- bez urządzeń i armatury czerpalnejŁAZIENKI I WC- podejścia wod.-kan.- bez urządzeń sanitarnych i armatury czerpalnejINSTALACJA C.O.- ogrzewanie podłogoweINSTALACJA WODY- instalacja lokalowa pod posadzkowa - indywidualne wodomierzeINSTALACJA KANALIZACYJNA- piony i podejścia z pvcINSTALACJA WENTYLACYJNA- wentylacja grawitacyjna- w kuchni dodatkowy kanał grawitacyjnyKLIMATYZACJA W 3 POKOJACHINSTALACJE ELEKTRYCZNE- podtynkowaINNE INSTALACJE- gniazda RTV- instalacja domofonowaOGRÓD :- kostka brukowa – TARAS - ogrodzenie panelowe  WIĘCEJ INFORMACJI UDZIELĘ TELEFONICZNIE
SPRZEDAŻ BEZPOŚREDNIO
BEZ 2% PODATKU PCC
BEZ PROWIZJI BIURA NIERUCHOMOŚCI
Zapraszam na bezpłatną prezentację NIERUCHOMOŚCI .
Jeżeli jesteście Państwo zainteresowani w doborze kredytu na zakup tej NIERUCHOMOŚCI to nasza firma proponuje całkowite bezpłatne doradztwo finansowe. Współpracujemy z ponad 20 instytucjami finansowymi, oraz z bankami oferującym kredyty hipoteczne w PolsceProponujemy Państwu również ;
- pośrednictwo ubezpieczeniowe NIERUCHOMOŚCI
- usługi rzeczoznawcy
- sporządzenie protokółów zdawczo – odbiorczych
- obsługę notarialną
- przekazanie nieruchomości.
ZAPRASZAM DO WSPÓŁPRACY
Piotr Rządkowski , 55-200 Oława ulica Brzeska 13/1u , tel.602 44 86 10
Treść niniejszego ogłoszenia nie stanowi oferty handlowej w rozumieniu Kodeksu Cywilnego.Wszystkie informacje dotyczące proponowanej do sprzedaży nieruchomości zestawiono na podstawie informacji oraz dokumentacji otrzymanej od właściciela.AGENCJA NIERUCHOMOŚCI nie bierze odpowiedzialności za- aktualność- prawidłowość- kompletność danych prezentowanej nieruchomości</t>
  </si>
  <si>
    <t>https://www.otodom.pl/pl/oferta/olawa-apartamenty-z-ogrodkami-3f-3j-po-odbiorach-ID4oGdq</t>
  </si>
  <si>
    <t>4oGdq</t>
  </si>
  <si>
    <t>Mieszkanie 2 pok z ogródkiem blisko centrum</t>
  </si>
  <si>
    <t>Grodzisk Mazowiecki, Grodzisk Mazowiecki, grodziski, mazowieckie</t>
  </si>
  <si>
    <t>Idealnie mieszkanie dla pary lub rodziny z dzieckiem. Cicha i spokojna okolica blisko centrumGłówne atuty nieruchomości: • bliskość komunikacji miejskiej• cicha i spokojna okolica• rozkład pomieszczeńNieruchomość złożona z: • pokój z aneksem kuchennym 30,26 m.kw• pokój 16,18 m.kw• przedpokój 4,5 m.kw• łazienka 5,18 m.kw W skład nieruchomości wchodzą też:• komórka lokatorska• miejsce parkingowe• ogródekTyp ogrzewania: ogrzewanie miejskie. Typ własności: własność. Mieszkanie 2 pokojowe ze świetnym ogródkiem na zamkniętym, bezpiecznym, strzeżonym osiedlu. Okna od strony ogródka zapewniają prywatność. Lokal składa się z salonu z aneksem oraz osobnego pokoju i łazienki. Lokal gotowy do zamieszkania. Do lokalu przynależy miejsce w garażu podziemnym oraz komórka lokatorska. Zakup komórki oraz miejsca jest obligatoryjny w cenie 40 tyś. Na terenie znajduje się patio z placem zabaw. W bezpośrednim sąsiedztwie, sklepy i punkty usługowe oraz przychodnia. Mieszkanie znajduje się w bardzo dobrze skomunikowanej części miasta, do dworca PKP ok 5min pieszo, do autostrady A2 ok 4km.Miasto Grodzisk Maz. oferuje bogatą ofertę wydarzeń kulturalnych i sportowych, wiele restauracji oraz terenów rekreacyjnych.Lokal znajduje się w spokojnej i cichej okolicy, jednocześnie w odległości mniejszej niż 500m od samego centrum miasta. Idealna lokalizacja dla osób dojeżdżających.ZADZWOŃ: 532 078 777.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</si>
  <si>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https://www.otodom.pl/pl/oferta/mieszkanie-2-pok-z-ogrodkiem-blisko-centrum-ID4onYt</t>
  </si>
  <si>
    <t>4onYt</t>
  </si>
  <si>
    <t>2 pokojowe/ Warszawa Śródmieście/ul. Zajęcza</t>
  </si>
  <si>
    <t>ul. Zajęcza, Powiśle, Śródmieście, Warszawa, mazowieckie</t>
  </si>
  <si>
    <t>ATUTY:Rozkładowe mieszkanie z oknami od południowo - wschodniej strony – pokój  sypialniany, salon, kuchnia, balkon i loggia:• cena mieszkania obejmuje umeblowanie,• doskonała komunikacja w każdym kierunku – liczne linie autobusowe, blisko Metra.LOKALIZACJA:Atrakcyjne, rozkładowe 2 pokojowe mieszkanie usytuowane na czwartym piętrze przedwojennej kamienicy z 1930 roku.Lokalizacja mieszkania gwarantuje świetną infrastrukturę, w niedalekiej odległości znajduje się wiele sklepów i restauracji, szkół i przedszkoli, punktów usługowych, a także miejsca spacerowe i codziennego funkcjonowania np. Skwer Kahla, Elektrownia Powiśle, Bulwary wiślane.GŁÓWNE DANE:Mieszkanie składa się z:- pokoju - sypialni (11m2),- pokoju – salonu + komunikacja (30m2) z wyjściem na balkon,  - kuchni (11m2) – oddzielona od salonu zabudową  z szafkami kuchennymi, - łazienki (6m2),- piwnicy.OPIS SZCZEGÓŁOWY:Wyposażenie:Kuchnia – meble w zabudowie, lodówka, zamrażalnik, kuchenka elektryczna,  piekarnik, pralka,Pokoje – w pełni umeblowane, kanapa rozkładana, regał, fotel, stolik kawowy,Łazienka – wanna, prysznic, wc, umywalka z szafkami, grzejnik naścienny,Podłogi: kuchnia - gres,    łazienka – gres,   przedpokój i dwa pokoje – parkiet.Wysokość pomieszczeń – 2,70m.INNE:Mieszkanie posiada status pełnej własności z księgą wieczystą.Opłaty administracyjne: czynsz – ok. 800 zł/miesiąc.DODATKOWE INFORMACJE:Istotnym również atutem mieszkania jest piwnica oraz możliwość parkowania na terenie patio kamienicy – dodatkowo płatne.JEŻELI POSIADAJĄ PAŃSTWO DODATKOWE PYTANIA, CHĘTNIE NA NIE ODPOWIEMY I PRZEPROWADZIMY PREZENTACJĘ PO UZGODNIENIU  DOGODNEGO TERMINU.Serdecznie polecam!W przypadku tej oferty wynagrodzenie naszego biura pokrywa właściciel nieruchomości. Opis oferty zawarty na stronie internetowej sporządzany jest na podstawie oględzin nieruchomości oraz informacji uzyskanych od właściciela, może podlegać aktualizacji i nie stanowi oferty określonej w art. 66 i następnych K.C.Oferta wysłana z programu dla biur nieruchomości ASARI CRM ()</t>
  </si>
  <si>
    <t>https://www.otodom.pl/pl/oferta/2-pokojowe-warszawa-srodmiescie-ul-zajecza-ID4nPvy</t>
  </si>
  <si>
    <t>4nPvy</t>
  </si>
  <si>
    <t>Mieszkanie - Toruń</t>
  </si>
  <si>
    <t>ul. Gdańska, Bielawy, Toruń, kujawsko-pomorskie</t>
  </si>
  <si>
    <t>Przedstawiam 3pokojowe mieszkanie na osiedlu Bielawy w Toruniu.Mieszkanie znajduję się na 2 piętrze w 2 piętrowym bloku z cegły wybudowanym w 2007r. Powierzchnia nieruchomości liczy sobie 56.77m2, na co składa się- salon z wyjściem na balkon- oddzielna kuchnia - pokój1- pokój2-łazienka z wanną i wc-przestronny korytarzW sąsiedztwie przedszkole ,szkoły, apteki, place zabaw, galeria Carrefour, przystanki autobusowe i tramwajowe skomunikowane z całym miastem.Mieszkanie bardzo zadbane.Nie ma problemu z parkowaniem aut-zawsze są wolne miejsca. Obiekt ogrodzony i monitorowany.Do lokalu przynależy piwnica.Miesięczny czynsz to ok 650 zł.Cena469 000tysZapraszam do kontaktu i na prezentacjęIwona Lipińska Metry Marzeńtel.: 505649159Przeprowadzę Państwa przez cały proces zakupu oraz zagwarantuję bezpieczeństwo transakcji.USŁUGA POŚREDNICTWA JEST USŁUGĄ PŁATNĄ W SYTUACJI ZAKUPU NIERUCHOMOŚCI.PREZENTACJE WSZYSTKICH NIERUCHOMOŚCI SĄ BEZPŁATNE.PRZED PREZENTACJĄ, ZA OKAZANIEM DOKUMENTU TOŻSAMOŚCI, NALEŻY PODPISAĆ UMOWĘ POŚREDNICTWA.Niniejszy opis ma charakter informacyjny i nie stanowi oferty w rozumieniu Kodeksu Cywilnego.Wszystkie zdjęcia i filmy są własnością biura nieruchomości. Zabrania się kopiowania i wykorzystywania zdjęć oraz filmów w jakikolwiek sposób.Dla każdego zainteresowanego kredytem na zakup tej bądź innej nieruchomości mamy przygotowaną specjalną ofertę KREDYTU HIPOTECZNEGO. U Nas znajdziecie Państwo wykwalifikowanego doradcę, który profesjonalnie i UCZCIWIE zajmie się Państwa sprawą i oczywiście zupełnie BEZPŁATNIE przeprowadzi przez cały proces.</t>
  </si>
  <si>
    <t>https://www.otodom.pl/pl/oferta/mieszkanie-torun-ID4oie0</t>
  </si>
  <si>
    <t>4oie0</t>
  </si>
  <si>
    <t>Okazja/Tanio!!!/Wrocław/Dolnobrzeska/Leśnica/3Pok</t>
  </si>
  <si>
    <t>TANIO!!!/WROCŁAW/DOLNOBRZESKA/LEŚNICA/3POK.OKAZJA!!!!!!SUPERINWESTYCJA!!!!TAK TANIO JESZCZE NIE BYŁO!!!!Okazja!  Idealne do wyremontowania i pod wynajem.Przedstawiamy Państwu na sprzedaż bezczynszowe mieszkanie w kamienicy o pow. 83m3 (metraż w KW z piwnicą, pow. mieszkalna ok. 74m2), położone w zielonej, spokojnej okolicy przy ul. Dolnobrzeskiej na osiedlu Leśnica.Mieszkanie do generalnego remontu, z dużym potencjałem aranżacyjnym, składa się z 3 pokoi, jasnej, oddzielnej kuchni, łazienki z wc oraz przedpokoju.Budynek położony na dużej działce, miejsca parkingowe dla mieszkańców.Okolica dobrze skomunikowana z centrum, blisko przystanki tramwajowe, autobusowe, liczne sklepy i punkty usługowe, niedaleko znajdują się tereny leśne.Natychmiastowe wydanie, księga wieczysta nieobciążona.Zapraszam na prezentacjęAnna Polińska-Olszewska666 957 755Oferta wysłana z programu dla biur nieruchomości ASARI CRM ()</t>
  </si>
  <si>
    <t>https://www.otodom.pl/pl/oferta/okazja-tanio-wroclaw-dolnobrzeska-lesnica-3pok-ID4oEJw</t>
  </si>
  <si>
    <t>4oEJw</t>
  </si>
  <si>
    <t>Wykończony dom na pięknej działce koło Lublina</t>
  </si>
  <si>
    <t>Radawiec Duży, Konopnica, lubelski, lubelskie</t>
  </si>
  <si>
    <t xml:space="preserve">Dom wraz z budynkiem gospodarczym na 39-arowej działce w Radawcu DużymDom do zamieszkania położony w miejscu idealnie wręcz skomunikowanym z Lublinem oraz innymi dużymi miastami - blisko drogi Lublin-Opole Lubelskie, blisko trasy S19 , a także obwodnicy Lublina. Nieduży budynek parterowy niewymagający większego remontu - dający możliwość wprowadzenia się zaraz po zakupie. Dodatkowo na działce budynek gospodarczy w stanie dobrym. Całość posadowiona na zadbanej, dużej działce kończącej się lasem. To właśnie tu znajdziesz spokój, ciszę oraz przestrzeń do realizowania swoich pasji ogrodniczych.Najważniejsze cechy:- pierwsza linia zabudowy- dojazd asfaltową drogą gminną lokalną,- sąsiedztwo stanowią domy jednorodzinne, siedliska, pola, łąki i las,- na działce znajduje się dom oraz budynek gospodarczyDom: Parterowy budynek drewniany z 1961 roku, o wymiarach ok 6 m x 10,5 m. Składa się on z dwóch pokoi, kuchni, łazienki, pomieszczenia gospodarczego oraz ganku. Dodatkowo dom jest częściowo podpiwniczony. Nieruchomość ta została w roku 2016 gruntownie wyremontowana. Wówczas wykonano prace w zakresie: wymiany instalacji elektrycznej, rozprowadzenia nowego systemu centralnego ogrzewania, zmiany pokrycia dachu na dachówkę blaszaną i wstawienia nowych okien PCV. Cały budynek docieplono styropianem o grubości 20cm oraz wykonano nową elewację. Całość nadaje się do zamieszkania bądź odświeżenia połączonego z wykonaniem własnych aranżacji wnętrz.Budynek gospodarczy:Budynek o powierzchni około 81 m² z wymienionym dachem (krycie blachą) i wykonaną elewacją (bez docieplenia). Wnętrze do remontu i dostosowania do własnych potrzeb.Cechy fizyczne działki:- powierzchnia: około 3 900 m² (39 ar)- wymiary: ok 19,5 m szer. x 218 m dł.- kształt: trapez- ukształtowanie: teren w ponad 50% płaski, w tylnej części nieco opadający w stronę lasku kończącego działkęMedia:- prąd - na działce i podłączony do budynku mieszkalnego- woda z wodociągu - również w domu, dodatkowo studnia- gaz - na działce i doprowadzony do domu- kanalizacja - szamboLokalizacja: - działka w miejscowości Radawiec Duży, gm. Konopnica, powiat lubelski- nieruchomość zlokalizowana w pobliżu drogi głównej Lublin-Opole Lubelski, przy asfaltowej drodze gminnej - lokalnej, - niecałe 7km od granicy LublinaStan działki i zabudowań (otoczenie):- dom nadający się do zamieszkania, - budynek gospodarczy - murowany - do remontu wewnątrz / zewnątrz wykończony- ogród urządzony, zadbany, z nasadzeniami, w tym drzewami i krzewami owocowymiNieruchomość znajduje się w spokojnej okolicy, jednocześnie zapewniającej bardzo dobrą komunikację. Działka ma kształt regularny i w leży w przeważającej części na płaskim terenie co ułatwia jej zagospodarowanie. Na działce znajduje się dom (ok 64 m²) oraz jeden budynek gospodarczy. Działka jest częściowo ogrodzona w części mieszkalnej, z licznymi nasadzeniami. Nieruchomość z ogromnym potencjałem - pozwalająca na postawienie zupełnie nowych budynków (co ułatwia brak miejscowego planu zagospodarowania przestrzennego i wykonywanie prac budowlanych na podstawie warunków zabudowy wydawanych przez gminę na indywidualny wniosek). Wszystkich zainteresowanych zapraszam na prezentację oraz po więcej informacji.Olga Pijastel. 605 899 345mail:  Świadectwo charakterystyki energetycznej - zapotrzebowanie na energię: EU - użytkową (kWh/m2*rok): 118.96; EK - końcową (kWh/m2*rok): 198.88; EP - nieodnawialną energię pierwotną (kWh/m2*rok): 221.17; EC02 - Wielkość emisji CO2 (t C02/m2*rok): 0.06; 
Oferta wysłana z programu dla biur nieruchomości ASARI CRM ()
</t>
  </si>
  <si>
    <t>https://www.otodom.pl/pl/oferta/wykonczony-dom-na-pieknej-dzialce-kolo-lublina-ID4npZY</t>
  </si>
  <si>
    <t>4npZY</t>
  </si>
  <si>
    <t>Nowe wyremontowane mieszkania z ogródkiem</t>
  </si>
  <si>
    <t>Nieżyn, Siemyśl, kołobrzeski, zachodniopomorskie</t>
  </si>
  <si>
    <t>Odkryj unikalną nieruchomość w Nieżynie – Twój nowy azyl blisko Kołobrzegu!Główne atuty nieruchomości: • cicha i spokojna okolica• piekny widok• bez wykończeń do indywidualnej aranżacjiNieruchomość złożona z: • łazienka 6,77 m.kw• aneks kuchenny 14 m.kw• pomieszczenie gospodarcze 7,3 m.kw• pokój dzienny 30,03 m.kw W skład nieruchomości wchodzą też:• miejsce parkingowe• ogródekTyp ogrzewania: brak. Typ własności: własność. Odkryj wyjątkową nieruchomość w sercu malowniczej miejscowości Nieżyn, zaledwie 15 km od Kołobrzegu. Na obszernej działce o powierzchni 3100 mkw w budynku z lat 60' znajduję się mieszkanie o powierzchni użytkowej 58,1 mkw, obecnie w trakcie generalnego remontu.Mieszkanie o nowoczesnym rozkładzie. Na parterze mamy pokój dzienny, kolejno wygospodarowana jest część na aneks kuchenny oraz jadalnię, łazienkę i pomieszczenie gospodarcze - cały dół mierzy ok. 58 mkw. Na piętrze - antresoli mamy dodatkowo część sypialnianą, która ma ok. 14 mkw.Dodatkowym atutem tej nieruchomości jest przynależny ogródek do nieruchomości, który ma ok. 350 mkw. Do tego ogólnodostępne miejsca przy budynku dla mieszkańców.Mieszkanie jest bezczynszowe!Zróżnicowany krajobraz oferuje możliwość stworzenia otoczonej naturą oazy spokoju. Idealne dla tych, którzy pragną uciec od miejskiego zgiełku, ciesząc się dostępem do uroków krajobrazowych.W miejscowości znajdziemy sklep spożywczy. W sąsiednim Charzynie i Siemyślu znajdziemy szkołę podstawową i przedszkole, market spożywczy, kościół, aptekę. Idealne dla tych, którzy pragną wyjątkowej przestrzeni życiowej.Oferta dostępna tylko w Metrohouse. ZADZWOŃ: 502 649 999.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</si>
  <si>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https://www.otodom.pl/pl/oferta/nowe-wyremontowane-mieszkania-z-ogrodkiem-ID4okMq</t>
  </si>
  <si>
    <t>4okMq</t>
  </si>
  <si>
    <t>Mieszkanie 2 Pokojowe Z Antresolą, Fabryczna</t>
  </si>
  <si>
    <t>ul. Michała Wołodyjowskiego, Maślice, Fabryczna, Wrocław, dolnośląskie</t>
  </si>
  <si>
    <t>NIERUCHOMOŚCI APARTAMENTJulia KosmalaTel:797 231 625BEZ PROWIZJI, BEZ PCC !!!Oferta przedstawia nieruchomość o pow. 69,5m2, znajdującą się w spokojnej i cichej okolicy, w dobrej lokalizacji. Mieszkanie położone jest w nowym budynku wielorodzinnym, na II piętrze. Nieruchomość posiada salon z aneksem kuchennym, sypialnię, antresolę, funkcjonalną łazienkę, garderobę, balkon, loggie. Inwestycja  zostanie oddana do użytku w II kwartale 2024Na powierzchnię nieruchomości składa się:- salon z aneksem kuchennym                                  21,52 m2- łazienka                                                                     5,98 m2- sypialnia                                                                  10,07 m2- garderoba                                                                 3,14 m2- antresola                                                                 28,81 m2- balkon                                                                       4,50 m2- loggia                                                                         7,16 m2                                                                      ŁĄCZNIE :   81,18 m2 W niedalekiej okolicy:- Market budowlany                                                          50 m- Biedronka                                                                          50 m- Przystanek                                                                        100 m- Centrum                                                                      10000 m- Inne:          przedszkole, restauracje, studio urody          do 1000m       W budynku dostępne będą miejsca parkingowe podziemne. Budynek znajduje się na osiedlu zamkniętym i posiada monitoring. W ofercie znajdują się mieszkania w metrażu od 41,69 m2 do 95,85 m2.Zainteresowanych innym metrażem zapraszam do kontaktu.Bezpłatna pomoc w uzyskaniu kredytu !NIERUCHOMOŚCI APARTAMENTJulia KosmalaTel:797 231 625Kontaktując się z agentem odpowiedzialnym za ofertę, koniecznie zapytaj jakie są warunki współpracy z naszym biurem oraz co w związku ze współpracą zapewniamy.Dbając o bezpieczeństwo klientów sprzedających, a często także na ich wyraźne życzenie, nie podajemy adresów nieruchomości bez podpisania uprzednio umowy o pośrednictwo w kupnie lub najmie.Wszelkie podane przez Biuro informacje nie są ofertą w rozumieniu Kodeksu Cywilnego.Zgodnie z Ustawą o Prawie Autorskim i Prawach Pokrewnych z dnia 4 lutego 1994 roku (Dz.U.94 Nr 24 poz. 83, sprost.: Dz.U.94 Nr 43 poz.170) wykorzystywanie autorskich pomysłów, rozwiązań, kopiowanie, rozpowszechnianie zdjęć, fragmentów grafiki, tekstów opisów w celach zarobkowych, bez zezwolenia autora jest zabronione i stanowi naruszenie praw autorskich oraz podlega karze. Znaki towarowe i graficzne są własnością firmy Nieruchomości Apartament.</t>
  </si>
  <si>
    <t>https://www.otodom.pl/pl/oferta/mieszkanie-2-pokojowe-z-antresola-fabryczna-ID4omP5</t>
  </si>
  <si>
    <t>4omP5</t>
  </si>
  <si>
    <t>Mieszkanie Dwa w Jednym z antresolą Nowy Targ</t>
  </si>
  <si>
    <t>Mieszkanie DWA w JEDNYM z antresolą O POWIERZCHNI CAŁKOWITEJ 88,70m2  w centrum Nowego targu.Cena ofertowa dotyczy stanu mieszkania "do wejścia" wykończonego i wyposażonego, z dodatkową antresolą (11m powierzchni użytkowej)  skosy gratis. Możliwy zakup mieszkania, z wykorzystaniem programu "bezpieczny kredyt 2%" (możliwość rozłożenia kosztów do kredytu)Cena za m²  powierzchni użytkowej w stanie deweloperskim to 10500 zł + wykończenie, wyposażeniem 2500zł/m², antresola drewniana 60000zł.Całkowita kwota za mieszkanie 904220złWitamy Państwa serdecznie w projekcie, który nie tylko spełnia marzenia o komfortowym i nowoczesnym mieszkaniu, ale także stwarza unikalne możliwości inwestycyjne.Z przyjemnością przedstawiamy unikalną ofertę nieruchomości w centrum Nowego Targu.Przedstawiona oferta dotyczy mieszkania dwupoziomowego 2 w 1 z dodatkową antresolą, w pełni wyposażonego położonego na 1 piętrze.Lokal składa się z dwóch osobnych mieszkań, z niezależnymi licznikami, aneksami kuchennymi ( pełna zabudowa +sprzęty AGD ), łazienkami, umeblowanym salonem i sypialnią na antresoli. Lokal może funkcjonować jako mieszkanie dwupoziomowe lub spełniać funkcje dwóch osobnych mieszkań przeznaczonych np. pod wynajem krótkoterminowy.Powierzchnia CAŁKOWITA  obu kondygnacji to  ------- 88,70m2--------  a użytkowa --------64,94m2--------Powierzchnie użytkowa z podziałem na poszczególne poziomyNiższa kondygnacja to  34,05m2- Komunikacja 7.73m2- Łazienka 4.37m2- Salon z aneksem kuchennym 21.95m2Wyższa kondygnacja:- Powierzchnia użytkowa piętra: 30.65m2 - Pokój / salon z aneksem kuchennym 26.56m2- Łazienka 4.09m2 + antresola 11m2Najwyższy punkt mieszkania to ok. 5m2Pozostałe mieszkania z inwestycji pod linkiem Tylko u nas znajdą Państwo mieszkania w standardzie premium, które spełnią najbardziej wygórowane wymagania.Budynek, położony przy ulicy Orkana 14A, został zaprojektowany w nowoczesnym stylu, łączącym funkcjonalność z elegancją, to propozycja dla tych, którzy poszukują mieszkania w doskonałej lokalizacji bądź inwestycji pod najem długo lub krótkoterminowy z dobrą stopą zwrotu ( istnieje możliwość polecenia firmy zarządzającej najmami ).Budynek wyróżnia się nie tylko wyjątkowym położeniem w sercu miasta, ale także dbałością o każdy detal, wykorzystując materiały najwyższej jakości.W naszej ofercie oprócz wyżej opisanego mieszkania znajdą Państwo w tej inwestycji jeszcze 10 mieszkań w stanie deweloperskim jak i wykończonych i umeblowanych. Mieszkania standardowe jak i dwupoziomowe o wysokości do 5m.Oferujemy trzy warianty mieszkań, dostosowane do różnych potrzeb.W pierwszym wariancie proponujemy mieszkania w stanie deweloperskim, z możliwością samodzielnej aranżacji wnętrz. Jest to idealne rozwiązanie dla tych, którzy marzą o własnym kącie o indywidualnym charakterze.Drugim wariantem są mieszkania wykończone, gdzie ekipa projektowa zadbała o każdy detal, zapewniając eleganckie i nowoczesne wnętrza.Trzeci wariant to gotowe mieszkania 2 w 1 czyli idealna opcja dla tych, którzy szukają gotowego rozwiązania, pozwalającego na szybką stopę zwrotu poprzez najem krótkoterminowy.Istnieje możliwość dokupienia miejsca parkingowego.Wszystkie mieszkania charakteryzują się przestronnością oraz starannie zaprojektowaną strefą dzienną i nocną..Lokale dwupoziomowe można swobodnie podzielić na dwa oddzielne mieszkania. Z głównego wejścia poprzez mały korytarz możemy przejść do dwóch osobnych mieszkań każde składające się z kuchni, łazienki i salonu na każdej kondygnacji z dodatkową antresolą na drugim poziomie. która może być doskonałym miejscem na sypialnię lub gabinet, pozwalając na pełne wykorzystanie powierzchni.Na parterze budynku znajdują się lokale usługowe, w tym kawiarnia, stomatolog oraz notariusz.Z myślą o wygodzie mieszkańców, do dyspozycji zostały oddane dwie windy oraz garaż w kondygnacji podziemnej z możliwością dokupienia miejscpostojowych. To szczególnie istotne dla osób, które cenią sobie wygodę i bezpieczeństwo.Niezwykła lokalizacja budynku w centrum miasta zapewnia szybki dostęp do najważniejszych punktów turystycznych, handlowych i rekreacyjnych.Odległości:Szkoła podstawowa - po drugiej stronie ulicyPływalnia miejska - 1200mPrzystanek autobusowy linii 9 - na tej samej ulicyRynek - 400m Centrum handlowe - 2kmPrzychodnia - 50mKościół Najświętszego Serca Pana Jezusa - 350mZakopane - Krupówki 23km Białka Tatrzańska - Termy Bania - 13kmStarostwo Powiatowe - 150mZapraszamy na prezentację oraz do kontaktu.Joanna Podgajska tel. 692 272 248Anna Wozniak 698 440 208Wynagrodzenie biura pokrywa KLIENT SPRZEDAJĄCY. W przypadku tej oferty wynagrodzenie naszego biura pokrywa właściciel nieruchomości. Opis oferty zawarty na stronie internetowej sporządzany jest na podstawie oględzin nieruchomości oraz informacji uzyskanych od właściciela, może podlegać aktualizacji i nie stanowi oferty określonej w art. 66 i następnych K.C.Oferta wysłana z programu dla biur nieruchomości ASARI CRM ()</t>
  </si>
  <si>
    <t>https://www.otodom.pl/pl/oferta/mieszkanie-dwa-w-jednym-z-antresola-nowy-targ-ID4mA6M</t>
  </si>
  <si>
    <t>4mA6M</t>
  </si>
  <si>
    <t>Nowy apartament w centrum, gotowy do wprowadzenia</t>
  </si>
  <si>
    <t>ul. Gdańska, Stare Polesie, Polesie, Łódź, łódzkie</t>
  </si>
  <si>
    <t>Więcej informacji: Iwona 511 014 820
@: 
Wszystkie oferty na stronie: 
Jeśli poszukujesz nowego mieszkania w centrum Łodzi, gotowego do wprowadzenia to ta Alternatywa jest dla Ciebie!!!
Apartament znajduje się na poddaszu (III piętro) odrestaurowanej kamienicy, zaledwie 750m od ulicy Piotrkowskiej 1km od Manufaktury.
Cała przestrzeń zaprojektowana jest z myślą o najdrobniejszym szczególe, meble pod wymiar, wyposażenie AGD (piekarnik, płyta indukcyjna, zmywarka), oraz klimatyzacja zapewnią wygodne i komfortowe mieszkanie.
Przemyślana aranżacja zapewnia nie tylko wygodę, ale także stylowy efekt wizualny.
Układ mieszkania:
- salon z kuchnią oraz częścią wypoczynkową
- łazienka z ubikacją oraz prysznicem
Powierzchnia całkowita: 26 m2
Powierzchnia użytkowa: 21m2
Jeśli zastanawiasz się czy ta oferta jest dla Ciebie – zadzwoń – sprawdź.
Umów się na oglądanie mieszkania i żyj bardziej komfortowo! 
Zapewniam kompleksową i bezpłatną obsługę finansową oraz prawną przy zakupie nieruchomości.
Ogłoszenie nie stanowi oferty w rozumieniu Kodeksu Cywilnego, a dane w nim zawarte mają jedynie charakter informacyjny i mogą ulec zmianie. Treść niniejszego ogłoszenia nie stanowi oferty handlowej w rozumieniu Kodeksu Cywilnego.</t>
  </si>
  <si>
    <t>https://www.otodom.pl/pl/oferta/nowy-apartament-w-centrum-gotowy-do-wprowadzenia-ID4oFAF</t>
  </si>
  <si>
    <t>4oFAF</t>
  </si>
  <si>
    <t>Luksusowy apartament w cichej okolicy</t>
  </si>
  <si>
    <t>Srebrnych Świerków, Stegny, Mokotów, Warszawa, mazowieckie</t>
  </si>
  <si>
    <t>Opiekun ofertyKrzysztof Krasińskitel. 602 101 602 Rozkładowy 4-pokojowy apartament z kuchnią otwartą na salon o powierzchni 155,89 m2 na Mokotowie - Stegny. Duży balkon około 23 m2 z dwoma wyjściami na taras z salonu. Możliwość własnej aranżacji pomieszczeń i wydzielenia kolejnego pomieszczenia. Rekuperacja, filtry przeciw smogowe, klimatyzacja w każdym pomieszczeniu.Podstawowe informacje: Apartament w stanie deweloperskim o wysokim standardzie. W apartamencie jest rekuperacja oraz klimatyzacja we wszystkich pokojach. Wysokość pomieszczeń 295 cm. W kameralnym otoczeniu zabudowy niskich apartamentów. Budynek wybudowany w 2021 r. Otoczenie nieruchomości:Prezentowana nieruchomość znajduje się na pierwszym piętrze w 2-piętrowym nowoczesnym budynku wybudowanym w roku 2021. Z panoramicznymi oknami z widokiem na tereny zielone.Apartament znajduje się w doskonałej, cichej lokalizacji. W okolicy liczne tereny zielone i Akwen przy Królikarni. Dobry punkt komunikacyjny: autobus, do metra Wilanowska około 20 min spacerkiem (1,8km).W okolicy znajdują się tereny zielone i place zabaw.Lokalizacja zapewnia pełną infrastrukturę usługowo-handlową: sklepy spożywcze, apteka, salony urody, siłownia, fitness, restauracje oraz placówki edukacyjne. Atutem mieszkania jest wysoki standard wykończenia oraz cicha i przyjazna okolica. Doskonałe połączenie z całą Warszawą.Układ pomieszczeń:- Salon z jadalnią ok. 43 m2- Kuchnia ok. 13 m2- Sypialnia ok. 20 m2- Sypialnia ok. 16 m2- Sypialnia ok. 17 m2 - Łazienka ok. 5 m2- Łazienka ok. 5 m2- Toaleta ok. 4 m2- Hol wejściowy ok. 14 m2- Garderoba ok. 4 m2- Pralnia ok. 4 m2- Spiżarnia ok. 4 m2- Hol komunikacyjny ok. 7 m2Najważniejsze informacje:- apartament wyposażony w nowoczesny system rekuperacji i oczyszczania powietrza (Smog Free)- do wykończenia - własnej aranżacji- dogodna komunikacja z całą Warszawą - wystawa okien: północ, południe i zachód - idealne dla większej rodziny- do apartamentu przynależą 2 miejsca postojowe w garażu pod budynkiem dodatkowo płatne 65 tys./1 szt.Rekomendacja eksperta SDP Nieruchomości:Nieruchomość tę polecam dla rodzin z dziećmi lub jako zakup inwestycyjny.Niedostateczne środki? To nie problem, pomagamy w uzyskaniu finansowania na tę i inne nieruchomości. Zadzwoń i zapytaj o szczegóły. Zapraszam na prezentację. Opiekun ofertyKrzysztof Krasińskitel. 602-101-602</t>
  </si>
  <si>
    <t>https://www.otodom.pl/pl/oferta/luksusowy-apartament-w-cichej-okolicy-ID4o6aN</t>
  </si>
  <si>
    <t>4o6aN</t>
  </si>
  <si>
    <t>Mieszkanie 4 pok, 88 m2, Ząbki ul. Skrajna</t>
  </si>
  <si>
    <t>Ząbki, wołomiński, mazowieckie</t>
  </si>
  <si>
    <t>&amp;gt;&amp;gt;&amp;gt; Kupujący zwolniony z kosztów obsługi biura &amp;lt;&amp;lt;&amp;lt;Na sprzedaż nowe, 4-pokojowe mieszkanie o pow. 88,14 m2; usytuowane na II piętrze pięciopiętrowego budynku zlokalizowanego przy ul. Skrajnej w Ząbkach, tuż przy granicy z Warszawą; oferowane w standardzie deweloperskim. Istnieje możliwość wykończenia mieszkania &amp;quot;pod klucz&amp;quot;, przy współpracy z architektem wnętrz oraz zaufaną ekipą remontową. Na powierzchnię mieszkania składają się: salon z aneksem kuchennym (30,12 m2), pokój (14,02 m2), pokój (10,70 m2), pokój (10,41 m2), łazienka (5,32 m2), korytarz (15,25m2), przedpokój (2,32 m2) oraz 2 balkony (11,17 m2, 6,06 m2).W inwestycji zaprojektowano 68 lokali mieszkalnych o powierzchni od 41 do 91 m2. Do wszystkich lokali przynależeć będą balkony, a do tych na parterach - zielone tarasy. Ogrzewanie z sieci miejskiej. Klatka schodowa będzie wyposażona w 2 windy. W hali garażowej zaplanowano 91 miejsc parkingowych (jednostanowiskowe w cenie: 35 000 PLN brutto / dwustanowiskowe: 50 000 PLN) i komórki lokatorskie (3 500 PLN/m2), oraz dodatkowo 6 zewnętrznych miejsc postojowych dla osób niepełnosprawnych (25 000 PLN brutto).Termin zakończenia inwestycji: grudzień 2023 roku.Dane kontaktowe do agenta: Lena Sosnowska, tel: 881 006 091, e-mail: For service in English please call Wojciech Rusin at: +4████████████4.____________&amp;gt;&amp;gt;&amp;gt; The buyer does not pay agency&amp;rsquo;s service fee &amp;lt;&amp;lt;&amp;lt; For sale a new, 4-room apartment with floor area: 88,14 sq.m, located on the 2 nd floor of a five-floor building at Ząbki; offered in unfinished condition. Possibility of finishing the apartment in cooperation with an interior designer and a trusted renovation team.The apartment consists of: a room with a kitchenette (30,12 m2), a room (14,02 m2), a room (10,70 m2), a room (10,41 m2),  bathroom (5.32 m2), a hall (15,25 m2, 2,32 m2) and 2 balconies (11,17 m2, 6,06 m2).68 residential premises with an area from ​​​​41 sq.m to 91 sq.m have been designed in the building. There will be balconies in all premises, and green terraces in apartments on the ground floors. Heating from the municipal network. The staircase will be equipped with 2 lifts. In the garage hall, 91 parking spaces are planned (single parking spaces costs PLN 35,000 gross / double parking spaces: PLN 50,000) and storage rooms (PLN 3,500/sq.m), and additionally 6 external parking spaces for the disabled (PLN 25,000 gross).Investment completion date: December 2023.For service in English please call Wojciech Rusin at: +4████████████4.-Biuro nieruchomości PROPERCO współpracuje z doświadczonymi specjalistami finansowymi, oferującymi sprawdzenie zdolności kredytowej oraz przedstawienie oferty finansowania nieruchomości / Informacje dotyczące opisu nieruchomości podane są przez właściciela, mają charakter wyłącznie informacyjny i mogą podlegać aktualizacji. Oferta dotycząca nieruchomości nie stanowi oferty określonej w art. 66 i następnych KC.Zapraszamy do siedziby naszego biura w Warszawie przy ul. Brylowskiej 2 lok. 3B (Wola, Czyste).Dane adresowe:PROPERCO sp. z o.o. sp.kul. Brylowska 2 lok. 3B01-216 Warszawa/</t>
  </si>
  <si>
    <t>https://www.otodom.pl/pl/oferta/mieszkanie-4-pok-88-m2-zabki-ul-skrajna-ID4oqDS</t>
  </si>
  <si>
    <t>4oqDS</t>
  </si>
  <si>
    <t>3 Pokoje / 58,17 M / 3 Piętro / Balkon 5,5 M</t>
  </si>
  <si>
    <t>3 POKOJE / 58,17 m / 3 PIĘTRO / BALKON 5,5 m Nowa inwestycja „ZAKĄTEK OZDOBNA” to projekt polegający na budowie kameralnego osiedla zlokalizowanego przy ul. Ozdobnej w Radomiu w ramach którego powstanie sześć nowoczesnych 3 piętrowych budynków mieszkalnych wielorodzinnych każdy z garażem podziemnym.Łącznie wybudowanych zostanie 103 nowe mieszkania o powierzchni od 29,64m² do 83,63m² wraz z zaprojektowaną infrastrukturą oraz terenami zielonymi.Mieszkania na parterze będą miały dostęp do ogródków, natomiast na wyższych kondygnacjach lokale posiadać będą przestronne balkony lub tarasy. Do mieszkania będzie przynależeć komórka lokatorska, miejsce postojowe w hali garażowej lub na parkingu zewnętrznym.Lokalizacja inwestycji mieszkaniowej „Zakątek Ozdobna” jest niezwykle atrakcyjna z powodu dużej ilości terenów zielonych, idealne na spacery i różne formy aktywności fizycznej.Oferta kierowana jest do Osób ceniących sobie spokój i kameralność nowego mieszkania.Całość osiedla stanowić będzie wyjątkową enklawę, której Mieszkańcy docenią harmonijne połączenie bliskości miasta z bliskością natury.Poza atutami lokalizacji, Zakątek Ozdobna zwraca uwagę nowoczesną stylistyką architektury. Ciekawie zaprojektowana elewacja, szklane balustrady balkonów i stonowana kolorystyka nadają budynkom niepowtarzalny charakter.W okolicy inwestycji Zakątek Ozdobna znajduje się wszystko co jest niezbędne do codziennego życia: przychodnia, szkoły, przedszkola, centra handlowe itp.Realizacja inwestycji rozpoczeła się we wrześniu 2023 r.Zakończenie procesu budowlanego planowane jest do 31.03.2026 r.Przeniesienie prawa własności nieruchomości nastapi w terminie maksymalnym do 31.12.2026 r.W razie pytań, rezerwacji zapraszamy do kontaktu :Maciej Malec - tel: 885 727 088Oferta wysłana z programu dla biur nieruchomości ASARI CRM ()</t>
  </si>
  <si>
    <t>https://www.otodom.pl/pl/oferta/3-pokoje-58-17-m-3-pietro-balkon-5-5-m-ID4ofAZ</t>
  </si>
  <si>
    <t>4ofAZ</t>
  </si>
  <si>
    <t>Mieszkanie 3-pok. z aneksem kuchennym i ogródkiem</t>
  </si>
  <si>
    <t xml:space="preserve">Mieszkanie 3-pokojowe 58mkw znajdujące się w dzielnicy Wrotków na os. Diamentowe Wzgórze. Nowy blok z czerwonej cegły z ogrzewaniem miejskim.
Nieruchomość zlokalizowana na parterze z tarasem i bardzo dużym ogródkiem. Nie wymaga dodatkowych nakładów finansowych.
Mieszkanie składa się z:
-obszernego salonu z aneksem kuchennym, 
-2 sypialni
-łazienki z prysznicem i wc
-garderoby z pralnią i suszarnią.
Do nieruchomości przynależy piwnica ok. 5mkw.
Dodatkowo płatne miejsce postojowe w garażu podziemnym 35tys.
Po więcej szczegółów zapraszam do kontaktu i na prezentację. 
Pośrednikom dziękuję. 
</t>
  </si>
  <si>
    <t>https://www.otodom.pl/pl/oferta/mieszkanie-3-pok-z-aneksem-kuchennym-i-ogrodkiem-ID4oFZ7</t>
  </si>
  <si>
    <t>4oFZ7</t>
  </si>
  <si>
    <t>Osielsko 68m2 / świetna lokalizacja</t>
  </si>
  <si>
    <t>ul. Tymiankowa, Osielsko, Osielsko, bydgoski, kujawsko-pomorskie</t>
  </si>
  <si>
    <t>Kontakt do agenta nieruchomości:Edyta NeskieTel. 793-773-800Serdecznie zapraszam na prezentację przestronnego mieszkania, zlokalizowanego w Osielsku w apartamentowcu wybudowanym w 2015 roku. Nieruchomość zlokalizowana jest na pierwszym piętrze trzykondygnacyjnego budynku. Mieszkanie składa się z:- pokoju (15,13 m2),- pokoju (10.9 m2),- salonu z aneksem kuchennym (26,42 m2)- łazienki (5,18 m2)- przedpokoju (10,28 m2)- komórki lokatorskiej (4,32 m2) oraz tarasuMieszkanie wykończone w wysokim standardzie, jak i cały budynek, czyste i zadbane. Na ścianach gładzie, na podłogach panele (quick-step wodoodporne) oraz kafle. Wysokiej jakości stolarka drzwiowa. Aneks kuchenny z meblami i AGD, wszystko w bardzo dobrym stanie. W łazience meble pod zabudowę, poza tym dwie obszerne szafy typu komador. Ogrzewanie dla budynku z kotłowni gazowej. Czynsz dla jednej osoby 660 zł. Do mieszkania przynależy komórka lokatorska o powierzchni 4.32 m2.Istnieje możliwość zakupienia miejsca postojowego w hali garażowej (25 tys. zł)Lokalizacja to bliskość miasta (4 linie autobusowe - przystanek ok 400 m), w sąsiedztwie Biedronka, restauracja gruzińska, fryzjer, kosmetyczka, szpital. Do szkoły ok 1,5 km, podobnie na basen i do galerii handlowej. Jednocześnie bliskość atrakcyjnych terenów spacerowych, z pobliskim Myślęcinkiem włącznie. Pełny dostęp do wielu kilometrów ścieżek rowerowych. Ciężko przecenić atrakcyjność lokalizacji, dlatego serdecznie zapraszam do obejrzenia tej wyjątkowej nieruchomości. Edyta NeskieTel. 793-773-800Kontaktując się z agentem odpowiedzialnym za ofertę, koniecznie zapytaj jakie są warunki współpracy z naszym biurem oraz co w związku ze współpracą zapewniamy.Dbając o bezpieczeństwo klientów sprzedających, a często także na ich wyraźne życzenie, nie podajemy adresów nieruchomości bez podpisania uprzednio umowy o pośrednictwo w kupnie lub najmie.Wszelkie podane przez Biuro informacje nie są ofertą w rozumieniu Kodeksu Cywilnego.Zgodnie z Ustawą o Prawie Autorskim i Prawach Pokrewnych z dnia 4 lutego 1994 roku (Dz.U.94 Nr 24 poz. 83, sprost.: Dz.U.94 Nr 43 poz.170) wykorzystywanie autorskich pomysłów, rozwiązań, kopiowanie, rozpowszechnianie zdjęć, fragmentów grafiki, tekstów opisów w celach zarobkowych, bez zezwolenia autora jest zabronione i stanowi naruszenie praw autorskich oraz podlega karze. Znaki towarowe i graficzne są własnością firmy Nieruchomości Apartament.</t>
  </si>
  <si>
    <t>https://www.otodom.pl/pl/oferta/osielsko-68m2-swietna-lokalizacja-ID4oCj8</t>
  </si>
  <si>
    <t>4oCj8</t>
  </si>
  <si>
    <t>__ Atrakcyjna oferta domu wolnostojącego __</t>
  </si>
  <si>
    <t>__________ B I U R O  4 K Ą T Y   N I E R U C H O M O Ś C I __________Przedstawia ofertę sprzedaży komfortowego domu jednorodzinnego, wolnostojącego położonego w dzielnicy Łężyca  - atrakcyjna lokalizacja dająca z jednej strony ciszę i spokój od miejskiego zgiełku, a z drugiej bliskość miejskiej infrastruktury i dogodny dojazd do centrum.Nieruchomość położona na osiedlu domów jednorodzinnych. Działka o powierzchni 1034 m2. Teren wokół domu ogrodzony, zagospodarowany - taras z miejscem na wypoczynek, nasadzenia, oczko wodne.Dom o powierzchni użytkowej  ok. 110 m2 parter ( pow. całkowita ok. 200 m2 ) wybudowany metodą tradycyjną murowaną. Nieruchomość oddana do użytkowania w 2013 roku. Budynek został ocieplony styropianem o grubości 15 cm oraz poddasze ocieplone wełną mineralną.Elewację wykończono tynkiem silikatowym. Dachówka ceramiczna, stolarka okienna PCV na poddaszu, na parterze drewniana nowej generacji.Ogrzewanie gazowe + kominek, grzejniki w całym domu, dodatkowo ogrzewanie podłogowe w łazience, kuchni oraz przedpokoju.Na parterze  znajduje się: - wiatrołap ok. 2,4 m2- przestronny hol ok. 14 m2- salon z kominkiem i wyjściem na taras ok. 26 m2- kuchnia z jadalnią ok.12,5 m2 - duża sypialnia  ok.17,5 m2- pokój ok.14 m2- pokój - gabinet ok. 8,5 m2- garderoba ok. 2,5 m2- kotłownia (pom. gosp.) ok. 3 m2- łazienka z wanną oraz prysznicem ok. 8 m2- osobna toaleta ok. 2 m2Poddasze:Poddasze niezagospodarowane przygotowane do wykończenia (położone tynki, ściany malowane na biało, wyprowadzenie pod grzejniki, przygotowanie elektryki pod biały montaż)- salon, - pokój -pokój,- łazienka. ________ M E D I A _______- WODA z sieci miejskiej- KANALIZACJA miejska- PRĄD- OGRZEWANIE - gaz, kominek. Zapraszamy do kontaktu w celu umówienia P R E Z E N T A C J I_P O L E C A M Y _4 K Ą T Y   N I E R U C H O M O Ś C IKATARZYNA GRĄDZKAnr tel.: 504 55 88 87Powyższe ogłoszenie nie stanowi oferty handlowej w rozumieniu art. 66 § 1 kodeksu cywilnego oraz innych właściwych przepisów. Zamieszczone na stronie zdjęcia oraz opisy są jedynie zaproszeniem do składania ofert w rozumieniu art. 71 Kodeksu cywilnego.     ::oferta eksportowana z programu mediaRent::</t>
  </si>
  <si>
    <t>https://www.otodom.pl/pl/oferta/atrakcyjna-oferta-domu-wolnostojacego-ID4oI4q</t>
  </si>
  <si>
    <t>4oI4q</t>
  </si>
  <si>
    <t>&gt;40m2 Wysokie RABATY | Duży balon | Super miejsce</t>
  </si>
  <si>
    <t>Stare Polesie, Polesie, Łódź, łódzkie</t>
  </si>
  <si>
    <t xml:space="preserve">STYCZNIOWA PROMOCJA NA ZAKUP MIESZKANIA – WYSOKIE RABATY  - UMÓW WIZYTĘ i zobacz na ŻYWO 
UMOWA REZERWACYJNA → GWARANTOWANA NISKA CENA !!!
Bezpośrednia sprzedaż od dewelopera
BEZ PROWIZJI - BRAK PODATKU PCC – 0 zł – RYNEK PIERWOTNY
Wyjątkowe OKAZJE na miejsca postojowe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</si>
  <si>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https://www.otodom.pl/pl/oferta/40m2-wysokie-rabaty-duzy-balon-super-miejsce-ID4oxmR</t>
  </si>
  <si>
    <t>4oxmR</t>
  </si>
  <si>
    <t>centrum miasta, parter, bezczynszowe</t>
  </si>
  <si>
    <t xml:space="preserve">Na sprzedaż własnościowe, bezczynszowe mieszkanie na parterze w centrum miasta Leszna ul. Średnia składające się z sypialni, łazienki, komunikacji, kuchni, salonu - łącznie ok.49m2.
Do mieszkania przynależą dodatkowe pomieszczenia: piwnica oraz składzik.
Z tyłu budynku jest niewielkie podwórko do dyspozycji dla wszystkich mieszkańców.
Media:
- gaz - ogrzewanie i ciepła woda - piec dwufunkcyjny gazowy
- prąd
- woda
- kanalizacja
W ostatnim roku wymienione drzwi wejściowe.
W sypialni na podłodze panele winylowe (pod podłogą znajduje się dodatkowe ocieplenie z wełny mineralnej wraz z nową konstrukcją podłogi, strop betonowy) - ściany murowane z płyty gk + malowane.
Komunikacja, sypialnia, kuchnia na podłodze płytki, ściany murowane + częściowo z płyt gk + malowane
Salon na podłodze linoleum, ściany murowane + płyty g-k + malowane
Sufity - strop drewniany.
Oferta bezpośrednio od właściciela - pośrednikom dziękuję.
Więcej informacji pod podanym w ogłoszeniu numerem telefonu.
</t>
  </si>
  <si>
    <t>https://www.otodom.pl/pl/oferta/centrum-miasta-parter-bezczynszowe-ID4nrss</t>
  </si>
  <si>
    <t>4nrss</t>
  </si>
  <si>
    <t>Niższa cena dla klienta gotówkowego.</t>
  </si>
  <si>
    <t xml:space="preserve">Wynagrodzenie pośrednika pokrywa Sprzedający.
Nowa niższa cena dla klienta gotówkowego:  -30 000 zł od ceny regularnej.
Na nowo powstającym osiedlu proponujemy do sprzedaży bezczynszowe mieszkania w stanie deweloperskim w standardzie PASYWNYM (superenergooszczędnym) w zabudowie bliźniaczej.
Domy budowane w standardzie pasywnym mają przede wszystkim być zdrowe, ekologiczne, przyjazne a właścicielom mają przynieść wymierne korzyści w postaci oszczędności w opłatach za energię.
Zgodnie z obliczeniami dewelopera i projektantów domu i co zostało poparte rachunkami Klientów już zamieszkujących osiedle, ogrzewanie jednego mieszkania na osiedlu kosztuje użytkowników ok. 700zł za cały rok.
Proponujemy mieszkanie na parterze C2 z niezależnym wejściem. Do mieszkania przynależy ogródek o pow. 100 m2 i miejsce parkingowe.
Na proponowanym mini osiedlu znajdują się trzy budynki czterolokalowe A, B i C. Lokale w budynku A i B oraz częściowo w budynku C zostały sprzedane.
Proponujemy mieszkanie na parterze o powierzchni 62,94 m2 w budynku C.
Mieszkanie posiada następujący rozkład:
- salon z aneksem kuchennym 25,48 m2,
- pokój 11,44 m2,
- pokój 9,12 m2
- korytarz 10,00 m2 
- łazienka z WC 4,55 m2
- pom. gospodarcze 2,35 m2
Przewidywany czas oddania budynku C jest na II - III kwartał 2024 roku.
Standard wykonania deweloperskiego obejmuje m.in.:
- budynek posadowiony na płycie fundamentowej
- izolacja termiczna styropianem grafitowym 32 cm
- ściany konstrukcyjne z bloczków silikatowych
- pomiędzy mieszkaniami podwójna ściana poprawiająca izolację akustyczną
- dach: konstrukcja drewniana, pokrycie: blacha płaska
- okna PCV, trzyszybowe montowane w warstwie ocieplenia
- parapety zewnętrzne z blachy stalowej powlekanej
- wentylacja mechaniczna z odzyskiem ciepła z powietrza wywiewnego
- schody zewnętrzne stalowe, zadaszone
- tynk silikonowy
- instalacje: - inst. c.o. wraz z kotłem gazowym kondensacyjnym z zamkniętą komorą spalania
- ogrzewanie podłogowe
- inst. gazowa
- inst. wod-kan
- inst. elektryczna
- inst. RTV, telefoniczna, domofonowa, internet - światłowód
- ogrodzenie osiedla
- chodniki z kostki brukowej
- droga osiedlowa i miejsca parkingowe z kostki brukowej
Pozostałe dostępne lokale:
Budynek C:
- C1 - piętro - 65,39 m2 - pow. ogródka 98 m2 - cena 549 000 pln
- C2 - piętro - 63,21 m2- pow. ogródka 119 m2 - cena 569 000 pln
Osiedle zajmują bardzo dogodne położenie. W pobliżu znajduje się: przystanek autobusowy – 200 m, szkoła podstawowa – 1100 m (15 minut spacerem, 3 minuty samochodem), przedszkole np. angielskojęzyczne – 700 m (8 minut spacerem, 1 minuta samochodem), w promieniu 2 km kolejne pięć przedszkoli. W odległości 5 minut znajduje się CH Auchan w Komornikach, natomiast w Luboniu Centrum Handlowe Pajo ( Spar, Pepko, , Rossmann, restauracja, kawiarnia i inne), Media Expert, Action oraz Intermarche - 4 minuty. Do węzła na autostradzie A2 – 4 minuty, do Rondo Kaponiera – 15 minut, centrum Lubonia – 5 minut.
Świadectwo charakterystyki energetycznej w przygotowaniu.
Niniejsza oferta jest wyłącznie informacją handlową i nie stanowi oferty w rozumieniu przepisów kodeksu cywilnego. Przedstawione wizualizacje wnętrz stanowią jedynie możliwości aranżacyjne pomieszczeń.
Gorąco polecam i zapraszam do oglądania.
Kupujący nie płaci 2% podatku PCC.
Cena regularna: 649 000 pln (dla klienta gotówkowego 619 000 pln)
KONTAKT: Mariusz Skrzydlewski tel. 608 298 861, e-mail: 
Doradca ds. Nieruchomości.
KAŻDEMU KLIENTOWI OFERUJEMY BEZPŁATNĄ POMOC PRZY UZYSKANIU KREDYTU.
OFERTA LICENCJONOWANEGO POŚREDNIKA GWARANCJĄ BEZPIECZNEJ TRANSAKCJI.
Oferta wysłana z programu dla biur nieruchomości ASARI CRM ()
</t>
  </si>
  <si>
    <t>https://www.otodom.pl/pl/oferta/nizsza-cena-dla-klienta-gotowkowego-ID4ouvm</t>
  </si>
  <si>
    <t>4ouvm</t>
  </si>
  <si>
    <t>Mieszkanie 2-pokojowe Folwark Jankowice</t>
  </si>
  <si>
    <t>Przedstawiamy wyjątkową ofertę mieszkań w Folwarku Jankowice.W naszej ofercie znajdziesz 114 mieszkań 2,3 i 4 pokojowych w standardzie deweloperskim, zorganizowanych w kompleks kilku budynków 2-piętrowych, zaprojektowanych w klasycznej architekturze, która harmonijnie łączy tradycję i piękno polskiej wsi z nowoczesnymi rozwiązaniami. Folwark Jankowice to nowa inwestycja Grupy Konkret, znanej z takich projektów jak elegancki City Park w Poznaniu, czy lubiany i swojski Country Park Pod Gajem.Lokalizacja:Miejscowość Jankowice znajduje się na zachód od Poznania w gminie Tarnowo Podgórne, a jest znana z wspaniale odrestaurowanego Pałacu w Jankowicach, w którym obecnie znajduje się szkoła muzyczna oraz siedziba organizacji kulturalnych oraz artystycznych. To tu, w malowniczym sąsiedztwie Parku Pałacowego, w Dolinie rzeki Samy powstanie teren Folwarku, który zaoferuje Tobie i Twojej Rodzinie bliskość natury a także wszelkie wygody, jakich oczekujesz.Termin realizacji : II kwartał 2024 r.Standard wykończenia gwarantuje najwyższą jakość materiałów oraz najnowocześniejsze rozwiązania technologii:- mieszkania wyposażono w ogrzewanie podłogowe,- ogrzewanie centralne dla budynku kotłownią gazową,- w każdym mieszkaniu jest duży balkon (nawet 18m2) lub ogródek (niektóre ponad 100m2)- panele solarne na dachach pomogą w ogrzewaniu wody,- instalacja w budynku przygotowana jest pod montaż fotowoltaiki.- miejsca parkingowe zostaną wyposażone w ładowarki do aut elektrycznych- teren Folwarku będzie zamknięty szlabanem i wjazd udostępniony zostanie tylko mieszkańcomUkłady mieszkańo powierzchniach od 40m2 do 78m2 zadowolą najbardziej wymagających, gdyż nawet przy mniejszych metrażach zostały zaprojektowane z naciskiem na maksymalizację przestrzeni. Dla każdego mieszkania w cenie przewidziano komórkę lokatorską.Na terenie Folwarku znajdą się:- przemyślane i wygodnie zorganizowane części wspólne z zielenią utrzymywaną przez ogrodnika,- ogólnodostępna siłownia w budynku,- kawiarnia i obiekty usługowe,- odrestaurowany budynek zabytkowego Spichlerza jako miejsce kameralnych eventów,- plac zabaw dla dzieci i zewnętrzna siłownia.Pierwsze lokale gotowe do oddania już w II kwartale 2024 r.Finansowanie:Zakup mieszkania jest ważnym, ale niełatwym procesem, doskonale o tym wiemy. Dlatego zapewniamy Państwu kompleksową i rzetelną obsługę całego procesu zakupowego. Gwarantujemy współpracę ze sprawdzonymi i rzetelnymi ekspertami finansowymi, którzy pozostają do Państwa dyspozycji w naszych biurach sprzedaży. Nasi doradcy kredytowi:współpracują z kilkunastoma bankami na polskim rynku,pośredniczą w udzielaniu kredytów hipotecznych,umożliwiają porównanie ofert kredytowych różnych banków oraz negocjują z nimi warunki cenowe,zaproponują kredyt dopasowany dokładnie do Państwa potrzeb i możliwości,zapewnią pomoc przy skompletowaniu wymaganej dokumentacjiZapraszamy na stronęSkontaktuj się z naszym Biurem Sprzedaży i umów na prezentację Oferty Folwarku Jankowice.Właścicielem ogłoszenia wraz z jej elementami jest 4Develop sp. z o.o. Wszelkie prawa zastrzeżone, kopiowanie, rozpowszechnianie oraz korzystanie z niniejszych materiałów w jakikolwiek sposób wykraczający poza dozwolony użytek określony przepisami ustawy z 4 lutego 1994 r. o prawie autorskim i prawach pokrewnych. Informacje zawarte na stronie internetowej nie stanowią oferty w rozumieniu Kodeksu Cywilnego a dane na niej zawarte mają jedynie charakter informacyjny i mogą ulec zmianie</t>
  </si>
  <si>
    <t>https://www.otodom.pl/pl/oferta/mieszkanie-2-pokojowe-folwark-jankowice-ID4o3yV</t>
  </si>
  <si>
    <t>4o3yV</t>
  </si>
  <si>
    <t>Duże M4 w Centrum, do wprowadzenia</t>
  </si>
  <si>
    <t>ul. Zygmunta Krasińskiego, Śródmieście, Bydgoszcz, kujawsko-pomorskie</t>
  </si>
  <si>
    <t>Na sprzedaż przestronne mieszkanie o powierzchni 78m2 na parterze w kamienicy z 1921 roku.
Kamienica znajduje się w samym sercu Bydgoszczy - przy ul. Krasińskiego.
Nieruchomość przeszła generalny remont w 2020 roku, w ramach którego dokonano wymiany wszystkich instalacji (wod.-kan., elektrycznej, gazowej). Zainstalowano również nowy piec gazowy.
Główne cechy mieszkania:
Powierzchnia: 78m2
Położenie: Parter
Generalny remont: w 2020 roku
Nowe instalacje wodno-kanalizacyjne, elektryczna, gazowa
Duża przestronność
Piwnica o powierzchni 1,5m2 w cenie
Kamienica z charakterem
W najbliższych planach remont elewacji.
Mieszkanie składa się z:
Przestronnego i jasnego salonu (okna od strony południowo-zachodniej)
2 dużych sypialni
Kuchni ze spiżarnią
Łazienki z wanną i WC
Osobnego WC
Przedpokoju.
Mieszkanie jest jasne i przestronne, co daje poczucie komfortu i swobody. Nowoczesne wykończenia w połączeniu z zachowanym charakterem kamienicy, tworzą wyjątkowy klimat tego miejsca.
Dodatkowym atutem oferty jest niewielka piwnica o powierzchni 1,5m2, która daje dodatkową przestrzeń do przechowywania.
Czynsz do wspólnoty bardzo niski! Zaledwie 80zł miesięcznie.
Abonament za parkowanie na ulicy - 75zł miesięcznie.
Mieszkanie jest gotowe do zamieszkania, co czyni je idealnym rozwiązaniem dla rodzin, jak również inwestorów - lokalizacja atrakcyjna dla najemców.
Lokalizacja: Nieruchomość znajduje się w centralnej części miasta, przy ul. Krasińskiego. To sprawia, że jest dostęp do wszystkich udogodnień i atrakcji w zasięgu ręki. Szkoły, przedszkola, liczne sklepy i restauracje, parki i komunikacja miejska to tylko kilka minut spacerem od mieszkania.
To doskonała oferta dla osób ceniących zarówno wygodę, jak i klimat kamienicznego mieszkania, a w szczególności dużą wysokość pomieszczeń.
Zapraszamy do kontaktu i umówienia się na prezentację.
Filip Liberda
515-616-384
Nie przegap tej wyjątkowej okazji!</t>
  </si>
  <si>
    <t>https://www.otodom.pl/pl/oferta/duze-m4-w-centrum-do-wprowadzenia-ID4nx0B</t>
  </si>
  <si>
    <t>4nx0B</t>
  </si>
  <si>
    <t>Cena obniżona - do zakończenia remontu</t>
  </si>
  <si>
    <t>ul. Legnicka, Środa Śląska, Środa Śląska, średzki, dolnośląskie</t>
  </si>
  <si>
    <t>Mieszkanie w trakcie remontu. Usunięto stare meble (za wyjątkiem kuchennych), częściowo usunięto stare powłoki malarskie. Obecnie rozpoczynamy gładzie. Uwaga: po tym etapie cena zostanie podniesiona.
Cena do negocjacji. Po skończonym całym remoncie - nowa, istotnie wyższa cena.
Do mieszkania należy pomieszczenie w piwnicy o powierzchni 6,14m2.
Bardzo dobra lokalizacja, dostępne od ręki.</t>
  </si>
  <si>
    <t>https://www.otodom.pl/pl/oferta/cena-obnizona-do-zakonczenia-remontu-ID4o0cj</t>
  </si>
  <si>
    <t>4o0cj</t>
  </si>
  <si>
    <t>Śródmieście-Rozkład-Loggia-Plac Świętego Macieja</t>
  </si>
  <si>
    <t>ul. Henryka Brodatego, Nadodrze, Śródmieście, Wrocław, dolnośląskie</t>
  </si>
  <si>
    <t>- Lokalizacja: Śródmieście, przy ul. H. Brodatego, 10 min. do RYNKU, 11 min.do GRUNWALDU- Ilość pokoi: 2- Metraż: 44,40m2- Piętro: 3 (bez windy)OPIS NIERUCHOMOŚCI: Polecam na sprzedaż ROZKŁADOWE, dwupokojowe mieszkanie, które jest położone w dzielnicy Wrocławia, Śródmieście, Nadodrze, przy ul. H. Brodatego. Świetne miejsce dla osób ceniących szybki dostęp do Centrum Miasta. Mieszkanie własnościowe z KW o pow 44,40m2 + piwnica. Mieszkanie znajduje się na trzecim piętrze bez windy, układ dwustronny. Ogrzewanie miejskie, niski czynsz. W skład mieszkania wchodzi :- Osobna kuchnia : ( meble w zabudowie, kuchenka gazowa, okap) - Pokój - Pokój - Łazienka z wc ( prysznic) - Korytarz - Loggia- Piwnica ok 3m2ZALETY:  Położenie nieruchomości w zielonej okolicy, w mieszkaniu jest cisza i spokój. Natomiast największym atutem jest świetna lokalizacja, przystanek linii autobusowej oraz tramwajowej, bliskość do Rynku oraz Placu Grunwaldzkiego. Idealne mieszkanie dla rodziny lub dla inwestora jako inwestycja pod wynajem.CENA SPRZEDAŻY: 575 000zł_Serdecznie polecam i zapraszam na prezentacjęEwelina MalmurNr licencji 23188EM HOUSE NieruchomościTel. kom : +4████████4 333Polecam i zapraszam na spotkanie oraz prezentację nieruchomości !!!-prowadzimy klientów oraz aktywnie uczestniczymy przez cały proces zakupu nieruchomości,-gwarantujemy opiekę prawną,-zapewniamy konsultację z doradcą kredytowym,-konkurencyjne stawki u notariusza,-wszystkie transakcje są ubezpieczone (nadzór licencji nr 23188Informacje dotyczące opisu nieruchomości podane są przez właściciela, mają wyłącznie charakter informacyjny i mogą podlegać aktualizacji. Oferta dotycząca nieruchomości nie stanowi oferty określonej w art. 66 i następnych w KCDANE KONTAKTOWE:Ewelina Malmur691464333Treść niniejszego ogłoszenia nie stanowi oferty handlowej w rozumieniu Kodeksu Cywilnego.</t>
  </si>
  <si>
    <t>https://www.otodom.pl/pl/oferta/srodmiescie-rozklad-loggia-plac-swietego-macieja-ID4ohWg</t>
  </si>
  <si>
    <t>4ohWg</t>
  </si>
  <si>
    <t>Ulica Brzozowa Spokojna okolica z placem zabaw</t>
  </si>
  <si>
    <t>ul. Brzozowa, Sadlinki, Sadlinki, kwidzyński, pomorskie</t>
  </si>
  <si>
    <t>Biuro H4U Kredyty i Nieruchomości  Paweł Lech ma przyjemność zaprezentować Państwu do sprzedaży mieszkanie na ul. Brzozowa, 82-522 Sadlinki. 
Mieszkanie znajduje się w cichej i spokojnej okolicy z dala od miejskiego zgiełku. Na osiedlu znajduje się duży plac zabaw. Do Szkoły Podstawowej położonej na ulicy Grudziądzkiej 14A to tylko jakieś 13 min drogi pieszo. Najbliższy sklep to Stokrotka na ulicy Kwidzyńskiej, zaraz obok apteka, a na tej samej ulicy jest jeszcze przedszkole.
- 82m2
- 3 pokoje
- kuchnia
- łazienka
- piwnica
- parter
- duży plac zabaw przed blokiem
- w czynszu zawarte ogrzewanie, śmieci, woda
- dodatkowo zamontowany bojler
- płatność za prąd według zużycia
Nasi eksperci od Kredytów Hipotecznych przeprowadzą darmową analizę finansową z uwzględnieniem wszystkich kosztów około kredytowych takich jak np. podatek czy taksa notarialna.
Biuro H4U nie pobiera prowizji od Kupującego.</t>
  </si>
  <si>
    <t>https://www.otodom.pl/pl/oferta/ulica-brzozowa-spokojna-okolica-z-placem-zabaw-ID4mEQE</t>
  </si>
  <si>
    <t>4mEQE</t>
  </si>
  <si>
    <t>Sprzedaż 2 pok. urządzone Opole Zaodrze</t>
  </si>
  <si>
    <t>https://www.otodom.pl/pl/oferta/sprzedaz-2-pok-urzadzone-opole-zaodrze-ID4oBMh</t>
  </si>
  <si>
    <t>4oBMh</t>
  </si>
  <si>
    <t>Fort Natura | nowoczesne mieszkanie B1.11</t>
  </si>
  <si>
    <t>Przedmiotem ogłoszenia jest 2-pokojowe mieszkanie położone na parterze w inwestycji Fort Natura. To wyjątkowy lokal o powierzchni 38,90 m kw. Cechą inwestycji jest wysoki standard i świetna lokalizacja. Zapraszamy do zapoznania się z ofertą i do kontaktu.
Osiedle Fort Natura powstaje pod adresem ul. Wybickiego 5 w  dzielnicy Krowodrza w Krakowie. 
Cztery budynki zostaną usytuowane na działce o powierzchni ponad 18 000 m kw.W centralnej części osiedla powstanie zielony park ze strefą relaksu i alejkami. Idealne miejsce dla osób, które cenią sobie aktywny styl życia i bliskość natury, a po intensywnym dniu pracy szukają spokoju i wytchnienia.
Doskonała lokalizacja, nowoczesny design, dobrze zaprojektowane mieszkania.
3 km od płyty Rynku Głównego700 m do Parku Krowoderskiego700 m do Parku im. St. Wyspiańskiego200 m przystanek autobusowy400 m przystanek tramwajowy1 km stacja PKP12 km lotnisko Kraków-Balice
PODWYŻSZONY STANDARDW skład osiedla wchodzą 4 budynki mieszkalne wielorodzinne w których znajdzie się 340 mieszkań o podwyższonym standardzie. Budynki połączone będą dwukondygnacyjnymi garażami podziemnymi. Funkcjonalne rozkłady mieszkań oraz wysoka jakość budynków to atuty, do których przykładamy wielką wagę.
Obecnie w sprzedaży 174 mieszkania w budynkach B1 i B2 w metrażach od 40-74 m2.</t>
  </si>
  <si>
    <t>https://www.otodom.pl/pl/oferta/fort-natura-nowoczesne-mieszkanie-b1-11-ID4gvop</t>
  </si>
  <si>
    <t>4gvop</t>
  </si>
  <si>
    <t>Górny Sopot/Balkon i Weranda/7 pokoi</t>
  </si>
  <si>
    <t>ul. Armii Krajowej, Górny Sopot, Sopot, pomorskie</t>
  </si>
  <si>
    <t>SZUKASZ DUŻEGO MIESZKANIA W SOPOCIE GÓRNYM Z BALKONEM I WŁASNĄ WERANDĄ?ATUTY:- układ idealny na wynajem i na zamieszkanie całą rodziną,- mieszkanie po remoncie włącznie z wymienioną stolarką okienną,- balkon i weranda, - na I poziomie oryginalne podłogi,MIESZKANIE: na sprzedaż przestronne, ustawne i bardzo słoneczne dwupoziomowe mieszkanie w ścisłym centrum Sopotu. Mieszkanie po generalnym remoncie, wymieniona instalacja elektryczna oraz hydrauliczna, a także wszystkie okna. W mieszkaniu pięknie zachowana blisko stuletnia podłoga oraz zabytkowe drzwi. Mieszkanie nietuzinkowe dla wymagającego klienta. W skład mieszkania wchodzą:I POZIOM:- przedpokój (9,32 m2)- 3 sypialnie (14,7 m2, 14,24 m2, 10,7 m2) - pokój dzienny (23,7 m2) z wyjściem na stylową werandę (6,6 m2)- 2 łazienki (5,07 m2, 3,16 m2)- aneks kuchenny (3,18 m2)II POZIOM:- przedpokój - 2 sypialnie - łazienka - pokój dzienny z aneksem kuchennym- schowekNa poddaszu występują skosy.Czynsz wynosi około 400 zł. Ogrzewanie gazowe - piec dwu funkcyjny.BUDYNEK: Mieszkanie znajduje się w urokliwej kamienicy z 1907 roku wybudowanej z cegły. Posadowionej na działce o powierzchni 768m2, mieszkanie posiada w niej 49% udziałów. W całej kamienicy mamy tylko 4 mieszkania.OKOLICA: kamienica znajduje się w Górnym Sopocie, w otoczeniu podobnych zabudowań i starych drzew. Od plaży dzieli nas niespełna 12 minut spacerem. Do centrum Sopotu (ul. Monte Cassino) jedyne 5 minut. W pobliżu pełna infrastruktura handlowo-usługowa (sklepy spożywcze, apteki, szkoła, przedszkole). Wokół bardzo dużo zieleni, co sprzyja aktywnemu trybowi życia, rekreacji, chwilom na świeżym powietrzu. Ze względu na brak miejsca pod inwestycje, nie ma możliwości budowy wysokich budynków przez deweloperów.ZAPRASZAM NA PREZENTACJĘ!</t>
  </si>
  <si>
    <t>https://www.otodom.pl/pl/oferta/gorny-sopot-balkon-i-weranda-7-pokoi-ID4i7d6</t>
  </si>
  <si>
    <t>4i7d6</t>
  </si>
  <si>
    <t>Funkcjonalne SZEREGOWCE bezczynszowe,ogród,kominek</t>
  </si>
  <si>
    <t>DOM W ZABUDOWIE SZEREGOWEJ - SEGMENT ŚRODKOWY
powierzchnia użytkowa: 92m2działka: ok.150m2pomieszczenia parter: wiatrołap, łazienka, pomieszczenie gospodarcze, salon z aneksem kuchennym (35m2)pomieszczenia piętro: hol, 3 x pokój , łazienka, garderobastrych: dodatkowe 27m2 powierzchni
Inwestycja Rodzinny Zakątek zlokalizowana jest nieopodal miasta Kórnik.Dom wykończony w bogatym pakiecie DEWELOPERSKIM !!!Na Osiedlu dostępne są również inne rodzaje nieruchomości:
DOM SZEREGOWY 74m2z działką od 120m2w cenie 415.000złbrutto
DOM SZEREGOWY 92m2z działką od 140m2w cenie 480.000zł brutto
DOM SZEREGOWY 92m2skrajny z działką ok 250m2 w cenie od 510.000zł brutto
PAKIET DEWELOPERSKI :• Budynek dwukondygnacyjny z poddaszem użytkowym, ściany nadziemia murowane z silikatów, ściany między domami podwójne, schody żelbetowe• Konstrukcja dachu - wiązary drewniane, dachówka BRASS Romańska w kolorze grafit• Okna PCV siedmiokomorowe (3-szybowe) na profilach Schüco, współczynnik przenikania ciepła szyba U=0,6 w jednostronnej okleinie orzech• Drzwi zewnętrzne PCV o podwyższonym standardzie izolacyjnym• Skrzynki i prowadnice rolet zewnętrznych bez pancerzy• Budynek ocieplony 15-centymetrową warstwą styropianu, z tynkiem silikonowym wraz z obróbkami blacharskimi oraz balustradami• Ściany działowe wewnętrzne gr. 8cm murowane z silikatów, tynk gipsowy, sufit na piętrze ocieplony 20cm wełną i zabudowany płytą G/K, wszystkie ściany i sufity wymalowane w kolorze białym• Posadzki cementowe, izolowane przeciwwilgociowo i cieplnie• Instalacja elektryczna – okablowanie wraz z osprzętem w kolorze białym z wykonaną rozdzielnią• Instalacja RTV-SAT, alarmowa - okablowanie bez osprzętu• Instalacja WOD-KAN-CO-GAZ: kompletny system wodny i grzewczy oparty na produktach firmy VIESSMANN (piec gazowy kondensacyjny, rozdzielacze, ogrzewanie podłogowe i grzejniki, itp.)
W standardzie ogrzewanie podłogowe na całym parterze i w górnej łazience, grzejniki w pokojach na piętrze   
• Nowością w V etapie inwestycji jest wyposażenie domów w nowoczesny bezprzewodowy system sterowania ogrzewaniem wyposażony w regulatory zamontowane w pokojach i łazienkach wraz z siłownikami i zaworami termostatycznymi na grzejnikach oraz z możliwością (za dopłatą) sterownia systemem przez WiFi.
Dzięki temu możemy liczyć na oszczędność oraz wygodę w użytkowaniu domu, system ten będzie pozwalał na sterowanie ogrzewaniem za pomocą smartfona.• Przyłącza: woda miejska, prąd, gaz ziemny, zbiornik bezodpływowy na ścieki o poj. V = 8m³• Taras (20m2), wejście i chodniki wykonane z kostki brukowej• Zagospodarowanie terenu: opłotowanie ogrodu siatką parkanową z obrzeżami trawnikowymi, front wyłożony kostką brukową z miejscem postojowym dla samochodu.• Dom dostosowany pod energię odnawialną - przygotowana wewnętrzna instalacja kablowa do instalacji pod system fotowoltaiczny
DOSTĘPNE MEDIA:• Instalacja światłowodowa INEA(Internet, telewizja kablowa, telefon)• woda AQUANET• gaz miejski PGNiG• energia 3-fazy ENEA• kanaliza, zbiornik bezodpływowy 8m³ z szybkozłączem w płocieCeny domów obejmują całą nieruchomość: dom + działka.Budowane domy w zabudowie szeregowej posiadają pełną własność wraz z działką (działka wydzielona geodezyjnie).Dla wszystkich nieruchomości prowadzone są odrębne księgi wieczyste.Inwestycja objęta rachunkami powierniczymi - dodatkowy środek ochrony klienta.Zachęcamy do obejrzenia naszych osiedli na filmie:https://www.youtube.com/watch?v=1jqXns_Q3nUhttps://youtu.be/ql_rPKxMUd8Płatność za dom w transzach.Pełna możliwość zmian aranżacyjnych (ścianki działowe, instalacja elektryczna i niskoprądowa, instalacja grzewcza itd.). Na życzenie Klienta możemy wykończyć dom „POD KLUCZ” wg wytycznych klienta.
Takie realizacje są ustalane indywidualnie.ZAPRASZAMYwww.kmbuilding.pl</t>
  </si>
  <si>
    <t>https://www.otodom.pl/pl/oferta/funkcjonalne-szeregowce-bezczynszowe-ogrod-kominek-ID4jAV8</t>
  </si>
  <si>
    <t>4jAV8</t>
  </si>
  <si>
    <t>Garaż w bryle/3pokoje/gotowe/Rzeszów/Biała</t>
  </si>
  <si>
    <t>Biała, Rzeszów, podkarpackie</t>
  </si>
  <si>
    <t>Mamy przyjemność zaprezentować gotowe do odbioru mieszkanie w zabudowie szeregowej o powierzchni 60,07 m2 w stanie deweloperskim z garażem w bryle budynku. Inwestycja usytuowana w Rzeszowie na osiedlu Biała boczna al. Gen. Władysława Sikorskiego.ZALETY INWESTYCJI:- niska dwu lokalowa zabudowa szeregowa,- mieszkania bezczynszowe,- indywidualne wejścia,- przestronny balkon,- ogrzewanie podłogowe,- miejsce postojowe przed budynkiemPARAMETRY NIERUCHOMOŚCI:- salon z aneksem kuchennym,- sypialnia,- sypialnia,- łazienka,- hol,- wiatrołap.DO NIERUCHOMOŚCI PRZYNALEŻY:- balkon 16,98 m2- garaż w cenie  LOKALIZACJA INWESTYCJI:Osiedle znajduje się w cichej i spokojnej okolicy w sąsiedztwie zabudowy jednorodzinnej z dobrze rozwiniętą infrastrukturą i szybkim dojazdem do centrum miasta. 4 km od Parku Papieskiego, 4 km od Jeziora Żwirownia,6 km od Politechniki Rzeszowskiej i Rynku. W POBLIŻU:żłobek, przedszkole, szkoła podstawowa, Auchan, Delikatesy Centrum, restauracja, przystanek MPK.* Mieszkanie oddawane w stanie deweloperskim, wizualizacje poglądoweZapraszamy na prezentacje nieruchomości.</t>
  </si>
  <si>
    <t>https://www.otodom.pl/pl/oferta/garaz-w-bryle-3pokoje-gotowe-rzeszow-biala-ID4lb5t</t>
  </si>
  <si>
    <t>4lb5t</t>
  </si>
  <si>
    <t>Os. Pojezierska Rozkładowe M-4 do własnej aranż.</t>
  </si>
  <si>
    <t>57 m²</t>
  </si>
  <si>
    <t>Longitude: 19.42792855344239 | Latitude: 51.79859210040234</t>
  </si>
  <si>
    <t>No</t>
  </si>
  <si>
    <t>&lt;p&gt;Osiedle Pojezierska. &lt;br/&gt;Rozkładowe M-4 na parterze wieżowca&lt;br/&gt;Mieszkanie do własnej aranżacji o funkcjonalnym układzie.&lt;/p&gt;
&lt;p&gt;BUDYNEK: wieżowiec z 1975 roku, po termomodernizacji, czysta klatka schodowa&lt;br/&gt;ROZKŁAD: pełny rozkład; dwustronne wschód - zachód&lt;br/&gt;ŚRODK./SZCZYT.: środkowe&lt;br/&gt;BALKON/LOGGIA: półloggia, wykończona terakotą&lt;/p&gt;
&lt;p&gt;- PRZEDPOKÓJ: podwójny: w pierwszej części wejście do największego pokoju, kuchni i łazienki, a w drugiej części szafa wnękowa i wejścia do dwóch mniejszych pokoi&lt;br/&gt;- I POKÓJ: 5 x 3,10 m2; pokój dzienny, loggia. Na podłodze wykładzina na płytkach pcv; ściany gładź gipsowa, malowane&lt;br/&gt;- II POKÓJ: 5 x 2,5 m2 - wykończenie podłogi i ścian tak jak w poprzednim pokoju. Szerokie okno na całą ścianę pokoju. &lt;br/&gt;- III POKÓJ: 3,9 x 2,5 m2 - wykończenie jw:&lt;/p&gt;
&lt;p&gt;- KUCHNIA: 3 x 2 m2, z oknem; elementy glazury na ścianach, na podłodze wykładzina&lt;br/&gt;- ŁAZIENKA: 2,10 x 1,5 m2 razem z wc, kabina natryskowa, miejsce na pralkę. Łazienka wykończona glazurą, terakotą &lt;br/&gt;Pierwotnie były dwa oddzielne pomieszczenia łazienka i niewielkie wc z drzwiami wejściowymi tuż przy kuchni. &lt;br/&gt;Aktualny układ poprawił znacznie funkcjonalność - pozwolił na wygospodarowanie miejsca na pralkę&lt;/p&gt;
&lt;p&gt;MEDIA: miejskie, c.o. opomiarowane, wodomierze&lt;br/&gt;OKNA/DRZWI: okna pcv; drzwi wejściowe podwójne, wewnętrzne standardowe&lt;br/&gt;MIEJSCE DLA SAMOCH.: pod blokiem&lt;br/&gt;CZAS OPUSZCZENIA: wolne&lt;br/&gt;OPŁATY: 480 zł przy deklaracji, że w mieszkaniu nie przebywa żadna osoba&lt;br/&gt;Do mieszkania przynależy piwnica.&lt;/p&gt;
&lt;p&gt;PRZEZNACZENIE: funkcjonalne mieszkanie dla 1 do 4 osób.&lt;br/&gt;W pobliżu bogate zaplecze handlowe, edukacyjne. Niedaleko do komunikacji miejskiej.&lt;br/&gt;Pośrednik Elżbieta 501 579 748; 42 633 75 51&lt;br/&gt;Lic. F PPRN nr 484&lt;/p&gt;</t>
  </si>
  <si>
    <t>full ownership</t>
  </si>
  <si>
    <t>https://www.otodom.pl/pl/oferta/os-pojezierska-rozkladowe-m-4-do-wlasnej-aranz-ID4kRqB</t>
  </si>
  <si>
    <t>Apartament na Tarninowie - blisko centrum, parking</t>
  </si>
  <si>
    <t>ul. Waleriana Łukasińskiego, Legnica, dolnośląskie</t>
  </si>
  <si>
    <t>Na sprzedaż dwupoziomowe 3-pokojowe mieszkanie własnościowe, o powierzchni 91,5 m2 gotowe do zamieszkania przy ul. Łukasińskiego w Legnicy.Nieruchomość ulokowana jest na 3 i 4 kondygnacji budynku. Stan bardzo dobry, częściowo umeblowane. Kuchnia wykonana na zamówienie u stolarza w pełni wyposażona, funkcjonalna, z dużą wyspą oraz ilością szafek i szuflad. W kuchni znajduje się m.in. płyta indukcyjna okap, lodówka, zmywarka i piekarnik w zabudowie. Przedpokój przestronny i ustawny.Na II poziomie dwa pokoje, jeden pełniący funkcję sypialni wraz z wykonaną przez stolarza garderobą. Przestronna łazienka.Mieszkanie jest bardzo dobrze oświetlone i ustawne. Centralne ogrzewanie i ciepła woda -gazowe zbiorcze, indywidualna regulacja w lokalu (logotermy - duża oszczędność kosztów ogrzewania).Mieszkanie położone w spokojnej i cichej okolicy, z dobrą komunikacją, blisko centrum i parku. W okolicy biedronka, żabki, apteki. Przy budynku ogrodzony parking do wyłącznego użytku mieszkańców.Opis mieszkania:Mieszkanie składa się z:I poziom1) kuchni połączonej z jadalnią i salonem (łącznie ok. 41 m2);2) toaleta (2,7 m2)3) przedpokój (4,4 m2)II poziom1) przedpokój (7,3 m2)2) pokój z garderobą (łącznie ok. 16,70 m2)3) pokój (14,3 m2)4) łazienka (5,1 m2)Pełna własność, księga wieczysta i uregulowane grunty. Prezentowane ogłoszenie nie stanowi oferty w rozumieniu Kodeksu Cywilnego.Zainteresowany? Zadzwoń teraz i umów się na spotkanie online</t>
  </si>
  <si>
    <t>https://www.otodom.pl/pl/oferta/apartament-na-tarninowie-blisko-centrum-parking-ID4nw07</t>
  </si>
  <si>
    <t>4nw07</t>
  </si>
  <si>
    <t>2 pokoje na zamkniętym osiedlu! Tarchomin!</t>
  </si>
  <si>
    <t>Oferta na wyłączność!
Na sprzedaż mieszkanie 2 pokojowe o powierzchni ok 52 mkw. Lokal znajduje się na 4 piętrze w 4 piętrowym budynku z windą z 2008 roku, przy ul. Odkrytej 1.
Osiedle zamknięte, strzeżone. Ciche, spokojne. 
Na lokal składa się:
- pokój dzienny, z wyjściem na balkon,
- kuchnia z oknem, otwarta na pokój dzienny, 
- sypialnia,
- łazienka razem z WC, wanna, 
- przedpokój.
Mieszkanie w bardzo dobrym stanie, do delikatnego odświeżenia. Ciche słoneczne, ciepłe, środkowe. 
Ona wychodzą na wewnętrzne patio. 
Do mieszkania przynależy miejsce postojowe naziemne, oraz piwnica - w cenie lokalu. 
Pełna własność, można posiłkować się kredytem. 
Czynsz ok 680 zł. 
Bardzo dobrze rozwinięta infrastruktura: liczne sklepy, punkty usługowe, gastronomiczne, place zabaw, boiska, tereny rekreacyjny, szkoły, przedszkola, żłobki, Galeria Północ.
Bardzo dobra komunikacja: bliskość przystanków autobusowych oraz tramwajowych, 10-15 min do metra Młociny!
Gorąco polecam i zapraszam na prezentację!</t>
  </si>
  <si>
    <t>https://www.otodom.pl/pl/oferta/2-pokoje-na-zamknietym-osiedlu-tarchomin-ID4ozaI</t>
  </si>
  <si>
    <t>4ozaI</t>
  </si>
  <si>
    <t>Przestronne 3 pokoje w Chorzowie Batorym - 129 m.</t>
  </si>
  <si>
    <t>pl. Stefana Batorego, Chorzów Batory, Chorzów, śląskie</t>
  </si>
  <si>
    <t>Przestronne 3 pokoje w Chorzowie Batorym - 129 m. Niski czynsz, podwyższony standard.Główne atuty nieruchomości: • rozkład pomieszczeń• w pełni wykończony lokal • zabudowa kuchni i sprzęt w cenieNieruchomość złożona z: • przedpokój 26,4 m.kw• salon 34,9 m.kw• pokój biurowy 11,9 m.kw• sypialnia 22,3 m.kw• garderoba 10,3 m.kw• łazienka 8 m.kw• kuchnia otwarta z oknem 14,9 m.kw W skład nieruchomości wchodzi też:• piwnicaTyp ogrzewania: ogrzewanie na gaz miejski. Typ własności: własność. Ogromne mieszkanie w Chorzowie Batorym o powierzchni 129 m.kw. składa się z 3 pokoi, które zapewniają dużo przestrzeni dla mieszkańców. Mieszkanie jest w bardzo dobrym stanie technicznym, wyposażone w meble i sprzęty AGD. Z uwagi na swoją powierzchnię mieszkanie jest idealne dla rodzin z dziećmi lub dla osób, które cenią sobie przestrzeń. Sufit wysoki na 2,9 m dodatkowo potęguje przestronność mieszkania. Tylko 1 km od Drogowej Trasy Średnicowej i  autostrady A4 ! Gustowne wykończenie jest jednym z atutów. Świetna i o wiele tańsza alternatywa dla mieszkań w Katowicach. Kamienica w kształcie litery C tworzy ciche podwórze i miejsce do parkowania samochodu. W sąsiedztwie cała infrastruktura handlowa oraz duża i uznana przychodnia zdrowia. Świetna lokata kapitału i uzyskiwania dochodu z najmu.To mieszkanie ma duszę, ma klimat. Niezwykle tanio ogrzewane jak na swój metraż, bardzo niski czynsz. Podwórko pozwala bezpiecznie parkować samochód. Bardzo ładnie zaaranżowane, w pobliżu uznany Dom Kultuty - liczne koncerty gwiazd, a dla dzieci liczne kółka zainteresowań. Bardzo spokojni sąsiedzi.Oferta dostępna tylko w Metrohouse. ZADZWOŃ: 733 330 913.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</si>
  <si>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https://www.otodom.pl/pl/oferta/przestronne-3-pokoje-w-chorzowie-batorym-129-m-ID4nOQo</t>
  </si>
  <si>
    <t>4nOQo</t>
  </si>
  <si>
    <t>Jasna Rola ★ 3-pokoje ★ 77,71 m² WYSOKI Standard</t>
  </si>
  <si>
    <t>Przestronne i funkcjonalne trzypokojowe mieszkanie o powierzchni 77,71 m2 w Poznaniu, ul. Jasna Rola. Lokal znajduje się na II piętrze z dostępnością do windy. Budynek przystosowany dla osób niepełnosprawnych. Mieszkanie wyposażone w klimatyzator, gotowe do zamieszkania. 
W pobliżu liczne punkty usługowe, place zabaw, tereny rekreacyjne i spacerowe.
Dodatkowo:
miejsce w hali garażowej - 30.000 zł
lokal mieszkalny + miejsce w hali garażowej - 899.000 zł
Bezpłatnie pomagamy w uzyskaniu najkorzystniejszego finansowania na zakup nieruchomości. Współpracujemy z notariuszem, doradcą finansowym oraz prawnikiem.
Przystanek Nieruchomości – Twój pośrednik
os. Bolesława Śmiałego 11, Poznań
tel. 500 114 872
Powyższa oferta nie stanowi oferty handlowej w rozumieniu art. 66 § 1 kodeksu cywilnego oraz innych właściwych przepisów.</t>
  </si>
  <si>
    <t>https://www.otodom.pl/pl/oferta/jasna-rola-3-pokoje-77-71-m-wysoki-standard-ID4nKL9</t>
  </si>
  <si>
    <t>4nKL9</t>
  </si>
  <si>
    <t>3 pokoje na Staszica!</t>
  </si>
  <si>
    <t>Umowa przedwstępna!!!
Na sprzedaż mieszkanie usytuowane na 6 piętrze w bloku z windą na osiedlu Staszica. Mieszkanie składa się z 3 samodzielnych pokojów, kuchni, łazienki oraz WC. Ściany szpachlowane, bez tapet, okna plastikowe. Ogrzewanie i woda z sieci miejskiej Do mieszkania przynależy balkon oraz piwnica. Mieszkanie wymaga gruntownego odświeżenia .Bardzo dobra okolica, nieopodal punkty handlowo-usługowe, szkoły, przedszkola, tereny zielone. Szybki termin przekazania.</t>
  </si>
  <si>
    <t>https://www.otodom.pl/pl/oferta/3-pokoje-na-staszica-ID4oEMF</t>
  </si>
  <si>
    <t>4oEMF</t>
  </si>
  <si>
    <t>Piękne, umeblowane mieszkanie w Gubinie</t>
  </si>
  <si>
    <t>Sprzedam mieszkanie własnościowe po generalnym remoncie, znajdujące się w wyremontowanej kamienicy z 1910r., o metrażu 46,70 m2. W jego skład wchodzą:-otwarta kuchnia połączona z salonem i jadalnią,-sypialnia,-łazienka,-garderoba,-loggia,-schowek na półpiętrze.Dodatkowo do mieszkania przynależą piwnica (o powierzchni 6 m2) i strych, a przy budynku znajduje się parking dla mieszkańców. Niebywałą zaletą nieruchomości jest również monitoring, zapewniający bezpieczeństwo.Wyposażenie mieszkania obejmuje nowe sprzęty AGD w tym: lodówkę, zmywarkę, piekarnik, płytę indukcyjną, pralko-suszarkę oraz telewizor.Nieruchomość znajduje się w spokojnej, cichej okolicy blisko centrum miasta. Jest ono idealne dla rodzin z dziećmi, gdyż nie daleko jest szkoła podstawowa, przedszkole i plac zabaw. Ponadto nieopodal są też liczne sklepy spożywcze i przemysłowe. Lokalizacja jest idealna także pod względem komunikacyjnym (w bliskiej odległości jest przystanek autobusowy oraz stacja kolejowa).Serdecznie zapraszam na prezentację, zainteresowanych proszę o kontakt.Nota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</si>
  <si>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https://www.otodom.pl/pl/oferta/piekne-umeblowane-mieszkanie-w-gubinie-ID4oHYp</t>
  </si>
  <si>
    <t>4oHYp</t>
  </si>
  <si>
    <t>Wyjątkowy apartament z ogrodem.</t>
  </si>
  <si>
    <t>109 m²</t>
  </si>
  <si>
    <t>Longitude: 21.0149634 | Latitude: 52.279093</t>
  </si>
  <si>
    <t>&lt;p&gt;&lt;p&gt;Jesteś indywidualistą, stronisz od blokowisk cenisz sobie możliwość wypicia kawy w zielonym ogrodzie... i szybki dojazd do centrum Warszawy, zapraszam Cię do zapoznania się z poniższą ofertą.&lt;/p&gt;&lt;p&gt;Obiektem sprzedaży jest &lt;strong&gt;wyjątkowo &lt;/strong&gt;&lt;strong&gt;klimatyczny &lt;/strong&gt;&lt;strong&gt;apartament  o pow 109 mkw &lt;/strong&gt;znajdujący się na II piętrze cztero-lokalowego budynku z lat 40-tych, kt&amp;oacute;ry w roku 2000 przeszedł &lt;strong&gt;gruntowny remont &lt;/strong&gt;pod okiem konserwatora zabytk&amp;oacute;w. &lt;strong&gt;Stan nieruchomości jest idealny&lt;/strong&gt;, co pozwala na komfortowe życie jej mieszkańc&amp;oacute;w. Cztery zaprzyjaźnione rodziny, mają do dyspozycji&lt;strong&gt; zadbany ogr&amp;oacute;d wyposażony w strefę do odpoczynku &lt;/strong&gt;oraz &lt;strong&gt;miejsca postojowe na ogrodzonym terenie&lt;/strong&gt; z wejściem kontrolowanym domofonem.&lt;/p&gt;&lt;p&gt;Apartament składa się z:&lt;/p&gt;&lt;ul&gt;&lt;li&gt;przestronnego dzięki kubaturze (330cm/h), słonecznego salonu z dużymi oknami, balkonem francuskim oraz kominkiem&lt;/li&gt;&lt;li&gt;dw&amp;oacute;ch zacisznych sypialni z oknami wychodzącymi na podw&amp;oacute;rze (możliwość wydzielenia trzeciej sypialni)&lt;/li&gt;&lt;li&gt;garderoby&lt;/li&gt;&lt;li&gt;łazienki ze światłem dziennym wyposażonej w wannę, bidet, wc i dwie umywalki&lt;/li&gt;&lt;li&gt;widnej kuchni z wyspą, kt&amp;oacute;ra jest wyposażona w niezbędny sprzęt gospodarstwa domowego&lt;/li&gt;&lt;li&gt;pomieszczenia gospodarczego z piecem oraz pralnią&lt;/li&gt;&lt;li&gt;hallu&lt;/li&gt;&lt;/ul&gt;&lt;p&gt;&lt;strong&gt;Dodatkowo do mieszkania przynależy 16-metrowa suterena z oknem i toaletą, znajdująca się w przyziemiu budynku.&lt;/strong&gt;&lt;/p&gt;&lt;p&gt;Jest wykończona w standardzie mieszkania, z powodzeniem może być wykorzystana jako&lt;strong&gt; siłownia, pok&amp;oacute;j zabaw dla dzieci lub idealne miejsce do pracy zdalnej&lt;/strong&gt; (nie posiada ogrzewania).&lt;/p&gt;&lt;p&gt;Na szczeg&amp;oacute;lną uwagę zasługuje standard wykończenia apartamentu:&lt;/p&gt;&lt;ul&gt;&lt;li&gt;podłogi - deska barlinecka, terrakota&lt;/li&gt;&lt;li&gt;parapety - marmur&lt;/li&gt;&lt;li&gt;meble - naturalne drewno&lt;/li&gt;&lt;li&gt;drzwi antywłamaniowe&lt;/li&gt;&lt;li&gt;rolety zewnętrze w każdym oknie&lt;/li&gt;&lt;li&gt;alarm&lt;br/&gt;&lt;/li&gt;&lt;/ul&gt;&lt;p&gt;Serdecznie zapraszam na prezentację mieszkania.&lt;/p&gt;&lt;br/&gt;&lt;strong&gt;Budynek:&lt;/strong&gt;&lt;br/&gt;&lt;p&gt;Budynek z 1937r, wybudowany z cegły.&lt;/p&gt;&lt;p&gt;W 2000r przeszedł gruntowny remont.&lt;/p&gt;&lt;p&gt;Dla zainteresowanych wgląd do dokument&amp;oacute;w wykonanych prac.&lt;/p&gt;&lt;strong&gt;Podstawowe&lt;/strong&gt;&lt;br/&gt;Powierzchnia : &lt;strong&gt; 109,00 m2&lt;/strong&gt;&lt;br/&gt;Cena : &lt;strong&gt;1 100 000 PLN&lt;/strong&gt;&lt;br/&gt;Pokoi : &lt;strong&gt;4&lt;/strong&gt;&lt;br/&gt;Piętro : &lt;strong&gt;2&lt;/strong&gt;&lt;br/&gt;&lt;br/&gt;&lt;strong&gt;Podstawowe&lt;/strong&gt;&lt;br/&gt;Cena m2 : &lt;strong&gt; 10 091,74 PLN&lt;/strong&gt;&lt;br/&gt;Stan lokalu : &lt;strong&gt;Idealny&lt;/strong&gt;&lt;br/&gt;&lt;br/&gt;&lt;strong&gt;Pomieszczenia&lt;/strong&gt;&lt;br/&gt;Typ mieszkania : &lt;strong&gt;Apartament&lt;/strong&gt;&lt;br/&gt;Powierzchnia salonu : &lt;strong&gt;45 m2&lt;/strong&gt;&lt;br/&gt;Typ kuchni : &lt;strong&gt;Oddzielna&lt;/strong&gt;&lt;br/&gt;Liczba łazienek : &lt;strong&gt;1&lt;/strong&gt;&lt;br/&gt;Typ okien : &lt;strong&gt;PCV, &lt;/strong&gt;&lt;br/&gt;&lt;br/&gt;&lt;strong&gt;Powierzchnia dodatkowa&lt;/strong&gt;&lt;br/&gt;Liczba balkonów : &lt;strong&gt;1&lt;/strong&gt;&lt;br/&gt;Typ balkonów : &lt;strong&gt;Balkon francuski, &lt;/strong&gt;&lt;br/&gt;Piwnica : &lt;strong&gt;Tak&lt;/strong&gt;&lt;br/&gt;Komórka : &lt;strong&gt;Nie&lt;/strong&gt;&lt;br/&gt;Ogród : &lt;strong&gt;Tak&lt;/strong&gt;&lt;br/&gt;&lt;br/&gt;&lt;strong&gt;Media i wyposażenie&lt;/strong&gt;&lt;br/&gt;Ogrzewanie : &lt;strong&gt;CO miejskie, &lt;/strong&gt;&lt;br/&gt;Ciepła woda : &lt;strong&gt;Wodociąg miejski, &lt;/strong&gt;&lt;br/&gt;Gaz : &lt;strong&gt;Tak&lt;/strong&gt;&lt;br/&gt;&lt;br/&gt;&lt;strong&gt;Miejsca parkingowe&lt;/strong&gt;&lt;br/&gt;Parking naziemny : &lt;strong&gt;1&lt;/strong&gt;&lt;br/&gt;&lt;br/&gt;&lt;strong&gt;Budynek&lt;/strong&gt;&lt;br/&gt;Rok : &lt;strong&gt;1937&lt;/strong&gt;&lt;br/&gt;Stan budynku : &lt;strong&gt;Idealny&lt;/strong&gt;&lt;br/&gt;Materiał : &lt;strong&gt;Cegła&lt;/strong&gt;&lt;br/&gt;Pięter : &lt;strong&gt;2&lt;/strong&gt;&lt;br/&gt;Winda : &lt;strong&gt;Nie&lt;/strong&gt;&lt;br/&gt;&lt;br/&gt;&lt;strong&gt;Opis&lt;/strong&gt;&lt;br/&gt;Wyposażenie kuchni : &lt;strong&gt;Kuchenka elektryczna, Lodówka, Meble, Meble w zabudowie kuchennej, Okap, Piekarnik, Pralka, Zamrażarka, Zlewozmywak, Zmywarka, &lt;/strong&gt;&lt;br/&gt;Wyposażenie łazienek : &lt;strong&gt;Bidet, Grzejnik drabinkowy, Umywalka, Wanna, WC, &lt;/strong&gt;&lt;br/&gt;&lt;br/&gt;Nasze usługi świadczymy w oparciu o umowę pośrednictwa, która gwarantuje Państwu &lt;strong&gt;bezpieczeństwo transakcji oraz pełną opiekę naszego doradcy przez cały okres trwania współpracy&lt;/strong&gt;. Za wykonaną usługę pobieramy wynagrodzenie zgodnie z warunkami uzgodnionymi w zawartej umowie (za wyjątkiem umów zawartych w programie 0%).&lt;br/&gt;Prezentowane oferty nie stanowią oferty w rozumieniu Kodeksu Cywilnego. Staramy się, aby informacje dotyczące oferowanych obiektów były możliwie dokładne, kompletne i aktualne. Ze względu na okoliczności, iż informacje te pochodzą od osób trzecich i część z nich nie zawsze daje się zweryfikować, MAXON Nieruchomości Sp. z o.o. nie ponosi odpowiedzialności za ich dokładność, kompletność i aktualność&lt;/p&gt;</t>
  </si>
  <si>
    <t>https://www.otodom.pl/pl/oferta/wyjatkowy-apartament-z-ogrodem-ID4daoI</t>
  </si>
  <si>
    <t>2 pokoje, mieszkanie na sprzedaż</t>
  </si>
  <si>
    <t>37,60 m²</t>
  </si>
  <si>
    <t>Longitude: 21.105892486352555 | Latitude: 52.229908233455845</t>
  </si>
  <si>
    <t>&lt;p&gt;Agencjom dziękuję.&lt;/p&gt;
&lt;p&gt;Sprzedam bezpośrednio piękne mieszkanie przy ul. Nowaka-Jeziorańskiego w pobliżu centrum handlowego Promenada. &lt;/p&gt;
&lt;p&gt;Mieszkanie składa się z salonu z aneksem kuchennym, przedpokoju, sypialni oraz łazienki.&lt;/p&gt;
&lt;p&gt;Z salonu oraz z sypialni jest wyjście na duży balkon o pow. 8,7 m2.&lt;/p&gt;
&lt;p&gt;&lt;/p&gt;
&lt;p&gt;Mieszkanie posiada dużo miejsc do przechowywania. W przedpokoju oraz w sypialni znajdują się duże szafy. &lt;/p&gt;
&lt;p&gt;&lt;/p&gt;
&lt;p&gt;Do mieszkania przynależy miejsce parkingowe w garażu podziemnym, płatne dodatkowo 35 000 zł.&lt;/p&gt;
&lt;p&gt;&lt;/p&gt;
&lt;p&gt;Serdecznie zapraszam do kontaktu. &lt;/p&gt;
&lt;p&gt;&lt;/p&gt;</t>
  </si>
  <si>
    <t>https://www.otodom.pl/pl/oferta/2-pokoje-mieszkanie-na-sprzedaz-ID4mfYW</t>
  </si>
  <si>
    <t>Nowe mieszkanie / Skórzewo / 3 pok. /ogródek</t>
  </si>
  <si>
    <t>50,95 m²</t>
  </si>
  <si>
    <t>Longitude: 16.805367 | Latitude: 52.39213</t>
  </si>
  <si>
    <t>Yes</t>
  </si>
  <si>
    <t>&lt;p&gt;&lt;strong&gt;Posiadamy w ofercie pulę mieszkań bez wkładu własnego, ilość mieszkań ograniczona. &lt;/strong&gt;&lt;/p&gt;
&lt;p&gt;&lt;strong&gt;Skontaktuj się z nami aby poznać szczegóły.&lt;/strong&gt;&lt;/p&gt;
&lt;p&gt;&lt;strong&gt;&lt;br/&gt;&lt;/strong&gt;&lt;/p&gt;
&lt;p&gt;&lt;strong&gt;&lt;u&gt;Gwarancja stałej ceny. &lt;/u&gt;&lt;/strong&gt;Rezerwując swoje mieszkanie u nas masz pewność że cena się nie zmieni. W umowie rezerwacyjnej zawieramy taką gwarancję.&lt;/p&gt;
&lt;p&gt;W &lt;strong&gt;Skórzewie&lt;/strong&gt; koło Poznania powstanie malownicze osiedle. &lt;strong&gt;Atrakcyjna lokalizacja&lt;/strong&gt;, sąsiedztwo terenów leśnych oraz rozbudowana infrastruktura komunikacyjna miasta sprawią, że Cisowa stanie się doskonałym miejscem do zamieszkania, ale także idealną przestrzenią dla inwestorów.&lt;/p&gt;
&lt;p&gt;&lt;/p&gt;
&lt;p&gt;Przyszli lokatorzy do wyboru będą mieli mieszkania &lt;strong&gt;2-, 3- i 4-pokojowe.&lt;/strong&gt; Od wygodnych i ustawnych kawalerek o powierzchni&lt;strong&gt; 36 mkw.&lt;/strong&gt; po komfortowe i przestronne apartamenty o metrażu&lt;strong&gt; 66 mkw.&lt;/strong&gt; &lt;/p&gt;
&lt;p&gt;Przestrzeń mieszkaniowa zostanie powiększona o ogródki na parterze, a lokale na wyższych kondygnacjach posiadać będą balkony. Poszczególne piętra połączy winda, którą będzie można zjechać do parkingu podziemnego. &lt;/p&gt;
&lt;p&gt;W Apartamentach Cisowa przewidziano aż &lt;strong&gt;561 miejsc parkingowych - 384 w halach garażowych oraz 177 miejsc na zewnątrz. &lt;/strong&gt;&lt;/p&gt;
&lt;p&gt;&lt;/p&gt;
&lt;p&gt;Inwestycja zrealizowana zostanie metodą tradycyjną. Elewacja budynków wykończona zostanie w stonowanych kolorach, w zdecydowanej przewadze bieli, którą przełamią antracytowe wstawki. Dodatki naturalnego drewna podkreśli nowoczesność budynków.&lt;/p&gt;
&lt;p&gt;&lt;/p&gt;
&lt;p&gt;&lt;strong&gt;&lt;u&gt;Gwarancja stałej ceny. &lt;/u&gt;&lt;/strong&gt;Rezerwując swoje mieszkanie u nas masz pewność że cena się nie zmieni. W umowie rezerwacyjnej zawieramy taką gwarancję.&lt;/p&gt;
&lt;p&gt;&lt;/p&gt;
&lt;p&gt;Zapraszamy do kontaktu!&lt;/p&gt;
&lt;p&gt;&lt;strong&gt;&lt;br/&gt;&lt;/strong&gt;&lt;/p&gt;</t>
  </si>
  <si>
    <t>https://www.otodom.pl/pl/oferta/nowe-mieszkanie-skorzewo-3-pok-ogrodek-ID4heTd</t>
  </si>
  <si>
    <t>Wyremontowane w idealnym stanie technicznym 62m2</t>
  </si>
  <si>
    <t>62 m²</t>
  </si>
  <si>
    <t>Longitude: 21.271379766237 | Latitude: 52.35811845</t>
  </si>
  <si>
    <t>Szanowni Państwo,&lt;br&gt;z przyjemnością pragnę przedstawić atrakcyjne, gotowe do wprowadzenia mieszkanie o powierzchni 62m2 w Wołominie.&lt;br&gt;Nieruchomość mieści się na parterze bloku wybudowanego w latach 60-tych.&lt;br&gt;Teren osiedla, na którym znajduje się mieszkanie otaczają drzewa. Nieruchomość nie sąsiaduje bezpośrednio z żadną z głównych ulic co pozwala cieszyć się ciszą.&lt;br&gt;Mieszkanie przeszło generalny remont w 2018 roku.&lt;br&gt;&lt;br&gt;&lt;br&gt;Mieszkanie o powierzchni 62 m2&lt;br&gt;- 3 pokoje&lt;br&gt;- kuchnia&lt;br&gt;- łazienka&lt;br&gt;- przedpokój&lt;br&gt;- dwie piwnice o pow. ok. 7m2 każda&lt;br&gt;&lt;br&gt;Mieszkanie jest niezwykle rozkładowe i sprawia wrażenie większego niż wskazywałby na to jego metraż.&lt;br&gt;Prócz salonu, kuchni wypełnionej miejscem do przechowywania i łazienki mamy osobną sypialnię oraz pokój młodzieżowy.&lt;br&gt;Lokal przeszedł generalny remont w roku 2018, jest w bardzo dobrym stanie technicznym i nie wymaga wkładu finansowego.&lt;br&gt;W zakres prac remontowych wchodziło:&lt;br&gt;- wymiana hydrauliki oraz instalacja rozdzielacza do grzejników.&lt;br&gt;- wymiana elektryki, aktualnie w mieszkaniu jest ponad 50 punktów elektrycznych.&lt;br&gt;- nowe wylewki w całym mieszkaniu, które zostały zaizolowane 5cm warstwą styropianu.&lt;br&gt;- nowe tynki&lt;br&gt;- wymiana grzejników&lt;br&gt;- powiększenie łazienki&lt;br&gt;&lt;br&gt;W pobliżu znajdziemy wszystkie najważniejsze punkty usługowe.&lt;br&gt;Od wszelkiego rodzaju sklepów i restauracji, galerii handlowej, przychodni i apteki, punktów branży beauty, basenu, siłowni, kina, kończąc na żłobkach i szkołach.&lt;br&gt;&lt;br&gt;Mieszkanie nie posiada KW, aczkolwiek brak przeciwwskazań dla jej założenia.&lt;br&gt;&lt;br&gt;Lokal ma także duży potencjał do najmu. Jego powierzchnia, okolica oraz możliwości komunikacyjne ze stolicą podnoszą jego atrakcyjność.&lt;br&gt;&lt;br&gt;Warto wiedzieć:&lt;br&gt;- drzwi wejściowe stalowe antywłamaniowe&lt;br&gt;- okna drewniane nowego typu, wymienione w 2015&lt;br&gt;- kraty w oknach&lt;br&gt;- blok posiada nowe uziemienie oraz rynny&lt;br&gt;- malowanie klatki w roku 2021&lt;br&gt;&lt;br&gt;Media:&lt;br&gt;- gaz&lt;br&gt;- woda&lt;br&gt;- kanalizacja&lt;br&gt;- Internet&lt;br&gt;&lt;br&gt; &lt;br&gt;Serdecznie zapraszam na prezentację!&lt;br&gt;&lt;br&gt;Wojciech Królik&lt;br&gt;Wyłączny agent tej nieruchomości&lt;br&gt;507 770 241&lt;br/&gt;
&lt;br/&gt;
Ogłoszenie nie stanowi oferty w rozumieniu przepisów kodeksu cywilnego.&lt;br/&gt;
&lt;br/&gt;
Oferta wysłana z programu dla biur nieruchomości ASARI CRM ()&lt;br/&gt;
&lt;br/&gt;</t>
  </si>
  <si>
    <t>https://www.otodom.pl/pl/oferta/wyremontowane-w-idealnym-stanie-technicznym-62m2-ID4lVyH</t>
  </si>
  <si>
    <t>Green Park Resort II | mieszkanie A10</t>
  </si>
  <si>
    <t>40,31 m²</t>
  </si>
  <si>
    <t>Longitude: 15.4986315 | Latitude: 50.836655</t>
  </si>
  <si>
    <t>Lack of information</t>
  </si>
  <si>
    <t>&lt;p&gt;&lt;strong&gt;&lt;strong&gt;                                              &lt;/strong&gt;Lokale pensjonatowe - cena brutto (kwota) z VAT &lt;/strong&gt;&lt;/p&gt;&lt;p&gt;&lt;strong&gt;&lt;em&gt;&lt;strong&gt;                      &lt;/strong&gt;Inwestycja w trakcie budowy.&lt;strong&gt; Planowany termin zakończenia 2024/2025 rok.&lt;/strong&gt;&lt;/em&gt;&lt;br/&gt;&lt;/strong&gt;&lt;/p&gt;&lt;p&gt;Przedmiotem ogłoszenia jest 2-pokojowe mieszkanie numer A10 położone na 1. piętrze w inwestycji &lt;strong&gt;Green Park Resort II&lt;/strong&gt;. To wyjątkowy lokal o powierzchni 40,31 m kw. Cechą inwestycji jest wysoki standard i świetna lokalizacja.&lt;/p&gt;&lt;p&gt;&lt;/p&gt;&lt;p&gt;Miejsce postojowe zewnętrzne - 18450 zł brutto.&lt;/p&gt;&lt;p&gt;&lt;/p&gt;&lt;p&gt;&lt;strong&gt;O inwestycji&lt;/strong&gt;&lt;/p&gt;&lt;p&gt;&lt;strong&gt;&lt;strong&gt;                      &lt;/strong&gt;Inwestycja w trakcie budowy. Planowany termin zakończenia 2024/2025 rok. &lt;br/&gt;&lt;/strong&gt;&lt;/p&gt;&lt;p&gt;GREEN PARK RESORT II to nowa inwestycja na mapie Szklarskiej Poręby. Zieleń, przyroda, szelest strumyka, południowe promienie słońca wpadające do okna, trasy narciarstwa biegowego na wyciągnięcie ręki, single tracki rowerowe, bliskość pieszych szlaków to między innymi atuty naszej lokalizacji.&lt;/p&gt;&lt;p&gt;Kameralny kompleks ulokowany w Białej Dolinie przy ul. Wolności 14 na pięknie położonej, blisko 1,5 ha działce składać się będzie z 5 budynków, które łącznie posiadają 73 apartamenty oraz z budynku o funkcji gastronomicznej wraz ze strefą SPA.&lt;/p&gt;&lt;p&gt;&lt;/p&gt;&lt;p&gt;&lt;strong&gt;O lokalizacji&lt;/strong&gt;&lt;/p&gt;&lt;p&gt;&lt;strong&gt;&lt;/strong&gt;Szklarska Poręba to jeden z najbardziej rozpoznawalnych ośrodków wypoczynku górskiego w Polsce. W ostatnich latach dynamiczny wzrost zainteresowania turystyką krajową przyczynił się do rozwoju miasta jak i infrastruktury wypoczynkowej.&lt;/p&gt;&lt;ul&gt;&lt;li&gt;Szrenica Ski ARENA ośrodek narciarski (około 3,7 km)&lt;/li&gt;&lt;/ul&gt;&lt;ul&gt;&lt;li&gt;Centrum Szklarska Poręba (około 2,6 km)&lt;/li&gt;&lt;/ul&gt;&lt;ul&gt;&lt;li&gt;Blisko trasy rowerowe&lt;/li&gt;&lt;/ul&gt;&lt;ul&gt;&lt;li&gt;Blisko trasy narty biegowe&lt;/li&gt;&lt;/ul&gt;&lt;p&gt;&lt;strong&gt;Co nas wyróżnia:&lt;/strong&gt;&lt;/p&gt;&lt;ul&gt;&lt;li&gt;Spokojna okolica&lt;/li&gt;&lt;/ul&gt;&lt;ul&gt;&lt;li&gt;Świetna lokalizacja&lt;/li&gt;&lt;/ul&gt;&lt;ul&gt;&lt;li&gt;Widok na pasmo gór&lt;/li&gt;&lt;/ul&gt;&lt;ul&gt;&lt;li&gt;Stacja ładowania pojazdów elektrycznych&lt;/li&gt;&lt;/ul&gt;&lt;ul&gt;&lt;li&gt;Strefa gastronomiczna&lt;/li&gt;&lt;/ul&gt;&lt;ul&gt;&lt;li&gt;Strefa SPA&lt;/li&gt;&lt;/ul&gt;&lt;ul&gt;&lt;li&gt;Balia zewnętrzna&lt;/li&gt;&lt;/ul&gt;&lt;ul&gt;&lt;li&gt;Jacuzzi wewnętrzne&lt;/li&gt;&lt;/ul&gt;&lt;ul&gt;&lt;li&gt;Sauna fińska&lt;/li&gt;&lt;/ul&gt;&lt;p&gt;&lt;strong&gt;O nas&lt;/strong&gt;&lt;/p&gt;&lt;p&gt;Green Park Resort Group sp. z o. o.&lt;strong&gt;&lt;br/&gt;&lt;/strong&gt;&lt;/p&gt;&lt;p&gt;Spółka realizuje projekty deweloperskie o charakterze apartamentów rekreacyjnych zlokalizowanych w Karkonoszach.&lt;/p&gt;&lt;p&gt;W 2022 roku zakończono z sukcesem i oddano do użytku budowę kompleksu Green Park Resort przy ul. Dolnej 7 w Szklarskiej Porębie.&lt;/p&gt;&lt;p&gt;&lt;strong&gt;&lt;em&gt;Na państwa wszelkie pytania odpowiemy telefonicznie, bądź drogą mailową!&lt;/em&gt;&lt;/strong&gt;&lt;/p&gt;&lt;p&gt;W ofercie posiadamy również inne lokale z tej inwestycji.&lt;/p&gt;&lt;p&gt;&lt;strong&gt;Poczuj smak przygody, złap energię tego niesamowitego miejsca, zabezpiecz swój kapitał.&lt;/strong&gt;&lt;/p&gt;&lt;p&gt;Powyższa oferta ma charakter informacyjny i nie stanowi oferty handlowej w rozumieniu art. 66 §1 Kodeksu Cywilnego&lt;/p&gt;</t>
  </si>
  <si>
    <t>https://www.otodom.pl/pl/oferta/green-park-resort-ii-mieszkanie-a10-ID4luo5</t>
  </si>
  <si>
    <t>Tylko do końca lipca</t>
  </si>
  <si>
    <t>88 m²</t>
  </si>
  <si>
    <t>Longitude: 18.67644 | Latitude: 50.29506</t>
  </si>
  <si>
    <t>&lt;p&gt;&lt;strong&gt;BEZ PROWIZJI OD KUPUJĄCEGO&lt;/strong&gt;&lt;br&gt;&lt;br&gt;Zapraszam do obejrzenia przestronnego mieszkania w kamienicy.&lt;br&gt;&lt;br&gt;Zadzwoń w celu uzyskania pozostałych informacji i umówienia się na prezentację.&lt;br&gt;&lt;br&gt;Z uwagi na dużą ilość spotkań, kontakt ze mną może być utrudniony. Dlatego jeśli nie odbiorę lub chcesz żebym oddzwonił napisz sms "CENTRUM" i opcjonalnie preferowaną godzinę kontaktu. Na pewno oddzwonię.&lt;/p&gt;</t>
  </si>
  <si>
    <t>https://www.otodom.pl/pl/oferta/tylko-do-konca-lipca-ID4maOx</t>
  </si>
  <si>
    <t>Suchy Las - Mieszkanie na sprzedaż</t>
  </si>
  <si>
    <t>65 m²</t>
  </si>
  <si>
    <t>Longitude: 16.8590191 | Latitude: 52.4705815</t>
  </si>
  <si>
    <t>&lt;p&gt;Na sprzedaż mieszkanie 4 pokojowe o powierzchni 65,19 m2  w Suchym Lesie.  Usytuowane na parterze w wolnostojącej willi a Oś. Platanowym. Do mieszkania przynależy własny, prywatny ogród oraz komórka lokatorska w piwnicy.&lt;br/&gt; &lt;br/&gt;Nieruchomość obejmuje:&lt;br/&gt;* salon z aneksem kuchennym 18,67 m2,&lt;br/&gt;* pokój 10,24 m2,&lt;br/&gt;* pokój 10,61 m2,&lt;br/&gt;* pokój 10,31 m2,&lt;br/&gt;* łazienka z wanną 4,86 m2,&lt;br/&gt;* korytarz z wydzieloną skrytką 10,5 m2.&lt;br/&gt; &lt;br/&gt;Dodatkowe informacje:&lt;br/&gt;* czynsz w granicach 520 zł,&lt;br/&gt;* do mieszkania przynależy piwnica 6 m2,&lt;br/&gt;* ogrzewanie gazowe (dwufunkcyjny piec),&lt;br/&gt;* mieszkanie dwustronne,&lt;br/&gt;* z własną KW,&lt;br/&gt;* ogólnodostępne, bezpłatne miejsca postojowe na terenie osiedla,&lt;br/&gt;* własny, prywatny ogródek ok. 100 m2,&lt;br/&gt;* na wyposażeniu 3 duże szafy komandor.&lt;br/&gt; &lt;br/&gt;Mieszkanie idealne dla rodziny, pary, która ceni sobie spokój, ciszę i niską willową zabudowę. &lt;br/&gt; &lt;br/&gt;Kameralne osiedle otoczone Platanami zapewnia ciszę i spokój. W bliskiej odległości kompleksy handlowe Nowy Rynek i Galeria Sucholewska, hala sportowa, park wodny Octopusy, biblioteka publiczna, szkoła, przedszkola. Dla aktywnych liczne trasy rowerowe i tereny rekreacyjne. Komunikację z Poznaniem zapewniają autobusy ZKP Suchy Las. &lt;br/&gt; &lt;br/&gt;Zapraszam na prezentację&lt;br/&gt;Elżbieta Mieloch&lt;br/&gt;nr licencji: 28721&lt;br/&gt;tel: 666 331 664&lt;br/&gt;&lt;br/&gt; &lt;br/&gt;Keller Williams Partners&lt;br/&gt;ul. Bednarska 6&lt;br/&gt;Poznań&lt;/p&gt;</t>
  </si>
  <si>
    <t>https://www.otodom.pl/pl/oferta/suchy-las-mieszkanie-na-sprzedaz-ID4m6XZ</t>
  </si>
  <si>
    <t>4 pokoje z loggią - I p. wśród zieleni, blisko WKD</t>
  </si>
  <si>
    <t>71,82 m²</t>
  </si>
  <si>
    <t>Longitude: 20.8142509 | Latitude: 52.1599037</t>
  </si>
  <si>
    <t>&lt;p&gt;Dzień dobry,&lt;/p&gt;
&lt;p&gt;Mam przyjemność zaprezentować Państwu dwustronne, 4-pokojowe mieszkanie z dużym balkonem typu loggia w doskonałej lokalizacji w Pruszkowie.&lt;/p&gt;
&lt;p&gt;Mieszkanie doskonale sprawdzi się zarówno dla&lt;strong&gt; rodziny &lt;/strong&gt;(zwłaszcza &lt;strong&gt;z dziećmi&lt;/strong&gt;), jak również pod kątem&lt;strong&gt; inwestycyjnym&lt;/strong&gt;&lt;strong&gt;.&lt;/strong&gt;&lt;strong&gt;&lt;/strong&gt;&lt;/p&gt;
&lt;p&gt;&lt;/p&gt;
&lt;p&gt;&lt;strong&gt;Bardzo cicha, zielona i spokojna okolica&lt;/strong&gt;, a sam lokal z dużym potencjałem aranżacyjnym.&lt;/p&gt;
&lt;p&gt;&lt;strong&gt;Wokoło mnóstwo zieleni&lt;/strong&gt;, a jednocześnie&lt;strong&gt; pełna infrastruktura&lt;/strong&gt; - w niewielkiej odległości (kilku minut piszo) dobrze zaopatrzone &lt;strong&gt;sklepy&lt;/strong&gt; i sprawdzone punkty usługowe (w tym lokale gastronomiczne), &lt;strong&gt;szpital&lt;/strong&gt;, &lt;strong&gt;przychodnie&lt;/strong&gt; zdrowia, &lt;strong&gt;nocna pomoc&lt;/strong&gt; lekarska, &lt;strong&gt;kilka aptek&lt;/strong&gt;, w tym &lt;strong&gt;dyżurna apteka&lt;/strong&gt; (24/7), &lt;strong&gt;szkoły&lt;/strong&gt; podstawowe, &lt;strong&gt;żłobki&lt;/strong&gt;, &lt;strong&gt;przedszkola&lt;/strong&gt;, urząd miasta, sąd rejonowy, komenda &lt;strong&gt;policji&lt;/strong&gt;, &lt;strong&gt;kościół&lt;/strong&gt;, kryta pływalnia (&lt;strong&gt;basen&lt;/strong&gt; KAPRY), duży &lt;strong&gt;park&lt;/strong&gt; (Potulickich), a nawet ogródki działkowe.&lt;/p&gt;
&lt;p&gt;Pod samym blokiem znajduje się spory, ogólnodostępny &lt;strong&gt;parking&lt;/strong&gt;. Bardzo dużo miejsc parkingowych w najbliższym otoczeniu, w tym również &lt;strong&gt;parking strzeżony&lt;/strong&gt;.&lt;/p&gt;
&lt;p&gt;&lt;/p&gt;
&lt;p&gt;Na osiedlu – &lt;strong&gt;plac zabaw&lt;/strong&gt; dla dzieci, a do parku Kościuszki ze wspaniałym kompleksem zabaw i wypoczynku tylko 10 minut spacerkiem.&lt;/p&gt;
&lt;p&gt;&lt;strong&gt;Targowisko miejskie&lt;/strong&gt; – 7 minut spaceru po świeże lokalne owoce, warzywa i nie tylko.&lt;/p&gt;
&lt;p&gt;W pobliżu przystanki kilku miejskich &lt;strong&gt;linii autobusowych&lt;/strong&gt;.&lt;/p&gt;
&lt;p&gt;Do stacji &lt;strong&gt;WKD – 5 minut&lt;/strong&gt;, do dworca PKP (KM/SKM) – 15 minut.&lt;/p&gt;
&lt;p&gt;Czas dojazdu do centrum Warszawy koleją WKD i KM/SKM zajmuje ok. 27 minut.&lt;/p&gt;
&lt;p&gt;&lt;/p&gt;
&lt;p&gt;&lt;strong&gt;Powierzchnia użytkowa mieszkania to 71,82 metry kwadratowe, na którą składają się:&lt;/strong&gt;&lt;/p&gt;
&lt;p&gt;1.  przedpokój o powierzchni 10,34 m kw. – w kształcie litry „L”, zabudowany obecnie szafami z drzwiami przesuwnymi i lustrami,&lt;/p&gt;
&lt;p&gt;2.  widna kuchnia 7,71 m kw., otwarta na przedpokój,&lt;/p&gt;
&lt;p&gt;3.  pokój o pow. 12,11 m kw.,&lt;/p&gt;
&lt;p&gt;4.  salon o pow. 21,70 m kw., z którego wychodzi się na przylegającą do niego dużą loggię  o głębokości ponad metr i długości ponad 5 metrów,&lt;/p&gt;
&lt;p&gt;5.  pokój o powierzchni 8,06 m kw.,&lt;/p&gt;
&lt;p&gt;6.  pokój - 8,14 m kw.,&lt;/p&gt;
&lt;p&gt;7.  łazienka - 2,75 m kw.,&lt;/p&gt;
&lt;p&gt;8.  toaleta - 1,01 m kw.&lt;/p&gt;
&lt;p&gt;&lt;/p&gt;
&lt;p&gt;Do mieszkania przynależy również &lt;strong&gt;piwnica&lt;/strong&gt;.&lt;/p&gt;
&lt;p&gt;Istnieje możliwość połączenia 2 mniejszych pokoi w jeden większy. Można też przearanżować na inne sposoby.&lt;/p&gt;
&lt;p&gt;&lt;/p&gt;
&lt;p&gt;Drzwi zewnętrzne – antywłamaniowe.&lt;/p&gt;
&lt;p&gt;Mieszkanie wymaga pewnych prac remontowych, więc przyszły właściciel może się wykazać kreatywnością przy swobodnej jego aranżacji według własnego uznania, potrzeb i preferencji.&lt;/p&gt;
&lt;p&gt;&lt;/p&gt;
&lt;p&gt;&lt;strong&gt;Mieszkanie jest bardzo widne&lt;/strong&gt;. Blok jest niski, w dużej odległości od innych zabudowań (również niskich) więc światło do kuchni i wszystkich pokoi dochodzi przez cały dzień. Okna kuchni i 2 mniejszych pokoi wychodzą na północny wschód, a 2 większych pokoi (oraz loggia) na południowy zachód. Dzięki temu w lato na balkonie jest słonecznie już przed godz.10.30 i praktycznie aż do zachodu słońca (można wysuszyć nawet 3 prania dziennie). Jednocześnie, przy zasłoniętych oknach - spokojnie daje się utrzymać wewnątrz przyjemny chłodek. A z zewnątrz dochodzi śpiew ptaków - wiele z nich ma tutaj gniazda.&lt;/p&gt;
&lt;p&gt;&lt;/p&gt;
&lt;p&gt;Mieszkanie znajduje się na pierwszym piętrze 4-piętrowego bloku bez windy.&lt;/p&gt;
&lt;p&gt;Jest lokalem szczytowym - ma 3 ściany zewnętrzne. Budynek wybudowany w technologii OWT-67 został zasiedlony w roku 1990.&lt;/p&gt;
&lt;p&gt;Ocieplony w roku 2014 - styropian 12-tka.&lt;/p&gt;
&lt;p&gt;Dach zmodernizowany, pokryty papą termozgrzewalną.&lt;/p&gt;
&lt;p&gt;Modernizacja ogrzewania w roku 2007.&lt;/p&gt;
&lt;p&gt;W roku 2016 - modernizacja instalacji wody zimnej i ciepłej – wymiana rur na plastiki.&lt;/p&gt;
&lt;p&gt;Nowe drzwi wejściowe na klatkę. &lt;strong&gt;Domofon&lt;/strong&gt;.&lt;/p&gt;
&lt;p&gt;Ogrzewanie centralne – miejskie, z elektrociepłowni, ciepła woda również.&lt;/p&gt;
&lt;p&gt;Woda jest opomiarowana (wodomierze radiowe).&lt;/p&gt;
&lt;p&gt;Wentylacja - grawitacyjna.&lt;/p&gt;
&lt;p&gt; &lt;/p&gt;
&lt;p&gt;&lt;u&gt;Na podaną kwotę czynszu 430 zł składają się następujące pozycje &lt;/u&gt;(wszystkie zależne od powierzchni użytkowej): podatek od nieruchomości, wieczyste użytkowanie - mienie Spółdzielni, eksploatacja bieżąca, fundusz remontowy, konserwacja, podgrzewanie wody - opłata stała, fundusz remontowy - wodomierze (4 sztuki).  &lt;u&gt;Do tego trzeba jeszcze doliczyć pozycje zależne od liczby osób / faktycznego zużycia:&lt;/u&gt;&lt;/p&gt;
&lt;p&gt;· opłata za odpady komunalne - zależna od liczby osób (zł. 28 / osobę),&lt;/p&gt;
&lt;p&gt;· zaliczka na zimną wodę - wyliczana indywidualnie na podstawie poprzedniego zużycia (zł. 10,88 / m3),&lt;/p&gt;
&lt;p&gt;· zaliczka na podgrzewanie wody - j.w. (zł. 23,49 / m3),&lt;/p&gt;
&lt;p&gt;· zaliczka na gaz - liczona jest od powierzchni i płatna co miesiąc (obecnie zł. 0,50 / m2, czyli zł. 35,91 miesięcznie), ale po zakończeniu i rozliczeniu roku zawsze mamy nadpłatę - za 2022 rok zwrot wyniósł prawie 57% dokonanych wpłat zaliczkowych!,&lt;/p&gt;
&lt;p&gt;· zaliczka na centralne ogrzewanie liczona od powierzchni (zł. 4,62 / m2, tj. zł. 331,81) - tutaj też co roku mamy nadpłatę, po rozliczeniu roku - za 2022 rok zwrot wyniósł ponad 33%.&lt;/p&gt;
&lt;p&gt;Rozliczenie zużycia wody odbywa się zwyczajowo co pół roku.&lt;/p&gt;
&lt;p&gt;&lt;/p&gt;
&lt;p&gt;&lt;strong&gt;Zakup bez prowizji, bezpośrednio od właściciela!&lt;/strong&gt;&lt;/p&gt;
&lt;p&gt;&lt;strong&gt;Dla lokalu jest założona księga wieczysta.&lt;/strong&gt;&lt;/p&gt;
&lt;p&gt;&lt;/p&gt;
&lt;p&gt;&lt;strong&gt;Dostępność&lt;/strong&gt; – &lt;strong&gt;do uzgodnienia&lt;/strong&gt; (w razie potrzeby - &lt;strong&gt;nawet w kilka dni&lt;/strong&gt;).&lt;/p&gt;
&lt;p&gt;&lt;/p&gt;
&lt;p&gt;&lt;strong&gt;Cena do negocjacji.&lt;/strong&gt;&lt;/p&gt;
&lt;p&gt;&lt;/p&gt;
&lt;p&gt;Zainteresowanych mogę&lt;strong&gt; oprowadzić po lokalu 'na żywo'&lt;/strong&gt; poprzez &lt;strong&gt;WhatsApp&lt;/strong&gt; lub inny &lt;strong&gt;komunikator&lt;/strong&gt;.&lt;/p&gt;
&lt;p&gt;&lt;/p&gt;
&lt;p&gt;Zapraszam do &lt;strong&gt;kontaktu telefonicznego&lt;/strong&gt;.&lt;/p&gt;
&lt;p&gt;Jeśli w danej chwili nie odbiorę bardzo proszę o &lt;strong&gt;wiadomość SMS&lt;/strong&gt;, oddzwonię w możliwie najszybszym terminie.&lt;/p&gt;
&lt;p&gt;&lt;/p&gt;
&lt;p&gt;&lt;/p&gt;
&lt;p&gt;&lt;em&gt;Powyższa oferta ma charakter informacyjny i nie stanowi oferty handlowej w rozumieniu art. 66 §1 kodeksu cywilnego oraz innych właściwych przepisów prawnych&lt;/em&gt;&lt;em&gt;.&lt;/em&gt;&lt;/p&gt;
&lt;p&gt; &lt;/p&gt;</t>
  </si>
  <si>
    <t>limited ownership</t>
  </si>
  <si>
    <t>https://www.otodom.pl/pl/oferta/4-pokoje-z-loggia-i-p-wsrod-zieleni-blisko-wkd-ID4mh1P</t>
  </si>
  <si>
    <t>Mieszkanie po remoncie 41m2 +38m2 roi 10%</t>
  </si>
  <si>
    <t>41 m²</t>
  </si>
  <si>
    <t>Longitude: 19.120895508818 | Latitude: 50.338528244649</t>
  </si>
  <si>
    <t>&lt;p&gt;Sprzedam dwupokojowe mieszkanie po generalnym remoncie pół roku temu w wysokim standardzie.&lt;/p&gt;
&lt;p&gt;Gotowiec inwestycyjny wynajmowany roi na poziomie 10%&lt;/p&gt;
&lt;p&gt;Mieszkanie składa się z dwóch pokoi (salon i sypialnia), osobna kuchnia i łazienka, przedpokój.&lt;/p&gt;
&lt;p&gt;Atutem są wysokie sufity (2,9m) co nadaje sporo przestrzeni. Mieszkanie po generalnym remoncie. Nowe drzwi antywłamaniowe firmy DELTA. Na ścianach gładzie, podwieszane sufity, panele podłogowe wysokiej jakości - wodoodporne. Nowa instalacja elektryczna z protokołami odbioru i wodno-kanalizacyjna. Łazienka i kuchnia z nowymi meblami i całym wyposażeniem. &lt;/p&gt;
&lt;p&gt;&lt;/p&gt;
&lt;p&gt;Możliwość podłączenia internetu i telewizji, w pobliżu sklepy, apteki, szkoła i przystanek autobusowy. &lt;/p&gt;
&lt;p&gt;Dodatkowo płatne czynsz do spółdzielni 450 zł, w tym zaliczka na wodę i centralne, prąd i gaz według zużycia. Centralne ogrzewanie miejskie gazowe.&lt;/p&gt;
&lt;p&gt;&lt;/p&gt;
&lt;p&gt;Mieszkanie aktualnie działo jako Home Office, ale jest przystosowane do zamieszkania.&lt;/p&gt;
&lt;p&gt;&lt;/p&gt;
&lt;p&gt;Ogromnym atutem jest możliwość powiększenia mieszkania o dodatkowe 38m2 łącząc mieszkanie obok, które również jest do sprzedaży od tego samego właściciela. &lt;/p&gt;
&lt;p&gt;Do sprzedania dodatkowo inne mieszkania dwu  i trzypokojowe. Zapraszam do kontaktu!&lt;/p&gt;
&lt;p&gt;&lt;/p&gt;
&lt;p&gt;Numer do kontaktu: 884 707 179 &lt;/p&gt;</t>
  </si>
  <si>
    <t>https://www.otodom.pl/pl/oferta/mieszkanie-po-remoncie-41m2-38m2-roi-10-ID4meX3</t>
  </si>
  <si>
    <t>Mieszkanie 3-pokojowe, ul. Hetmańska</t>
  </si>
  <si>
    <t>52,18 m²</t>
  </si>
  <si>
    <t>Longitude: 23.16996 | Latitude: 53.12988</t>
  </si>
  <si>
    <t>&lt;p&gt;Mieszkanie na sprzedaż, proponowane jest w ramach inwestycji deweloperskiej - budowa domów wielorodzinnych przy ul. Hetmańskiej 87. W maju 2023 rozpoczęto inwestycję, planowany termin zakończenia - październik 2024. Sprzedaż prowadzona w formie rachunków powierniczych w oparciu o ochronę Kupujących. &lt;/p&gt;
&lt;p&gt;Powstaną trzy budynki wielorodzinne:&lt;/p&gt;
&lt;p&gt;- budynek A - 15 mieszkań - metraż mieszkań 52,18 m2 - blok 3-piętrowy&lt;/p&gt;
&lt;p&gt;- budynek B - 11 mieszkań - metraż mieszkań 52,18 m2 - blok 2-piętrowy&lt;/p&gt;
&lt;p&gt;- budynek C - 11 mieszkań - metraż mieszkań 50,18 m2 - blok 2-piętrowy&lt;/p&gt;
&lt;p&gt;Mieszkania posiadają dwustronny układ mieszkań. Balkony i ogródki znajdują się od strony południowej. każde mieszkanie posiada trzy pokoje, w tym jeden otwarty z aneksem kuchennym. Projekt pozwala, aby zabudować pokój otwarty, a tym samym stworzyć oddzielną przestrzeń kuchni i pokoju. Mieszkanie w stanie deweloperskim, do własnego wykończenia. Ogrzewanie z sieci miejskiej. W mieszkaniu znajdują się instalacje grzewcze, kanalizacja, elektryczna, teletechniczna, wentylacja zbiorcza wyciągowa. &lt;/p&gt;
&lt;p&gt;W pobliżu znajduje się kościół, podstawówka, szkoły muzyczne i licealne; sklepy spożywcze, hipermarket, przychodnie lekarskie, i basen. Wjazd na działkę jest z drogi publicznej. Każdy mieszkaniec będzie miał swoje miejsce parkingowe w pobliżu budynku.&lt;/p&gt;
&lt;p&gt;Zapraszamy do kontaktu. Oferta cenowa  na stronie: hetmanskamlodych&lt;/p&gt;</t>
  </si>
  <si>
    <t>https://www.otodom.pl/pl/oferta/mieszkanie-3-pokojowe-ul-hetmanska-ID4lUXU</t>
  </si>
  <si>
    <t>Mieszkanie po kapitalnym remoncie, os. Zawarcie</t>
  </si>
  <si>
    <t>Przedmiotem sprzedaży jest mieszkanie znajdujące się  na pierwszym pietrze w kamienicy na os. Zawarcie.Mieszkanie o pow. 35 m2 składa się z salonu z wydzieloną częścią jadalnianą połączonego z kuchnią w formie aneksu, oddzielnej, przestronnej sypialni, łazienki z wc.Mieszkanie po kapitalnym remoncie. Wymienione wszystkie instalacje.Okna pcv, ściany szpachlowane, podłogi panele, łazienka w glazurze i terakocie.Nieruchomość nie wymagająca żadnych nakładów finansowych, funkcjonalne  z dokładnie zaplanowaną przestrzenią.W cenie nieruchomości pozostaje całe umeblowanie widoczne na zdjęciach i sprzęt agd.Niskie koszty eksploatacyjne. Czynsz administracyjny ok. 150 zł, gaz i prąd wg zużycia.Ogrzewanie za pomocą paneli na podczerwień, ciepła woda z pieca elektrycznego.Cicha i spokojna okolica. Przed budynkiem ogólnodostępne miejsca parkingowe.Zapraszamy na prezentację.Opis oferty sporządzony na podstawie oględzin nieruchomości oraz informacji uzyskanych od właściciela, może podlegać aktualizacji i nie stanowi oferty określonej w art. 66 i następnych K.C.Oferta wysłana z programu dla biur nieruchomości ASARI CRM ()</t>
  </si>
  <si>
    <t>https://www.otodom.pl/pl/oferta/mieszkanie-po-kapitalnym-remoncie-os-zawarcie-ID4gEhx</t>
  </si>
  <si>
    <t>4gEhx</t>
  </si>
  <si>
    <t>Mieszkanie w centrum Jasła !</t>
  </si>
  <si>
    <t>ul. Koralewskiego, Jasło, jasielski, podkarpackie</t>
  </si>
  <si>
    <t>Bardzo atrakcyjna oferta. Mieszkanie z ogródkiem to gratka w tej okolicy.Główne atuty nieruchomości: • bliskość komunikacji miejskiej• w pełni wykończony lokal • bliskość szkoły/przedszkolaNieruchomość złożona z: • kuchnia zamykana z oknem 14,69 m.kw• przedpokój 5,8 m.kw• łazienka 5,56 m.kw• spiżarnia 2,69 m.kw• pokój 20,27 m.kw• salon 24,27 m.kw W skład nieruchomości wchodzą też:• balkon• ogródekTyp ogrzewania: ogrzewanie miejskie. Typ własności: własność. Oferujemy Państwu na sprzedaż atrakcyjne 2 pokojowe mieszkanie o powierzchni 73 m2 usytuowane na 1 piętrze.Nieruchomość składa się z zamykanej kuchni(14,69m2), sypialni (20,93m2), salonu (24,27 m2), spiżarni (2,69m2), łazienki (5,56m2),przedpokoju (5,80m2) oraz z dwóch  balkonów. Jeden z nich mieści się od strony ogrodu, a drugi od strony drogi. Mieszkanie jest słoneczne, przestronne, przytulne i doskonale oświetlone. Nieruchomość jest zadbana, nie wymaga wkładu własnego lub w zależności od wymagań do własnej aranżacji. Klatka schodowa jest czysta i dobrze utrzymana. Wejście do niej jest możliwe przez klucz lub domofon. Do mieszkania przynależy również piwnica o powierzchni 45,13 m2, oraz strych o powierzchni 51,53 m2.Za budynkiem znajduję się ogród, w którym panuje cisza i spokój. Miejsce jest doskonale skomunikowane. W pobliżu znajdują się liczne sklepy spożywcze, szkoły, przystanki autobusowe i urzędy. Oferta jest skierowana do rodzin z dziećmi lub dla inwestorów.Jeśli szukasz mieszkania, które nie wymaga wkładu finansowego,które znajduje się blisko centrum miasta, gdzie znajdziesz blisko sklepy spożywcze, restauracje, szkoły, urzędy i inne usługi, to ta oferta jest właśnie dla Ciebie ! Nieruchomość jest idealna dla rodzin z dziećmi lub jako lokata kapitału.ZADZWOŃ: 573 933 538.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</si>
  <si>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https://www.otodom.pl/pl/oferta/mieszkanie-w-centrum-jasla-ID4hN2Q</t>
  </si>
  <si>
    <t>4hN2Q</t>
  </si>
  <si>
    <t>Mieszkanie nr 40 - 4 piętro - 57,78 m2 - 3 pokoje</t>
  </si>
  <si>
    <t>ul. Konarskiego, Giżycko, giżycki, warmińsko-mazurskie</t>
  </si>
  <si>
    <t>GIŻYCKO UL. KONARSKIEGO 22 - NOWE MIESZKANIA W SPRZEDAŻY 
Lokal mieszkalny nr 40 położony na 4 piętrze o pow. 57,78 m2, 3 pokoje z aneksem kuchennym, łazienka, przedpokój oraz balkon. Do mieszkania przynależy komórka lokatorska o pow. 2,34 m2 w cenie 4.680,00 zł, położona na parterze budynku. Istnieje możliwość nabycia miejsca postojowego (ilość ograniczona) w garażu podziemnym w cenie 35.000,00 zł. Cena mieszkania nie obejmuje ceny miejsca postojowego. Miejsce postojowe nie jest obowiązkowe.
 Standard wykończenia mieszkań:
·         wysokość mieszkań do 2,65 m;
·         stolarka okienna PCV 3-szybowa firmy „JOCZ” z nawiewnikami;
·         drzwi o podwyższonej izolacyjności akustycznej i antywłamaniowe;
·         posadzka w mieszkaniu w postaci szlichty cementowej;
·         posadzka na balkonie - j.w.;
·         tynki gipsowe;
·         instalacja elektryczna z gniazdami i włącznikami;
·         trójfazowe podejście do kuchni elektrycznej;
·         instalacja telewizyjna;
·         instalacja internetowa;
·         instalacja domofonowa;
·         instalacja wodno-kanalizacyjna;
·         instalacja centralnego ogrzewania - grzejniki płytowe w pokojach i grzejnik drabinkowym w łazience;
·         wentylacja hybrydowa;
·         winda cichobieżna;
·         wszystkie media opomiarowane licznikami do każdego mieszkania.
Budynek w nowoczesnej architekturze i o nieszablonowej bryle z 49 mieszkaniami i 1 lokalem usługowym na 6 kondygnacjach nadziemnych (parter + 5 pięter) oraz z 35 miejscami postojowymi w garażu podziemnym w ramach kondygnacji podziemnej. Wykonany z bardzo dobrych materiałów oraz zgodnie ze sztuką budowlaną, o co zadbał Inwestor Przedsiębiorstwo Handlowe M6 Jarosław Sulewski z siedzibą w Giżycku.  Zlokalizowany w centrum administracyjnym miasta, a jednocześnie zaledwie 700 m od plaży miejskiej przy jeziorze Niegocin (szlak Wielkich Jezior Mazurskich) i z drugiej strony 1.500 m od jeziora Kisajno (szlak Wielkich Jezior Mazurskich). Zamiast słów, lepiej niech przemówią zdjęcia z lotu ptaka, które przedstawiają w realu przedmiotowy obiekt oraz jego usytuowanie względem jezior, instytucji publicznych, jak też pozostałej części miasta. Perełka. Kupujesz mieszkanie Tu i Teraz, które możesz obejrzeć i ocenić. Zapraszamy.</t>
  </si>
  <si>
    <t>https://www.otodom.pl/pl/oferta/mieszkanie-nr-40-4-pietro-57-78-m2-3-pokoje-ID4gny6</t>
  </si>
  <si>
    <t>4gny6</t>
  </si>
  <si>
    <t>2 pokojowe, do remontu, Nowa Huta, os.Teatralne</t>
  </si>
  <si>
    <t>Polecamy do sprzedaży przestronne, rozkładowe 2 pokojowe mieszkanie o powierzchni 52 m2 zlokalizowane na os. Teatralnym, dz. Nowa Huta. Składa się z 2 niezależnych pokoi, jasnej, osobnej kuchni, łazienki oraz przedpokoju. Posiada przynależną piwnicę ok. 8 m2. Mieszkanie dwustronne, położone wśród zieleni, w stanie do remontu. Okna plastikowe, ogrzewanie miejskie, ciepła woda z piecyka gazowego. Położone jest na wysokim parterze w 3 piętrowym ceglanym budynku z lat 50-tych. Czynsz wynosi 560 zł.Osiedle z pełną infrastrukturą: przedszkole, żłobek, szkoła, ośrodek zdrowia, banki. W pobliżu zlokalizowane są Teatr Ludowy, Urząd Miasta Krakowa, Plac Bieńczycki, Tomex, liczne sklepy.Nowa Huta wyróżnia się na tle innych dzielnic dużą ilością terenów zielonych np. Łąki Nowohuckie, Park Ratuszowy, Park Szwedzki, Zalew Nowohucki.Doskonała komunikacja tramwajowa i autobusowa.Kontakt: tel. +4████████████9, ID oferty =566015Pośrednik w obrocie nieruchomościami nadzorujący ofertę o nr licencji 9057.Oferujemy bezpłatną pomoc przy uzyskaniu kredytu. Nasz doradca kredytowy wybierze dla Państwa najlepszą ofertę. Niniejsza oferta handlowa nie stanowi oferty w rozumieniu przepisów Kodeksu Cywilnego oraz innych właściwych przepisów prawnych. Prezentacja oferty (po podpisaniu standardowej umowy pośrednictwa) jest bezpłatna.</t>
  </si>
  <si>
    <t>https://www.otodom.pl/pl/oferta/2-pokojowe-do-remontu-nowa-huta-os-teatralne-ID4nXXt</t>
  </si>
  <si>
    <t>4nXXt</t>
  </si>
  <si>
    <t>OKAZJA/4940zł/m2/Stare Miasto/Idealne na gabinet!</t>
  </si>
  <si>
    <t>Słupsk, pomorskie</t>
  </si>
  <si>
    <t>MIESZKANIE W SERCU STAREGO MIASTA!OFERTA IDEALNA TAKŻE NA PROWADZENIE KANCELARII, BIURA CZY USŁUG RÓŻNEGO RODZAJU!Przedmiotem sprzedaży jest mieszkanie usytuowane na wysokim parterze przy jednej z ulic okalających Stary Rynek. Układ mieszkania korzystny, choć nieco różny od pierwotnego. Obecnie tworzą go dwa niezależne pokoje, kuchnia otwarta na trzeci pokój, łazienka z toaletą oraz przedpokój. Pierwotnie były 3 zupełnie niezależne pokoje i oddzielna, widna kuchnia. (Celem połączenia kuchni z jednym z pokoi było uzyskanie wnęki na szafę w przepokoju oraz przestronnej jadalni spełniającej także funkcję pokoju gościnnego).Mieszkanie dwustronne, ustawne, pokoje w kwadracie, wszystkie z podwójnym oknem. Ogrzewane przez piece kaflowe, ciepła woda z bojlera elektrycznego, ale w budynku jest gaz zatem istnieje możliwość podłączenia ogrzewania gazowego, a w przyszłości także do sieci centralnego ogrzewania z miasta.Wejście do budynku z dwóch ulic. Klatka zadbana.
Zdjęcia mieszkania już wkrótce!</t>
  </si>
  <si>
    <t>https://www.otodom.pl/pl/oferta/okazja-4940zl-m2-stare-miasto-idealne-na-gabinet-ID4oEog</t>
  </si>
  <si>
    <t>4oEog</t>
  </si>
  <si>
    <t>Mieszkanie 4 pok ul. Wandy</t>
  </si>
  <si>
    <t>ul. Wandy, Maroko-Nowiny, Rybnik, śląskie</t>
  </si>
  <si>
    <t>MDP Partners prezentuje:Lokal mieszkalny o bardzo ustawnym rozkładzie - łącznej powierzchni wraz z przynależną piwnicą 101,6 mkw. Znajduje się na 11 piętrze budynku położonego przy ul. Wandy 23 (12 kondygnacji) - windą wjeżdża się na 10 piętro i jedno piętro wchodzi się schodami. Ogromnym atutem lokalu jest brak sąsiadów na piętrze oraz dostęp do komórki lokatorskiej. Mieszkanie składa się z:- przedpokoju,- oddzielnego WC,- łazienki z prysznicem,- kuchni połączonej z jadalnią,- biura,- 3 sypialni, - salonu;Do mieszkania przynależy piwnica o łącznej powierzchni 3,4 mkw. Łącznie lokal wraz z przynależną piwnicą ma 101,6 mkw. ===Okolica===Zielona i spokojna. W bezpośrednim sąsiedztwie liczne tereny zielone. Wokół bloku duża dostępność miejsc parkingowych. Dla najmłodszych plac zabaw. W najbliższym otoczeniu pełna infrastruktura - sklepy spożywcze, paczkomaty i apteki. ===Stan prawny===Odrębna własność z księgą wieczystą - można posiłkować się kredytem. Grunt na własność. Dodatkowe informacje:- właściciel nieruchomości posiada 2 garaże  do sprzedania w cenie 25.000 zł za garaż;- piękny widok z okien na panoramę Rybnika;Serdecznie zapraszam na prezentację nieruchomości,Paulina KosiorMDP PartnersMDP Partners oferuje nabywcom obsługę prawną transakcji i jej bezpieczną finalizację, oraz pomoc w sfinansowaniu każdego rodzaju nieruchomości.</t>
  </si>
  <si>
    <t>https://www.otodom.pl/pl/oferta/mieszkanie-4-pok-ul-wandy-ID4o45K</t>
  </si>
  <si>
    <t>4o45K</t>
  </si>
  <si>
    <t>Kubali ok/2023r/3pok/garaż/balkon/meble/lux</t>
  </si>
  <si>
    <t>Kubali ok., Poświętne, Psie Pole, Wrocław, dolnośląskie</t>
  </si>
  <si>
    <t>Serdecznie polecam na sprzedaż piękne 3-pokojowe mieszkanie o łącznej powierzchni 53m2. Nieruchomość usytuowana jest na pierwszym piętrze w 4-piętrowym apartamentowcu z 2023r na wrocławskim Psim Polu/Poświętne nieopodal ul. Kubali.Mieszkanie składa się z:- Salonu połączonego z aneksem kuchennym- Pokoju nr 1- Pokoju nr 2- Łazienki- Przedpokoju- BalkonuNieruchomość została wykończona w wysokim standardzie. Szafy oraz meble kuchenne są wykonana przez stolarza. Wszystkie sprzęty AGD są nowe, jeszcze na gwarancji. Mieszkanie jest zupełnie nowe, gotowe do wprowadzenia się.Opłaty eksploatacyjne są na poziomie ok. 600 zł miesięcznie.Do ceny mieszkania należy doliczyć zakup miejsca postojowego w hali garażowej (40 000zł) oraz koszt wyposażenia (19 000zł). ZAKUP OBLIGATORYJNY.Bardzo fajna lokalizacja.W bliskiej odległości przystanek autobusowy. Kawałek dalej pętla tramwajowa.Wokół dużo zieleni oraz obszarów rekreacyjnych.W pobliżu także przedszkola, żłobki, szkoły, przychodnie, siłownie, basen, sklepy usługowe i spożywcze.Serdecznie zapraszam na prezentacje.tel. 660 283 385 Kontakt: 660283385. Zamieszczone oferty nie stanowią oferty w rozumieniu Kodeksu Cywilnego, a dane w nich zawarte mają jedynie charakter informacyjny. Najlepsze oferty tylko w biurze nieruchomości. Zapraszamy na naszą stronię . Jesteśmy biurem z 21 letnim doświadczeniem. Nr licencji zawodowej: 2189. Nasza praca to nasza pasja, spełniamy marzenia o własnym lokum. Naszym klientom zapewniamy obsługę prawną transakcji prowadzoną przez naszego prawnika oraz pomoc w uzyskaniu najlepszego kredytu a także doradztwo prawne po zakończeniu transakcji.</t>
  </si>
  <si>
    <t>https://www.otodom.pl/pl/oferta/kubali-ok-2023r-3pok-garaz-balkon-meble-lux-ID4oCmG</t>
  </si>
  <si>
    <t>4oCmG</t>
  </si>
  <si>
    <t>Klimatyzacja i m-ce postojowe w cenie- Centrum</t>
  </si>
  <si>
    <t xml:space="preserve">Atrakcyjne, niskoczynszowe mieszkanie na I piętrze w nowo wybudowanym budynku z windą i garażami w doskonałej lokalizacji przy ul.Niepodległości. Mieszkanie klimatyzowane z dużym balkonem.   Budynek mieści 90 komfortowych mieszkań oraz 46 miejsc postojowych w garażu podziemnym. Jest to trzeci etap inwestycji o wysokim standardzie deweloperskim w doskonałej lokalizacji miasta. Mieszkania oddane do użytku, czekają na swoich właścicieli  Powierzchnia lokalu mieszkalnego 5.2.5 na I piętrze wynosi 55,82m2 i dzieli się na: - pokój dzienny z aneksem kuchennym - 30,06m2 - pokój - 11,09m2 - garderoba - 4,46m2 - łazienka - 5,57m2 - korytarz - 4,64m2 Mieszkanie z dużym balkonem  Stan deweloperski obejmuje: - wszystkie przyłącza i instalacje (wod-kan,elektryczna-z gniazdkami,telewizyjna, satelitarna, internetowa, telefoniczna domofon) - ogrzewanie: instalacja centralnego ogrzewania wraz z grzejnikami, liczniki zużycia ciepłej wody na każdy lokal. Logoterma - klimatyzacja - okna PCV trzyszybowe z elektrycznymi roletami zewnętrznymi i parapetami wewnętrznymi - drzwi zewnętrzne z dwoma zamkami, pełne z wizjerem - ściany i sufity- tynki jednowarstwowe, gipsowe, wykonane mechanicznie, do szpachlowania i malowania - posadzki cementowe zacierane mechanicznie, układane na izolacji ze styropianu - wnęki drzwiowe przygotowane do osadzenia stolarki.  CENA: 463.753zł brutto  Oferujemy Państwu do sprzedaży 2 i 3 pokojowe mieszkania od 42,01 m2 do 63,69 m2 Istnieje możliwość dokupienia miejsca postojowego w garażu podziemnym jednostanowiskowego w cenie 46.000zł lub dwustanowiskowego w cenie 59.000zł brutto oraz miejsca postojowego na parkingu naziemnym w cenie 26.000zł. W bloku dostępna jest dla mieszkańców wózkarnia/rowerownia  Doskonała lokalizacja budynku w centrum miasta. W najbliższym sąsiedztwie: place zabaw, markety, apteka, szkoła, sklepy, przystanek autobusowy  OFERTA ZWOLNIONA Z PROWIZJI OD KUPUJĄCEGO ORAZ 2% PODATKU PCC  Oferujemy Państwu darmową pomoc przy uzyskaniu kredytu oraz wszystkich formalności a także niższe opłaty notarialne.  Zapraszam na prezentację w celu bliższego zapoznania się z ofertą. Iwona Paprocka tel.606 714 077   Nr licencji pośrednika odpowiedzialnego zawodowo 1518 Z biurem G A M A bezpiecznie zrealizują Państwo transakcje kupna/sprzedaży każdej nieruchomości. Współpracujący z biurem G A M A doradcy finansowi pomogą Państwu pewnym krokiem przejść przez procedury kredytowe. Powyższy opis ma charakter informacyjny i nie stanowi oferty w rozumieniu przepisów art. 66 § 1. Kodeksu Cywilnego. </t>
  </si>
  <si>
    <t>https://www.otodom.pl/pl/oferta/klimatyzacja-i-m-ce-postojowe-w-cenie-centrum-ID4oy17</t>
  </si>
  <si>
    <t>4oy17</t>
  </si>
  <si>
    <t>Mieszkanie w nowoczesnym stylu 52 m2 do wejścia.</t>
  </si>
  <si>
    <t>Piastów, Rzeszów, podkarpackie</t>
  </si>
  <si>
    <t>Przedstawiam Państwu przestronne mieszkanie w Rzeszowie przy ul. Dominikańskiej o powierzchni 52 m2 usytuowane na wyższym parterze w niskim kameralnym czteropiętrowym bloku.Mieszkanie jest po generalnym remoncie i gotowe do zamieszkania.Opis Nieruchomości:- korytarz,- dwa duże oddzielne pokoje,- oddzielna kuchnia,- łazienka z prysznicem,Do mieszkania przynależy piwnica.Atuty mieszkania:- lokalizacja osiedle Dąbrowskiego to dla niektórych centrum i serce miasta: wszędzie blisko i wszystko pod ręką,- wyższy parter, czyli idealne dla rodzin z dziećmi jak również dla starszych osób, choć nie wykluczone, że jest to również dobra inwestycja pod wynajem z racji lokalizacji bliskość Uczelni, sklepów  itp.,- mieszkanie jest dwustronne, z pokoi widok na piękny park, cisza i spokój ponieważ nie jest usytuowane przy ruchliwej drodze,- wysokie sufity, które dodają przestrzeni,- duże pokoje,- ogrzewanie i woda miejska,- mieszkanie po generalnym remoncie,- parkiety cyklinowane i malowane,- wymienione instalacje elektryczne, gazowe i wodno - kanalizacyjne,- nowe tynki i gładzie,- mieszkanie nie wymaga żadnych nakładów finansowych jedynie doposażenie wg uznania.Koszty:Kwota sprzedaży za mieszkanie to 579 000,00 zł. Czynsz administracyjny - ok. 550,00 zł. W czynszu na chwilę obecną jest jeden kubik zimnej wody i jeden ciepłej, ogrzewanie, fundusz remontowy . Dodatkowo płatny prąd, śmieci oraz Internet. Zainteresowanych zapraszam do kontaktu.Bernadeta Batortel. 575 507 006Nota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</si>
  <si>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https://www.otodom.pl/pl/oferta/mieszkanie-w-nowoczesnym-stylu-52-m2-do-wejscia-ID4nWmu</t>
  </si>
  <si>
    <t>4nWmu</t>
  </si>
  <si>
    <t>Dwustronne mieszkanie w pobliżu Solanek / 2 pokoje</t>
  </si>
  <si>
    <t>Inowrocław, inowrocławski, kujawsko-pomorskie</t>
  </si>
  <si>
    <t>Biuro Nieruchomości w Inowrocławiu Anna Nieruchomości ma ogromną przyjemność zaprezentować Państwu rozkładowe, dwupokojowe mieszkanie z oknami na dwie strony świata w świetnej lokalizacji, blisko strefy uzdrowiskowej na osiedlu Nowym. Nieruchomość o powierzchni użytkowej 49,8 m2. Lokal usytuowany na drugim piętrze niskiego 3-piętrowego bloku z cegły. Mieszkanie przeszło gruntowny remont. Wymienione zostały: instalacja elektryczna, wodno-kanalizacyjna, okna oraz kaloryfery. W pokojach założone panele. Mieszkanie zarządzane przez prężnie działająca, dbającą o interes mieszkańców Wspólnotę Mieszkaniową. Do mieszkania przynależy duża piwnicy (około 5m2). Dodatkowo w kuchni został zainstalowany system filtrujący wodę.   W skład mieszkania wchodzą: - sypialnia z dużą szafą, stołem i łóżkiem, - bardzo słoneczny salon, - otwarta, widna kuchnia wyposażona w sprzęt AGD (lodówka, płyta gazowa, piekarnik) oraz meble, - łazienka z prysznicem z i toaletą WC, - przedpokój z szafą w zabudowie, - duża piwnica, około 5 m2,  - balkon typu francuskiego.    Mieszkanie jasne, zadbane, przestrzenne, stworzone z myślą o detalach i komforcie mieszkańców. Możliwość pozostawienia mebli widocznych na zdjęciu.    Lokalizacja: Lokalizacja idealna dla rodzin z dziećmi oraz seniorów. W pobliżu przedszkole, przychodnia, szkoła, plac zabaw, boisko do piłki nożnej oraz koszykówki. Łatwy dostęp do komunikacji miejskiej, dworca PKP oraz dworca PKS. Niewątpliwym atutem tej lokalizacji jest cisza i spokój oraz bliskość Parku Solankowego.    Klatka schodowa bardzo czysta i zadbana. Budynek wykonany z cegły dzięki czemu latem nie odczuwa się dużych upałów.    Czynsz ok. 430 zł   Przy transakcji zakupu zapewniamy obsługę notarialną wraz z weryfikacją prawną stanu nieruchomości.  W swojej ofercie posiadamy również inne apartamenty i mieszkania w podobnej lokalizacji lub o podobnym metrażu/układzie pokoi, dlatego serdecznie zachęcamy do kontaktu - z pewnością znajdziemy dla Państwa najlepszą ofertę zgodną z Państwa oczekiwaniami.   Cena: 289 000 zł     Opiekun oferty: Damian Olszewski + 48 797 632 341  Oferta wysłana z programu dla biur nieruchomości ASARI CRM ()</t>
  </si>
  <si>
    <t>https://www.otodom.pl/pl/oferta/dwustronne-mieszkanie-w-poblizu-solanek-2-pokoje-ID4otgi</t>
  </si>
  <si>
    <t>4otgi</t>
  </si>
  <si>
    <t>Mieszkanie W Centrum Częstochowy</t>
  </si>
  <si>
    <t>Śródmieście, Częstochowa, śląskie</t>
  </si>
  <si>
    <t>Ofertą sprzedaży jest trzypokojowe mieszkanie o powierzchni 65mkw usytuowane na piątym piętrze w wieżowcu w centrum Częstochowy.W skład mieszkania wchodzą:- salon z wyjściem na duży balkon- dwie sypialnie- kuchnia - łazienka- przedpokójokna PCV. Czynsz w wysokości 600złBlok posiada ogrodzony parking dla mieszkańców.Bardzo dobra lokalizacja!W pobliżu znajduje się wiele sklepów, restauracje, teatr, kino, centrum handlowe, apteki, przedszkole, szkoły, uczelnia, place zabaw, przystanki komunikacji miejskiej ( autobus oraz tramwaj) itp.Ze względu na lokalizację mieszkanie idealnie sprawdzi się również w formie inwestycji np. pod wynajem.Polecam i zapraszam na prezentację.Kontakt 7 dni w tygodniu.</t>
  </si>
  <si>
    <t>https://www.otodom.pl/pl/oferta/mieszkanie-w-centrum-czestochowy-ID4fdvc</t>
  </si>
  <si>
    <t>4fdvc</t>
  </si>
  <si>
    <t>Mieszkanie w stanie deweloperskim II PIĘTRO B8M9</t>
  </si>
  <si>
    <t>ul. Bolesława Śmiałego, Głogów, głogowski, dolnośląskie</t>
  </si>
  <si>
    <t>Nowa inwestycja deweloperska w Głogowie zlokalizowana przy ulicy Bolesława Śmiałego
3 kondygnacyjny budynek z miejscami postojowymi zlokalizowanymi w garażu podziemnym oraz komórkami lokatorskimi.
Zapraszam do zapoznania się z ofertą mieszkania deweloperskiego 2- pokojowego o powierzchni ok. 38,76 m2 na II piętrze bez balkonu.
TERMIJ ROZPOCZĘCIA: CZERWIEC 2021 R.
PLANOWANY TERMIN ZAKOŃCZENIA: 30 WRZEŚNIA 2023 R.
METRAŻE mieszkań: od 30 m2 do 86 m2
CENA mieszkań: od 6500 zł/m2 do 6900 zł/m2
MIEJSCA  w garażu podziemnym: cena 36.900 zł brutto
Mieszkania na III piętrze  są z antresolą na poddaszu
Atuty inwestycji:1. Prywatny dziedziniec dla mieszkańców.2. Ustawne mieszkaniaRozkład mieszkań daje dużą swobodę aranżacji, dodatkowo mieszkania z antresolą dają możliwość oddzielenia części prywatnej od części wspólnej.3. Przestronne tarasy i balkony4. Dobry punkt komunikacyjnyObok osiedla znajduje się przystanek autobusowy, zapewniając wygodny dojazd do różnych części miasta, a jazda samochodem do centrum zajmuje tylko 5 minut.5. KameralnośćNiska zabudowa i mała jej intensywność zapewnia prywatność.  
Mieszkanie, w stanie deweloperskim do własnego wykończenia.Standard wykończenia obejmuje:- stolarkę okienną PCV,- wylane posadzki,- ścianki działowe,- tynki,- instalację elektryczną,- kompletną instalację c.o. z kaloryferami,- instalację telefoniczne oraz domofony.
W razie jakichkolwiek pytań zapraszamy do kontaktu.</t>
  </si>
  <si>
    <t>https://www.otodom.pl/pl/oferta/mieszkanie-w-stanie-deweloperskim-ii-pietro-b8m9-ID4ixCn</t>
  </si>
  <si>
    <t>4ixCn</t>
  </si>
  <si>
    <t>Mieszkanie własnościowe Chojnice, Gdańska 95 76,31</t>
  </si>
  <si>
    <t>Chojnice, chojnicki, pomorskie</t>
  </si>
  <si>
    <t>To nowy kompleks powstający przy ulicy Gdańskiej w Chojnicach. Staną tam dwa budynki: pięcio i sześcio-kondygnacyjny, składające się łącznie ze 178 mieszkań. Nowoczesne obiekty trafią w gusta tych, którzy szukają wygody i bogatej infrastruktury. Inwestycja powstaje z dala od zgiełku, ale jednocześnie jest dobrze skomunikowana z centrum miasta. Zróżnicowane układy poszczególnych lokali pozwalają na nietuzinkową i różnorodną aranżację. Coś dla siebie znajdą tu zarówno single, jak i rodziny dziećmi czy inwestorzy. Mieszkańcy na pewno docenią przestronne tarasy, które stanowią atut większości naszych inwestycji. Chętni będą mogli również zdecydować się na własny ogródek.
Podobnie jak na innych naszych osiedlach zarówno przestrzenie wspólne, jak i same budynki są zaprojektowane w sposób przemyślany i estetyczny. Sięgamy po naturalne materiały, zaplanowaliśmy na przykład akcenty naturalnego drewna w postaci drewnianych ażurowych elementów. Zapewniają one większą intymność oraz komfort podczas korzystania z tarasów i są bardzo lubiane przez naszych klientów. Okna z zewnątrz są w kolorze jasnego drewna, co jest nie tylko estetyczne, ale również praktyczne.</t>
  </si>
  <si>
    <t>https://www.otodom.pl/pl/oferta/mieszkanie-wlasnosciowe-chojnice-gdanska-95-76-31-ID44oSm</t>
  </si>
  <si>
    <t>44oSm</t>
  </si>
  <si>
    <t>Mieszkanie - Rotmanka</t>
  </si>
  <si>
    <t>ul. Bajki, Straszyn, Pruszcz Gdański, gdański, pomorskie</t>
  </si>
  <si>
    <t>Na sprzedaż komfortowe 3- pokojowe mieszkanie, o powierzchni niespełna 52 m2, mieszczące się na osiedlu stanowiącym zespół nowoczesnych budynków usytuowanych w Rotmance przy ul. Bajki. Doskonała lokalizacja zapewnia bliskość świetnie rozwiniętej infrastruktury miejskiej, a także sieci komunikacyjnej i drogowej, gwarantującej sprawny dojazd do Obwodnicy Trójmiasta, centrum Gdańska, Pruszcza Gdańskiego, a także dzielnic nadmorskich Gdańska. Najbliższy przystanek autobusowy oraz dyskont spożywczy znajdują się w odległości kilkuminutowego spaceru od budynku. W pobliżu istnieje bogate zaplecze handlowo usługowe (przedszkola, żłobki, sklepy spożywcze, piekarnia, apteka i wiele innych przydatnych punktów usługowych). Budynek w którym znajduje się przedmiotowy lokal mieszkalny wykończony został z wykorzystaniem solidnych materiałów, wyposażony jest w cichobieżne windy i domofon.Do mieszkania przynależy praktyczna komórka lokatorska o powierzchni 2,74 m2. Istnieje możliwość zakupu (w cenie 50 tys. zł.) dwóch miejsc postojowych w hali garażowej, dla której wyodrębniona została osobna księga wieczysta.Nieruchomość składa się z- przestronnego salonu z aneksem kuchennym oraz wyjściem do ogródka wyposażonego w taras,- dwóch ustawnych sypialni, z których jedna była wykorzystywana jako pokój dziecięcy,- łazienki z WC oraz- przedpokoju.Mieszkanie zostało wykończone przy użyciu trwałych materiałów jest czyste i schludne, gotowe do zamieszkania. Nie wymaga żadnego wkładu finansowego. Jest idealne do zamieszkania, a ponadto stanowić może skuteczną lokatę kapitału.</t>
  </si>
  <si>
    <t>https://www.otodom.pl/pl/oferta/mieszkanie-rotmanka-ID4lHQW</t>
  </si>
  <si>
    <t>4lHQW</t>
  </si>
  <si>
    <t>Mieszkanie w stanie deweloperskim</t>
  </si>
  <si>
    <t>ul. Akademicka, Dębica, dębicki, podkarpackie</t>
  </si>
  <si>
    <t>BEZ PROWIZJI OD KUPUJĄCEGO !!Biuro nieruchomości Mint Property ma przyjemność zaprezentować Państwu inwestycję na bezczynszowe apartamenty.Prezentowany apartament zlokalizowany jest na parterze o powierzchni 69,47 m2 na nowo powstającym osiedlu Akademicka Park. Prezentowana nieruchomość składa się z:salonu z aneksem kuchennymsypialnipokojupokojułazienkiholluogr&amp;oacute;dka (o powierzchni 107,48 m2) Istnieje możliwość zakupu:kom&amp;oacute;rki lokatorskiej w kwocie 5 000złmiejsca postojowego w kwocie 6 000złmiejsca postojowego w garażu podziemnym w kwocie 35 000złApartament powstał z użyciem nowoczesnych technologii. Dzięki zastosowaniu innowacyjnego systemu grzewczego inwestycja staje się oszczędna i ekologiczna.Dodatkowo istnieje możliwość zakupu miejsca garażowego oraz miejsca parkinowego zewnętrznego, także kom&amp;oacute;rki lokatorskej. Wjazd na parking odgrodzony szlabanem. Wysoki komfort użytkowania apartament&amp;oacute;w zapewnia mieszkańcom - winda.Przedstawione zdjęcia są wizualizacją. Lokalizacja:Świetna lokalizacja w centrum miasta. W obrębie do 1 km przedszkola, szkoły, urzędy, obiekty rekreacyjne.Cena:CENA: 413 300 zł.Zapraszamy do kontaktu z naszym biurem.Tel. 535 158 662Informacja dodatkowa:Niniejsze ogłoszenie jest wyłącznie informacją handlową i nie stanowi oferty w myśl art. 66, paragraf 1. Kodeksu Cywilnego</t>
  </si>
  <si>
    <t>https://www.otodom.pl/pl/oferta/mieszkanie-w-stanie-deweloperskim-ID4jLKY</t>
  </si>
  <si>
    <t>4jLKY</t>
  </si>
  <si>
    <t>Mieszkanie w szeregowcu z ogródkiem,blisko jeziora</t>
  </si>
  <si>
    <t>Zapraszamy do zapoznania się z ofertą sprzedaży segmentu w zabudowie szeregowej, położonego w spokojnej części Lusówka!
Dostępne od zaraz. Możliwy bezproblemowy zakup przez obcokrajowców. 
Jeśli szukasz spokojnego, zadbanego miejsca, z łatwym i szybkim dojazdem do Poznania, a w nim funkcjonalnej nieruchomości z korzystnym układem pomieszczeń, to ta oferta jest dla Ciebie!
Formalnie segment ten jest lokalem stanowiącym odrębną nieruchomość z udziałem w gruncie, który stwarza bardzo dobre warunki mieszkaniowe. Do wyłącznego korzystania właściciela przeznaczony jest ładny ogródek, ok. 90m2.
LOKALIZACJA:
Lusówko, ulica Sierosławska.
Spokojne sąsiedztwo, osiedle domów głównie jednorodzinnych w Lusówku. W pobliżu jezioro z plażą. Niedaleko równieżsklepy spożywcze, restauracje, park, przedszkole, żłobek, szkoła, apteka.
Komunikacja autobusowa: połączenie z Poznaniem (Poznań – Ogrody) między innymi przez Tarnowo Podgórne, Chyby, Napachanie, Przeźmierowo, Baranowo.
Tarnowo Podgórne ok. 10 min samochodem.
Odległość do plaży nad jeziorem Lusowskim ok. 4 min. W pobliżu znajduje się również wypożyczalnia sprzętu wodnego.
POMIESZCZENIA:
*wiatrołap,
*komunikacja,
*pomieszczenie techniczne,
*salon z aneksem kuchennym,
*łazienka,
*WC,
*3 sypialnie.
Powierzchnia według treści księgi wieczystej 84,75m2.
Dodatkowo zagospodarowano przedsionek o powierzchni ok. 5m2, który doliczyć można do powierzchni segmentu. Zatem mamy do dyspozycji blisko 90m2 + strych + ogródek.
Budynek parterowy ze strychem.
INFORMACJE OGÓLNE:
Rok budowy 2019. Wysokość pomieszczeń ok. 2,67m.
Na dachu i stropie ocieplenie wełną, dachówka ceramiczna.
Ogrzewanie gazowe (podłogowe – salon, łazienka i pom. techniczne. Reszta pomieszczeń grzejniki.)
Rolety zewnętrzne elektryczne, okna trzyszybowe.
Drzwi wejściowe antywłamaniowe.
Wyposażenie – do uzgodnienia.
DZIAŁKA:
Ogród ładnie zagospodarowany, zadbany trawnik. Taras ok. 30m2 z wyjściem z salonu.
Bezpośrednio przed budynkiem 2 miejsca parkingowe.
Wygodne miejsce do zamieszkania. Ogród niewymagający dużych nakładów pracy.
MEDIA:
woda, prąd, gaz, kanalizacja, światłowód.
KOSZTY UTRZYMANIA:
Ogrzewanie: ok. 2000zł / za cały zeszły rok.
Prąd i woda według zużycia.
Podatek od nieruchomości ok 160zł/rok.
Zapraszamy do kontaktu![Powyższy opis sporządzony został na podstawie informacji uzyskanych od właściciela nieruchomości oraz własnych spostrzeżeń podczas obecności w przedmiotowej nieruchomości. Ma on charakter informacyjny, może podlegać aktualizacji i nie stanowi oferty w rozumieniu przepisów Kodeksu Cywilnego.Pomimo tego, iż opis sporządzony został z najwyższą starannością, powinien zostać niezależnie zweryfikowany przez stronę Kupującą.]</t>
  </si>
  <si>
    <t>https://www.otodom.pl/pl/oferta/mieszkanie-w-szeregowcu-z-ogrodkiem-blisko-jeziora-ID4lUuV</t>
  </si>
  <si>
    <t>4lUuV</t>
  </si>
  <si>
    <t>Mieszkanie w inwestycji Grzegórzecka 77 z tarasem!</t>
  </si>
  <si>
    <t>Na sprzedaż posiadamy mieszkanie trzypokojowe w pełni wykończone jak na zdjęciach (gotowe do najmu lub zamieszkania). Inwestycja zlokalizowana w ścisłym centrum w jednej z najbardziej rozwiniętych części Krakowa, nieopodal ronda grzegórzeckiego.Mieszkanie znajduje się:- 5 min pieszo od bulwarów wiślanych;- 10 min pieszo do ul. Nadwiślańskiej i okolic rynku podgórskiego (gdzie znajduje się gastronomiczne serce Krakowa);- 10 min pieszo od Muzeum Schindlera i Zabłocia;- 15 min pieszo od Kazimierza;- 15 min pieszo od Rynku Głównego.Oferta:- BEZ PROWIZJI;- BEZ PODATKU PCC (w wys. 2 %);- BEZ DODATKOWYCH KOSZTÓW.Sprzedawane mieszkanie numer 32:- metraż 50,75m2;- kompletne wykończenie gotowe do zamieszkania lub wynajęcia;- do mieszkania przynależy zewnętrzne miejsce parkingowe (dodatkowo płatne 39 000 zł);- piętro 1;- duży i funkcjonalny taras o powierzchni ok. 60m2;- okna na wschód;- dobrze doświetlona część dzienna.Przy zakupie tego mieszkania istnieje możliwość przekazania Państwa starego mieszkania w rozliczeniu.OPIS:Osiedle Grzegórzecka 77 położone jest w centralnej części Krakowa, zaledwie 2 km od Rynku Głównego i 230 m od Bulwarów Wiślanych. Projekt osiedla Grzegórzecka 77 harmonijnie współgra z najbliższym otoczeniem. Postawiliśmy na niską zabudowę, neutralną kolorystykę i zadbaną zieleń. W bezpośrednim sąsiedztwie osiedla znajdują się liczne tereny zielone, m.in. lubiane i popularne Bulwary Wiślane - wymarzone miejsce do spacerów, uprawiania sportu, rodzinnego wypoczynku.Bliskość Starego Miasta i Kazimierza to tylko jeden z wielu atutów osiedla Grzegórzecka 77. Mieszkanie w Śródmieściu to łatwy dostęp do pełnej infrastruktury - sklepów, galerii handlowych, punktów usługowych, placówek medycznych, szkół i uczelni wyższych. W promieniu kilku kilometrów od Osiedla Grzegórzecka 77 znajdziesz Galerię Kazimierz, C.H. M1 i Galerię Krakowską.Taka lokalizacja to dobry wybór zarówno pod kątem prywatnego zakupu, jak i inwestycji w mieszkanie na wynajem. Kolejnym atutem mieszkania przy ul. Grzegórzeckiej jest bliskość przystanków tramwajowych i autobusowych, a także Ronda Grzegórzeckiego, które stanowi ważny węzeł komunikacyjny Krakowa. Możesz poruszać się po mieście tak, jak lubisz - samochodem, rowerem lub komunikacją miejską. Wybór należy do Ciebie. Bliskość ważnych arterii drogowych zapewnia sprawny wyjazd z miasta. Mieszkanie w centrum Krakowa to oszczędność czasu dla całej rodziny.</t>
  </si>
  <si>
    <t>https://www.otodom.pl/pl/oferta/mieszkanie-w-inwestycji-grzegorzecka-77-z-tarasem-ID4fxUL</t>
  </si>
  <si>
    <t>4fxUL</t>
  </si>
  <si>
    <t>Mieszkanie w Zamościu 81,12 m2 !!!NISKI CZYNSZ !!!</t>
  </si>
  <si>
    <t>ul. marsz. Józefa Piłsudskiego, Zamość, lubelskie</t>
  </si>
  <si>
    <t>Na sprzedaż duże, funkcjonalne, przestronne 4 pokojowe mieszkanie w Zamościu przy ulicy Piłsudskiego o powierzchni 72,88m2 usytuowane na 3 piętrze, wraz z przynależną dużą piwnicą o powierzchni 8,24 m2 a także wózkownią. Pełna infrastruktura handlowo-usługowa,Idealna lokalizacja, w pobliżu przedszkole, szkoły, przystanek, ryneczek,mnóstwo zieleni.
Rewelacyjny układ :mieszkanie dwustronne,  4 pokoje, oddzielna kuchnia, toaleta oraz łazienka.
Mieszkanie nie wymaga wkładu finansowego.
Cena do negocjacji.
Zapraszamy na prezentację!
Prezentacja nieruchomości po wcześniejszym umówieniu się z przedstawicielem biura Nieruchomości Zamość.</t>
  </si>
  <si>
    <t>https://www.otodom.pl/pl/oferta/mieszkanie-w-zamosciu-81-12-m2-niski-czynsz-ID4lpmH</t>
  </si>
  <si>
    <t>4lpmH</t>
  </si>
  <si>
    <t>3 pokoje Bemowo Narwik 61m2, garaż, metro, bezpośr</t>
  </si>
  <si>
    <t>ul. Narwik, Górce, Bemowo, Warszawa, mazowieckie</t>
  </si>
  <si>
    <t>Na sprzedaż 3 pokojowe mieszkanie na warszawskim Bemowie zlokalizowane przy ulicy Narwik. Bardzo przytulne i przestronne w pełni wyposażone mieszkanie znajduje się na 5 piętrze kameralnego budynku z 2003 roku na chronionym 24h zamkniętym osiedlu.  Sama lokalizacja nieruchomości jest świetnie skomunikowana z centrum Warszawy i dostępem do pełnej infrastruktury dzielnicy Bemowo. Bliskość Ronda Radia Wolna Europa, przystanków autobusowych, pętli autobusowej i tramwajowej oraz budowanej Stacji Metro Lazurowa, czyni te nieruchomość niezwykle atrakcyjną zarówno dla przyszłego mieszkańca jak i inwestora. Świetna lokalizacja, blisko szkoły, przedszkola, przychodnie, sklepy.  Mieszkanie zostało kupione przeze mnie w 2005 roku w stanie deweloperskim bezpośrednio od spółdzielni. Przeprowadzony remont i aranżacja pozwoliła na zmiany zgodne z zaktualizowanym rzutem mieszkania. Funkcjonalny dwustronny rozkład mieszkania wschód-zachód pozwolił na wygospodarowanie dwóch osobnych pokoi/sypialni oraz salonu z wyodrębnioną w pełni wyposażoną kuchnią. W salonie wydzielono część wypoczynkową oraz przestrzeń jadalnianą. Powiększona łazienka ma w swoim wyposażeniu wannę oraz WC. W pokojach 2 i 3 oraz przedpokoju duże szafy w zabudowie. W cenie mieszkania wszystkie meble w zabudowie wraz wbudowanym AGD Bosch. Rozbudowane instalacje elektryczne i teletechniczne. Dużo gniazdek - nie trzeba używać przedłużaczy. Instalacje w każdym pokoju: internetowa kablowa LAN, TV/SAT- antena SAT/DVB-T na balkonie francuskim, alarmowa, kina domowego sypialnia/salon, głośniki sufitowe w łazience. Ogrzewanie z lokalnej kotłowni, okna PCV oraz drewniane. Delikatne skosy nie przeszkadzają w codziennym użytkowaniu.  Pokój dzienny z aneksem kuchennym - 25,3 m2 Pokój 2 - 11 m2 Pokój 3 - 9,3m2 Hol / przedpokój - 10,3 m2 Łazienka z wc - 4,8m2  Do mieszkania przynależy miejsce postojowe w garażu na poziomie „0”. Brak możliwości zalania jak przy garażach podziemnych!
Miejsce postojowe dodatkowo płatne 35 000 zł jest wymagane przy zakupie mieszkania.
Cena za mieszkanie 814 000 zł + 35 000 zł za miejsce garażowe. Razem Cena 849 000 zł.
Istnieje możliwość wynajęcia dodatkowych komórek lokatorskich oraz kolejnych miejsc parkingowych bezpośrednio zlokalizowanych przy głównym miejscu garażowym. Daje to możliwość parkowania nawet 3 samochodów (cały segment parkingowy na wyłączność)  Oferta bezpośrednia od osoby prywatnej. Nie współpracuję z Agencjami Nieruchomości.</t>
  </si>
  <si>
    <t>https://www.otodom.pl/pl/oferta/3-pokoje-bemowo-narwik-61m2-garaz-metro-bezposr-ID4oEOE</t>
  </si>
  <si>
    <t>4oEOE</t>
  </si>
  <si>
    <t>WILLA U PODNÓŻA BESKIDÓW.</t>
  </si>
  <si>
    <t>Biała Śródmieście, Bielsko-Biała, śląskie</t>
  </si>
  <si>
    <t>WILLA U PODNÓŻA BESKIDÓW. Wygodny przestronny dom jednorodzinny o charakterze willi podmiejskiej z basenem. Powierzchnia nieruchomości 399m2 usytuowana na działce 854m2. Doskonale nadaje się na siedzibę firmy. Przestrzeń i wysoka jakość wykończenia w marmurach i granitach. ROZKŁAD Przyziemiu budynku - powierzchnia 87,90 m2; - salka fitness z zabiegiem do koszykówki /36,6 m2 wysokość 3,99/
- hol
- WC
- garaż dwustanowiskowy z pomieszczeniami gospodarczymi Poziom 0 - powierzchnia 51,40 m2;
- hol wejściowy
- hol wewnętrzny
- gabinet
- pralnia z prasowalnią
- garderoba
- WC
- kotłownia
Parter wysoki - powierzchnia 70,90 m2; - hol
- kuchnia z jadalnią i spiżarką
- pokój muzyczny
- biblioteka
- barek
Półpiętro - powierzchni 75 m2; - salon z kominkiem
- ogród zimowy 63,75 m2
- salonik
Piętro - powierzchnia 52 m2;
- hol
- sypialnia z marmurową łazienką
- garderoba
Poddasze - powierzchnia 61,80 m2; - 3 sypialnie
- łazienka
- czytelnia z biblioteką. DANE TECHNICZNE Nieruchomość wybudowana w latach 1978/1985, rozbudowana i gruntownie zmodernizowana 1998 roku. Stan techniczny do odświeżenia. Ściany zewnętrzne z pustaka ceramicznego plus ocieplenie. Stropy żelbetowe. Dach w konstrukcji drewnianej kryty blachą miedzianą. Rynny i rury spustowe miedziane. Stolarka okienna PCV z podwójnymi szybami, stolarka wewnętrzna mahoń. Witraże w kilku oknach i drzwiach. Futryny wg indywidualnego projektu. Posadzki kamień naturalny granit i marmur, w części pomieszczeń gres, podłogi parkiet mozaika parkietowa.
Schody i drzwi z drewna. Parapety wewnętrzne i zewnętrzne oraz część okładzin ścian w pomieszczeniach reprezentacyjnych z kamienia naturalnego obrabianego z wielkim pietyzmem; granit, marmur, konglomerat. Ogrzewanie gazowe - kocioł dwufunkcyjny \"Buderus\" plus dodatkowo żeliwny kocioł CO \"Lazar\" na węgiel i drewno. w salonie kominek z płaszczem wodnym \"Lechma\" połączony z instalacją CO.
Ogrzewanie podłogowe w łazience, holu wewnętrznym na parterze i w części kuchni oraz grzejniki konwektorowe z regulacją temperatury grzania pomieszczeń na zaborach wlotowych typu Danfoss. MEDIA; -prąd -woda -gaz -kanalizacja -światłowód. Posesja ogrodzona i zagospodarowana. Na ogrodzie znajduje się basen zewnętrzny o wymiarach 7,4 na 3,6 i głębokość 1,15 m. Mur oporowy otaczający basen.
Tarasy obudowane murkami z klinkieru oraz skarpami skalnymi powiększają optycznie przestrzeń i wtapiają się w otaczający dom. Willa została wyposażona w gipsowe płaskorzeźby kolumny pilastry i balustrady, które dodają niepowtarzalnego charakteru nieruchomości. Dom został zbudowany z wielką dbałością o każdy szczegół, jakość wykorzystywanych materiałów detale architektury w domu i ogrodzie tworzą spójną całość. LOKALIZACJA Górski krajobraz urzeka widokiem na pasmo górskie Beskidu Małego i Śląskiego, a przy dobrej pogodzie także Żywieckiego. Zlokalizowany na spokojnym osiedlu domów jednorodzinnych.
Okolica świetnie skomunikowana z resztą miasta jak i z całym regionem. Bielsko-biała to stolica Podbeskidzia, leży na wysokości 300 m npm. piękne miasto rozmieszczone na licznych wzgórzach, otoczone panoramą Beskidów. Przyciąga licznych turystów oraz ludzi pragnących mieszkać tu na stałe.
Bogaty wybór atrakcji aktywnego spędzenia czasu w każdym wieku, oferuje liczne atrakcje kulturalne, turystyczne, zabytki, galerie handlowe, słowem idealna przestrzeń do życia i pracy oraz spędzania wolnego czasu. Miasto usytuowane na pograniczu polsko-czesko-słowackim. Serdecznie zapraszam na prezentację. Rozmawiamy po angielsku,niemiecku i włosku. Zapewniamy pomoc w doborze oraz uzyskaniu najkorzystniejszego kredytu hipotecznego na zakup bądź remont nieruchomości. Powyższe informacje zostały sporządzone na podstawie oświadczeń i nie są ofertą handlowa w rozumieniu przepisów kodeksu cywilnego ART.66KC, mają tylko charakter informacyjny i reklamowy, a zawarte w niej informacje mogą ulec zmianie. Wszystkie teksty, rysunki, zdjęcia oraz wszystkie inne informacje opublikowane na niniejszych stronach podlegają prawom autorskim. Wszelkie kopiowanie,dystrybucja,elektroniczne przetwarzanie oraz przesyłanie zawartości bez zezwolenia zabronione. Wszelkie prawa zastrzeżone. WGN zapewnia rynkowe ceny, bezpieczeństwo korzystnej transakcji oraz pomoc notariusza. Wyróżniamy się pełnym zaangażowaniem, ekspercką wiedzą i najwyższym poziomem usług opartych na ponad 30-letnim doświadczeniu. Stosujemy System Jakości ZJ WGN oraz Kodeks Etyki Zawodowej Polskiej Federacji Rynku Nieruchomości.</t>
  </si>
  <si>
    <t>https://www.otodom.pl/pl/oferta/willa-u-podnoza-beskidow-ID4oFxW</t>
  </si>
  <si>
    <t>4oFxW</t>
  </si>
  <si>
    <t>Duże 2-pokojowe mieszkanie z balkonem na Plantowej</t>
  </si>
  <si>
    <t>ul. Plantowa, Teofilów, Bałuty, Łódź, łódzkie</t>
  </si>
  <si>
    <t>Duże 2-pokojowe mieszkanie po remoncie, rozkładowe, z balkonem, ul. Plantowa 27 w ŁodziGłówne atuty nieruchomości: • cicha i spokojna okolica• bez wykończeń do indywidualnej aranżacji• położenie z dala od głównej jezdniNieruchomość złożona z: • pokój 18,6 m.kw• pokój 11 m.kw• przedpokój 6,3 m.kw• kuchnia zamykana z oknem 6,1 m.kw• łazienka 3,1 m.kw W skład nieruchomości wchodzą też:• balkon• komórka lokatorskaTyp ogrzewania: ogrzewanie miejskie. Typ własności: własność. - Nieruchomość w bloku położonym przy ul. Plantowej 27 w Łodzi, w cichej okolicy, z dogodnym i szybkim dojazdem do centrum (10 minut samochodem)- Położenie na 3 piętrze jest zdecydowanie korzystne dla osób aktywnych, zapewnia ciszę i względnie dobry dostęp.- Budynek po niedawnym remoncie, zarządzany przez sprawnie działającą wspólnotę.- Mieszkanie o powierzchni 45,1 mkw składa się z dwóch pokojów, kuchni, komunikacji oraz łazienki z WC. Okna zlokalizowane najkorzystniej - na wschód i zachód, dodatkowo balkon i okna zachodnie wychodzą na park.- Lokal obecnie jest w trakcie remontu, podana cena dotyczy stanu po remoncie (nowe okna, nowe instalacje, gładzie, a w kuchni, przedpokoju i łazience płytki na podłodze i ścianach, w pokojach panele na podłodze oraz sufity napinane, łazienka wyposażona).- W najbliższej okolicy komunikacja miejska, sklepy, szkoły, apteki, przychodnia, markety, tereny zielone. Dominuje zabudowa wielorodzinna.- Do mieszkania przynależy komórka lokatorska.Zachęcam do kontaktu!Oferta dostępna tylko w Metrohouse. ZADZWOŃ: 883 355 890.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</si>
  <si>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https://www.otodom.pl/pl/oferta/duze-2-pokojowe-mieszkanie-z-balkonem-na-plantowej-ID4nKWO</t>
  </si>
  <si>
    <t>4nKWO</t>
  </si>
  <si>
    <t>Mieszkanie w Szczebrzeszynie</t>
  </si>
  <si>
    <t>Szczebrzeszyn, Szczebrzeszyn, zamojski, lubelskie</t>
  </si>
  <si>
    <t xml:space="preserve">Oferuję do sprzedaży mieszkanie położone w budynku piętrowym w Szczebrzeszynie. Mieszkanie ma powierzchnię 47 m2,    składa się z przestrzeni dziennej, kuchni, łazienki i dwóch pokoi. Do   mieszkania przynależy balkon i piwnica. W przedpokoju znajduje się duża  szafa  wnękowa, w kuchni pełne umeblowanie. Przed budynkiem jest duży  parking.  Wokół przyjemna przestrzeń za oknami. W  pobliżu znajduje się przystanek autobusowy.    Atutem mieszkania  jest bardzo funkcjonalny rozkład, niskie miesięczne  opłaty oraz  lokalizacja.  Zapraszamy do kontaktu.  Bezpieczna transakcja za pośrednictwem Zamojskie Nieruchomości - darmowa pomoc przy uzyskaniu najkorzystniejszego kredytu hipotecznego na rynku- preferencyjne warunki opłat i terminy u Notariusza- pełne bezpieczeństwo kupna i sprzedaży na podstawie polisy OC PZU- kompleksowe wsparcie agenta podczas całego procesu transakcjiZapraszam do kontaktu również w weekend, nie zwlekaj, zadzwoń !Zamojskie Nieruchomości w Zamościu ul. Ormiańska 1 tel. 735 655 969 Emilia Koniec numer licencji (23257)
Aleksandra Buć tel.: 735-655-969
Oferta wysłana z programu dla biur nieruchomości ASARI CRM ()
</t>
  </si>
  <si>
    <t>https://www.otodom.pl/pl/oferta/mieszkanie-w-szczebrzeszynie-ID4o1BZ</t>
  </si>
  <si>
    <t>4o1BZ</t>
  </si>
  <si>
    <t>Dom w Brwilnie - niedaleko Wisły - 9 km do Płocka</t>
  </si>
  <si>
    <t>Brwilno, Stara Biała, płocki, mazowieckie</t>
  </si>
  <si>
    <t>Dom wolnostojący z widokiem na Wisłę
NA SPRZEDAŻ zabudowana nieruchomość budynkiem mieszkalnym jednorodzinnym. Dom parterowy z poddaszem użytkowym, wolnostojący.
Stan surowy otwarty – dla nowego nabywcy pozostawiony wybór stolarki okienno-drzwiowej.
MIEJSCOWOŚĆ: Brwilno gm. Stara Biała, ul. Południowa 16.
Niecałe 9 km do Płocka z bardzo dobrym dojazdem (13 min).
Zaprojektowany z myślą o tych, którzy lubią duże i otwarte przestrzenie we wnętrzach oraz zaciszne miejsce do odpoczynku w ogrodzie i wydzieloną strefą prywatną.
Dom o powierzchni użytkowej:
200 mkw PARTER
salon, 3 sypialnie, patio z dużym tarasem, przestronna łazienka i oddzielnie WC z ogrzewaniem podłogowym, korytarz, pomieszczenie gospodarcze.
160 mkw PODDASZE
jedna duża przestrzeń do zaaranżowania i adaptacji, dodatkowo łazienka, WC, 2 balkony z pięknym widokiem na Wisłę.
Dostępny garaż w bryle budynku o powierzchni 25 mkw. Wejście dodatkowo z wnętrza domu.
Działka prostokątna o powierzchni 1921 mkw, ogrodzona i częściowo zagospodarowana. Porośnięta tujami, ponadto znajdują się okazałe świerki i wierzby ozdobne.
Nieruchomość objęta miejscowym planem zagospodarowania przestrzennego (uchwała nr 188/XXVI/06), oznaczona jako R2 – tereny rolne z istniejącą zabudową bez prawa lokalizacji nowej zabudowy.
Wykonana wewnątrz domu instalacja elektryczna, hydrauliczna, grzewcza.
MEDIA:
– prąd
– wodociąg
– szambo techniczne
– kanalizacja w drodze
Nieruchomość konstruowana z dbałością o najdrobniejsze szczegóły.
Cena ofertowa 549 000 zł.
UWAGA! Kupujący NIE PONOSI dodatkowych kosztów z tytułu prowizji.
SPECYFIKACJA TECHNICZNA:
rok budowy: koniec lat 90-tych
nr. ewid. 109/1
zbudowany z pustaka
ocieplenie styropianowe 2 x 5 cm
wykonane całkowicie tynki
dach pokryty gontem
fundament ocieplony i izolowany
Zapraszamy do kontaktu.</t>
  </si>
  <si>
    <t>https://www.otodom.pl/pl/oferta/dom-w-brwilnie-niedaleko-wisly-9-km-do-plocka-ID4oAPN</t>
  </si>
  <si>
    <t>4oAPN</t>
  </si>
  <si>
    <t>Mieszkanie w bloku wraz z dużą działka ogrodniczą.</t>
  </si>
  <si>
    <t>Bladowo, Tuchola, tucholski, kujawsko-pomorskie</t>
  </si>
  <si>
    <t xml:space="preserve">| Oferuję ciekawe mieszkanie na wsi ,  położonej  6 km od  Tucholi . Mieszkanie  o powierzchni 50 m2 usytuowane jest w bloku na 2 piętrze.Mieszkanie składa się :- dwóch pokoi - dużej kuchni- przedpokoju- łazienki z WCKuchnia jest umeblowana i wyposażona w sprzęt AGD .Łazienka wraz z WC ma duży prysznic .Do każdego pomieszczenia wchodzi się z dużego przedpokoju .Drzwi i okna PCV zostały wymienione  jak również podłogi ( panele ) Do mieszkania przynależy  duża piwnica 21 m2 oraz pomieszczenie gospodarcze. Pomieszczenie gospodarcze można przystosować na garaż .W cenie mieszkania jest również działka ogrodnicza o powierzchni 0,0532 ha , która jest dużym atutem .Mieszkanie ogrzewa się piecem znajdującym się w piwnicy , który jest  na ekogroszek .Mieszkanie jest własnościowe bez dodatkowego czynszu.Polecam to mieszkanie jeśli lubisz wieś , ciszę  .Danuta Kozaktel. 502 033 691Agent nieruchomości Emka Nieruchomości ::LINK DO STRONY | s://virgo.galapp.net/Moduly/Virgo/virOfertaDrukuj.aspx?numid=6418987&amp;id=48DC9432B8Pośrednik odpowiedzialny zawodowo za wykonanie umowy pośrednictwa: Tomasz Niewiński  (licencja nr: 22179) | </t>
  </si>
  <si>
    <t>https://www.otodom.pl/pl/oferta/mieszkanie-w-bloku-wraz-z-duza-dzialka-ogrodnicza-ID4gMBM</t>
  </si>
  <si>
    <t>4gMBM</t>
  </si>
  <si>
    <t>Mieszkanie po generalnym remoncie, 3 pokoje,balkon</t>
  </si>
  <si>
    <t>Piława Górna, dzierżoniowski, dolnośląskie</t>
  </si>
  <si>
    <t>Dzień dobry.
Na sprzedaż mieszkanie na 1 piętrze w centrum Piławy Górnej o pow. 57.15m2.
W skład mieszkania wchodzą:
-3 pokoje
-aneks kuchenny
-łazienka
Mieszkanie posiada balkon.
Mieszkanie po kapitalnym remoncie .Wymieniono wszystkie instalacje.
Ogrzewanie gazowe kocioł kondensacyjny nowy jak i grzejniki.
Możliwość wykonania niezależnego wejścia od strony balkonu. Jest już przygotowana niezbędna dokumentacja i projekt.
Zapraszamy serdecznie na bezpłatne prezentacje.
Oferujemy pomoc we wszelkich formalnościach. Jesteśmy z Państwem od samego początku do końca. Jesteśmy jednocześnie ekspertami finansowymi, dlatego w jednym miejscu sprawdzisz także swoją zdolność i oferty kredytowania z 15 banków! Nie przekazujemy spraw do kogoś z zewnątrz. Sami posiadamy wszelkie uprawnienia bankowe. Zapraszamy do kontaktu
Powyższa oferta ma charakter informacyjny i nie stanowi oferty w rozumieniu art.66 §1 kodeksu cywilnego oraz innych właściwych przepisów prawnych.</t>
  </si>
  <si>
    <t>https://www.otodom.pl/pl/oferta/mieszkanie-po-generalnym-remoncie-3-pokoje-balkon-ID4lxLz</t>
  </si>
  <si>
    <t>4lxLz</t>
  </si>
  <si>
    <t>Mieszkanie nr 12 - 1 piętro - 59,01 m2 - 3 pokoje</t>
  </si>
  <si>
    <t>GIŻYCKO UL. KONARSKIEGO 22 - NOWE MIESZKANIA W SPRZEDAŻY 
Lokal mieszkalny nr 12 położony na 1 piętrze o pow. 59,01 m2, 3 pokoje z aneksem kuchennym, łazienka, przedpokój oraz balkon. Istnieje możliwość nabycia miejsca postojowego (ilość ograniczona) w garażu podziemnym w cenie 35.000,00 zł. Cena mieszkania nie obejmuje ceny miejsca postojowego. Miejsce postojowe nie jest obowiązkowe.
 Standard wykończenia mieszkań:
·         wysokość mieszkań do 2,65 m;
·         stolarka okienna PCV 3-szybowa firmy „JOCZ” z nawiewnikami;
·         drzwi o podwyższonej izolacyjności akustycznej i antywłamaniowe;
·         posadzka w mieszkaniu w postaci szlichty cementowej;
·         posadzka na balkonie - j.w.;
·         tynki gipsowe;
·         instalacja elektryczna z gniazdami i włącznikami;
·         trójfazowe podejście do kuchni elektrycznej;
·         instalacja telewizyjna;
·         instalacja internetowa;
·         instalacja domofonowa;
·         instalacja wodno-kanalizacyjna;
·         instalacja centralnego ogrzewania - grzejniki płytowe w pokojach i grzejnik drabinkowym w łazience;
·         wentylacja hybrydowa;
·         winda cichobieżna;
·         wszystkie media opomiarowane licznikami do każdego mieszkania.
Budynek w nowoczesnej architekturze i o nieszablonowej bryle z 49 mieszkaniami i 1 lokalem usługowym na 6 kondygnacjach nadziemnych (parter + 5 pięter) oraz z 35 miejscami postojowymi w garażu podziemnym w ramach kondygnacji podziemnej. Wykonany z bardzo dobrych materiałów oraz zgodnie ze sztuką budowlaną, o co zadbał Inwestor Przedsiębiorstwo Handlowe M6 Jarosław Sulewski z siedzibą w Giżycku.  Zlokalizowany w centrum administracyjnym miasta, a jednocześnie zaledwie 700 m od plaży miejskiej przy jeziorze Niegocin (szlak Wielkich Jezior Mazurskich) i z drugiej strony 1.500 m od jeziora Kisajno (szlak Wielkich Jezior Mazurskich). Zamiast słów, lepiej niech przemówią zdjęcia z lotu ptaka, które przedstawiają w realu przedmiotowy obiekt oraz jego usytuowanie względem jezior, instytucji publicznych, jak też pozostałej części miasta. Perełka. Kupujesz mieszkanie Tu i Teraz, które możesz obejrzeć i ocenić. Zapraszamy.</t>
  </si>
  <si>
    <t>https://www.otodom.pl/pl/oferta/mieszkanie-nr-12-1-pietro-59-01-m2-3-pokoje-ID4gnpV</t>
  </si>
  <si>
    <t>4gnpV</t>
  </si>
  <si>
    <t>M-3/4 Centrum-ok. W.Młyńskiej-80,81m2-IIp-449000zł</t>
  </si>
  <si>
    <t>Stare Miasto, Bydgoszcz, kujawsko-pomorskie</t>
  </si>
  <si>
    <t>Kontakt:504531227. Mieszkanie położone w pięknej kamienicy na III p. z widokiem na Wyspę Młyńską. Dwustronne z balkonem, od północy Wełniany Rynek -południe na Wyspę Młyńską. Na powierzchnię lokalu 80,81 m2 składają się obecnie: 2 pokoje , kuchnia , przedpokój, dwie łazienki w tym jedna z WC oraz dodatkowe osobne WC. Przy odpowiedniej aranżacji można z łatwością rozplanować układ pomieszczeń tworząc 2 oddzielne sypialnie, salon z aneksem kuchennym i balkonem, łazienkę z WC i garderobę. Ogrzewanie gazowe. Mieszkanie obecnie bezczynszowe ( powstaje wspólnota mieszkaniowa). Przy zakupie wydzielona zostanie dla lokalu osobna księga wieczysta a wraz z lokalem nabywa się udział w nieruchomości i gruncie. Lokalizacja idealna zarówno na cele mieszkaniowe jak i lokal komercyjny- centrum miasta, bliskie sąsiedztwo Starego Rynku, Urzędu Miasta, Sądu, Prokuratury, Opery Nova i Wyspy Młyńskiej. W bliskiej odległości parkingi miejskie przy Urzędzie Miasta, Sądzie oraz na terenie Kwadratu. Oferta na wyłączność . Licencja 6106.</t>
  </si>
  <si>
    <t>https://www.otodom.pl/pl/oferta/m-3-4-centrum-ok-w-mlynskiej-80-81m2-iip-449000zl-ID4m2gi</t>
  </si>
  <si>
    <t>4m2gi</t>
  </si>
  <si>
    <t>Mieszkanie Tychy osiedle W</t>
  </si>
  <si>
    <t>Tychy, śląskie</t>
  </si>
  <si>
    <t xml:space="preserve">Na sprzedaż mieszkanie jednopokojowe o powierzchni 41,70 m2 usytuowane na 11 piętrze w 11 bloku w Tychach osiedle W.
Układ pomieszczeń:
- salon z aneksem kuchennym z wyjściem na dwa balkony
- łazienka 
- WC
- wydzielona część sypialniana
- pomieszczenie gospodarcze
Standard wykończenia:
W mieszkaniu na podłogach kafle oraz panele. Na ścianach tapeta oraz kamień dekoracyjny.
Okna plastikowe PCV. Ogrzewanie i woda ciepła miejska . Do mieszkania przynależy piwnica. Budynek ocieplony po termomodernizacji. Mieszkanie w zasobach spółdzielnie mieszkaniowej Weronika.
Czynsz: 430 ZŁ na 1 osobę bez zaliczek na wodę 
Lokalizacja:
Bardzo dobra lokalizacja bliskość lasu i infrastruktury miejskiej stwarza korzystne warunki do codziennego życia.
Zalety:
- niskie koszty utrzymania
- dobra lokalizacja ( blisko las, przystanek miejski, szkoła podstawowa, jezioro         Paprocany, Aqua park)
- niskie koszty utrzymania 
- mieszkanie do wprowadzenia
- brak gazu 
- mieszkanie dostępne od zaraz  
- piękny widok na las 
 ::DODATKOWE INFORMACJE Rodzaj budynku: wieżowiecWinda: TAKOpłaty w czynszu: woda ciepła, administracja, wywóz śmieci, wodaOpłaty wg liczników: prąd, wodaPiwnica: TAKStan lokalu: Do wprowadzeniaBalkon: jestLiczba pokoi: 1Typ kuchni: aneks kuchenny - połączony z salonemRodzaj kuchni: z zabudową kuchennąTyp łazienki: bez wcLiczba WC: 1
::LINK DO STRONY 
::KONTAKT DO AGENTA Monika Nazim733877555
::DANE BIURA Biuro Nieruchomości MAXAleja Jana Pawła II 28/2043-100 Tychy570-808-555
Pośrednik odpowiedzialny zawodowo za wykonanie umowy pośrednictwa: Monika Nazim (licencja nr: 24482)
-
Powyższy opis ma charakter informacyjny i nie stanowi oferty w rozumienia przepisów Kodeksu Cywilnego.
</t>
  </si>
  <si>
    <t>https://www.otodom.pl/pl/oferta/mieszkanie-tychy-osiedle-w-ID4lVAV</t>
  </si>
  <si>
    <t>4lVAV</t>
  </si>
  <si>
    <t>Mieszkanie w NOwym na Swoim</t>
  </si>
  <si>
    <t>ul. Stanisława Moniuszki, Kościerzyna, kościerski, pomorskie</t>
  </si>
  <si>
    <t>Mieszkanie dwupokojowe o idelanej funkcji mieszkalnej: Salon z aneksem kuchennym, sypialnia, łazienka i balkon. Winda w budynku, wysoki standard deweloperski części wspólnych. Hala garazowa podziemna. Videodomofon.  Odpłatność ratalna w trakcie realizacji inwestycji. Bliskie sąsiedztwo lasu i reakreacji. Niski czynsz, ogrzewanie miejskie,  liczniki, opamiorowanie indywidualne.  Zapraszamy na spotkanie w biurze sprzedazy. </t>
  </si>
  <si>
    <t>https://www.otodom.pl/pl/oferta/mieszkanie-w-nowym-na-swoim-ID4jFM9</t>
  </si>
  <si>
    <t>4jFM9</t>
  </si>
  <si>
    <t>Mieszkanie w atrakcyjnym miejscu</t>
  </si>
  <si>
    <t>ul. Kościuszki, Pelplin, Pelplin, tczewski, pomorskie</t>
  </si>
  <si>
    <t>Przedmiotem oferty jest sprzedaż mieszkania o powierzchni użytkowej 42,94 m2 - powierzchni całkowitej 56,68 m2, mieszczącego się w budynku wielorodzinnym, przy ulicy Kościuszki w miejscowości Pelplin.Dom wybudowany z 2 x cegły, dach pokryty papą.Lokal posiada piwnicę, komórkę lokatorską w budynku oraz pomieszczenie gospodarcze na terenie posesji.Nieruchomość została przygotowana do przeprowadzenia własnej aranżacji.Mieszkanie składa się z 2 pokoi oraz kolejnego pomieszczenia, w którym powinna znajdować się łazienka oraz kuchnia. Tynki na ścianach zostały skute do cegły.Mieszkanie jest bardzo przestronne, dobrze doświetlone, daje dużo możliwości aranżacyjnych.Cała nieruchomość stanowi świetną propozycję dla rodziny jak również pod prowadzenie działalności.Nieruchomość bardzo dobrze zlokalizowana, znajduje się spokojnym punkcie miasta, w sąsiedztwie zabudowa domów jednorodzinnych, szkoła, przedszkole, kościół, punkty usługowo-handlowe. Idealne miejsce dla osób poszukujących spokojnego miejsca, ale również komfortu bliskości miasta.Nie pobieramy prowizji od Kupującego, płacisz tylko właścicielowi nieruchomości uzgodnioną z nim cenę, bez żadnych dodatkowych opłat. Oferujemy bezpłatną pomoc w uzyskaniu kredytu hipotecznego na zakup nieruchomości. Dobór do indywidualnych potrzeb klienta.Zapraszamy do obejrzenia nieruchomości.Więcej informacji pod numerem telefonu 788 897 897.*Zamieszczona oferta nie stanowi oferty w rozumieniu Kodeksu Cywilnego, a dane w niej zawarte mają jedynie charakter informacyjny.Oferta wysłana z programu dla biur nieruchomości ASARI CRM ()</t>
  </si>
  <si>
    <t>https://www.otodom.pl/pl/oferta/mieszkanie-w-atrakcyjnym-miejscu-ID4eg67</t>
  </si>
  <si>
    <t>4eg67</t>
  </si>
  <si>
    <t>Mieszkanie ok.63m2 gotowe do zamieszkania</t>
  </si>
  <si>
    <t>Przedstawiam do sprzedaży mieszkanie o pow . 63 m 2 usytuowane na drugim piętrze zlokalizowane w Grodzisku Mazowieckim Mieszkanie składa się z ; - Przestronny salon z wyjściem na balkon - Sypialnia - Łazienka z wc - Pomieszczenie gospodarcze Znakomita lokalizacja umożliwi państwu bliskość do PKP , Centrum Handlowego , Szkół , Parków .Serdecznie Zapraszam Na Prezentację Treść niniejszego ogłoszenia nie stanowi oferty handlowej w rozumieniu Kodeksu Cywilnego.</t>
  </si>
  <si>
    <t>https://www.otodom.pl/pl/oferta/mieszkanie-ok-63m2-gotowe-do-zamieszkania-ID4htyp</t>
  </si>
  <si>
    <t>4htyp</t>
  </si>
  <si>
    <t>Mieszkanie w centrum! Okazyjna cena!</t>
  </si>
  <si>
    <t>ul. Ignacego Paderewskiego, Śródmieście, Kielce, świętokrzyskie</t>
  </si>
  <si>
    <t>Biuro Nieruchomości Golden House prezentuje:TRZY POKOJE W ŚWIETNEJ LOKALIZACJI!Idealna opcja zarówno "na start" jak i pod inwestycję na wynajem!Na sprzedaż mieszkanie o powierzchni 69 m2 zlokalizowane przyul. Paderewskiego w ścisłym centrum. Usytuowane jest na 4 piętrze w 4-piętrowym bloku. Do mieszkania przynależy piwnica. Wejście do klatki schodowej zabezpieczone jest domofonem.  Mieszkanie jest jasne, przestronne - możliwość pozostawienia w obecnym stanie np. pod wynajem lub do zamieszkania z rodziną. Przestrzeń można zaaranżować na swój sposób.Do dyspozycji parking ze szlabanem na pilota.Na powierzchnię 69 m2 składają się:- pokój dzienny/salon,- pokój/sypialnia,- pokój/sypialnia,- widna kuchnia,- łazienka ,- WC,- przedpokój z osobnymi wejściami do wszystkich pomieszczeń.Średnia wysokość czynszu: 550 złW pobliżu znajdują się liczne punkty usługowe, sklepy, restauracje, piekarnia, poczta, plac zabaw, przystanki komunikacji miejskiej, deptak Sienkiewicza, Park Miejski, Dolina Silnicy. Cicha i spokojna okolica.Biuro nieruchomości Golden House oferuje swoim klientom również wybór najlepszej i najtańszej oferty kredytowej na rynku oraz usługi z zakresu projektowania wnętrz.Cena: 440 000 zł Zapraszam do kontaktuDominik Urbański660 872 147</t>
  </si>
  <si>
    <t>https://www.otodom.pl/pl/oferta/mieszkanie-w-centrum-okazyjna-cena-ID4jmqk</t>
  </si>
  <si>
    <t>4jmqk</t>
  </si>
  <si>
    <t>Mieszkanie w domu dwulokalowym w Raciborzu</t>
  </si>
  <si>
    <t>ul. Szczęśliwa, Racibórz, raciborski, śląskie</t>
  </si>
  <si>
    <t>Do sprzedaży mieszkanie o pow. 117,8 m² na I piętrze dwurodzinnego budynku zlokalizowanego w zielonym centrum Raciborza. Mieszkanie składa się z 4 dużych pokoi, z wejściem z dużego przedpokoju, kuchni oraz małego pokoju z wejściem od kuchni (dawna służbówka) i łazienki; posiada także balkon. Mieszkanie jest podłączone do sieci ciepłowniczej.
Położenie domu w spokojnej zielonej pięknej dzielnicy. W pobliżu znajdują się 3 szkoły podstawowe liceum ogólnokształcące, żłobek, przedszkole, przychodnie lekarskie, stadion sportowy, kościół, sklepy oraz centra handlowe. Miejsce jest dobrze skomunikowane z pozostałą częścią miasta.</t>
  </si>
  <si>
    <t>https://www.otodom.pl/pl/oferta/mieszkanie-w-domu-dwulokalowym-w-raciborzu-ID4jlIg</t>
  </si>
  <si>
    <t>4jlIg</t>
  </si>
  <si>
    <t>Piękne dwupoziomowe - Strzeszyn ul. Tadeusza Mikke</t>
  </si>
  <si>
    <t>Zapraszam do zapoznania się z ofertą sprzedaży pięknego dwupoziomowego mieszkania położonego na poznańskim Strzeszynie przy ul. Tadeusza Mikke.Strzeszyn to spokojna okolica domów jednorodzinnych oraz budynków 3-4 kondygnacyjnych położona w północno - zachodnim obszarze miasta z bardzo dobrym dostępem do terenów rekreacyjnychNa osiedlu pełna infrastruktura tj. szkoła, przedszkola, żłobki, poczta, sklepy wielkopowierzchniowe jak i mniejsze lokalne firmy, komunikacja miejska.Osiedle oferuje: nowoczesny design, plac zabaw, przestronne windy.Mieszkanie położone na 3 i 4 piętrze i  ma łączną powierzchnię mieszkalną 100 m2, na którą składają się:Poziom1:salon (24,7 m2) z wyjściem na balkon typu loggia o powierzchni (3,0 m2), sypialnia (9,4 m2), oddzielna - jasna kuchnia (8,5 m2), łazienka z wc (3,5 m2) oraz korytarz (6,4 m2).Poziom 2:korytarz (9,1 m2), 3 sypialnie (12,7 m2, 10,9 m2, 10,7 m2), łazienka z wc (3,8 m2).Mieszkanie gotowe do zamieszkania bez dodatkowych nakładów.Gustownie wykończone i wyposażone, wykończone z materiałów wysokiej jakości, rozkładowe o bardzo funkcjonalnym układzie, każdy pokój posiada jednostkę klimatyzacji.W salonie zabudowa.Kuchnia w stałej zabudowie wyposażona we wszystkie sprzęty AGD (lodówka, piekarnik, płyta indukcyjna, pochłaniacz).Dwie przestronne łazienki, w jednej prysznic, w drugiej wanna.Korytarz na piętrze w zabudowie.W cenie mieszkania miejsce postojowe w hali podziemnej (12,50 m2) oraz komórka lokatorska (5,50 m2)Istnieje możliwość zakupu samego mieszkania - miejsce w hali i komórka lokatorska na osobnej księdze wieczystej.Koszty utrzymania nieruchomości:*opłaty za mieszkanie: 893,16 PLN - 5 osób*opłaty za miejsce postojowe: 86,00 PLN*opłaty za komórkę lokatorską: 21,50 PLNForma własności: pełna własnośćZapraszam do zapoznania się z ofertą.Kontakt: Bożena Sołtantel. 793 190 981e-mail: bożOdpowiedzialność zawodowa licencja nr 16522.Właścicielem ogłoszenia wraz z jego elementami jest BON Winogrady S.C.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BON Winogrady S.C. jest zabronione i może stanowić podstawę odpowiedzialności cywilnej oraz karnej.Ponadto niniejsze materiały stanowią tajemnicę przedsiębiorstwa BON Winogrady S.C. w rozumieniu ustawy z dnia 16 kwietnia 1993 r. o zwalczaniu nieuczciwej konkurencji (Dz. U. z 2003 r., Nr 153, poz. 1503 z późn. zm.).Powyższy opis ma charakter informacyjny i nie stanowi oferty w rozumieniu przepisów Kodeksu Cywilnego.</t>
  </si>
  <si>
    <t>https://www.otodom.pl/pl/oferta/piekne-dwupoziomowe-strzeszyn-ul-tadeusza-mikke-ID4ooAF</t>
  </si>
  <si>
    <t>4ooAF</t>
  </si>
  <si>
    <t>Mieszkanie z poddaszem + domek Świetna Lokalizacja</t>
  </si>
  <si>
    <t>Sikornik, Gliwice, śląskie</t>
  </si>
  <si>
    <t>Kupujący nie płaci prowizji!!Przedstawiam dwupoziomowe, bezczynszowe mieszkanie na sprzedaż. Znajduje się ono w doskonałej lokalizacji w Gliwicach, na osiedlu Sikornik. Mieszkanie ma powierzchnię 74,23m². Składa się z:4 pokoi;2 łazienek;w pełni wyposażonej kuchni otwartej na salon i przedpokoju;Nieruchomość posiada klimatyzację w pokoju oraz klimatyzator na poddaszu. Znajduje się na drugim piętrze ocieplonego domu.W 2020 roku przeszło gruntowny remont.Lokal jest ogrzewany gazem (dwufunkcyjny piec z zamkniętą komorą spalania), gdzie średni miesięczny koszt w sezonie 2022/2023 to 250 zł.W mieszkaniu nie ma comiesięcznych opłat czynszowych, jest jedynie roczny podatek od nieruchomości w wysokości ok 330 zł/rok plus opłaty za media. Do mieszkania przynależy domek  o powierzchni 32 m². Stoi on w ogrodzie na betonowym fundamencie. W jego skład wchodzi: umeblowana i widna kuchnia (8m²),przeszklony salon (12m²) zadaszony taras (12m²).Nieruchomość położona jest na obrzeżach ścisłego centrum Gliwic. W zaledwie kilka minut przejdziemy piechotą do Rynku (1,5km). W okolicy znajdziemy: punkty handlowo-usługowe, restauracje, palmiarnię, jezioro i kąpielisko, tereny zielone, żłobek, przedszkole, szkoły, biblioteka, komunikacja miejska. Szybki dojazd do węzła Sośnica - 5km. O bezpieczeństwo dba :domofonautomatyczna brama na pilotaokna i rolety antywłamaniowe.Nieruchomość jest wyposażona w Internet światłowodowyDo mieszkania przynależy piwnica ok 20m². Możliwość parkowania na posesji, jak i w zatoczkach przy willi. Niniejsze ogłoszenie ma charakter informacyjny i nie stanowi oferty handlowej w rozumieniu art. 66 §1 Kodeksu Cywilnego.</t>
  </si>
  <si>
    <t>https://www.otodom.pl/pl/oferta/mieszkanie-z-poddaszem-domek-swietna-lokalizacja-ID4nhog</t>
  </si>
  <si>
    <t>4nhog</t>
  </si>
  <si>
    <t>2 pokoje - 55,5 m2 w stanie deweloperskim Retkinia</t>
  </si>
  <si>
    <t>Lublinek, Polesie, Łódź, łódzkie</t>
  </si>
  <si>
    <t>Na sprzedaż mieszkanie 2 pokojowe na 1 piętrze w nowoczesnym 4 piętrowym budynku na Polesiu w stanie deweloperskim. Wszechobecna zieleń, wygodny dojazd do centrum oraz bliskość wszelkich przydatnych punktów handlowo-usługowych, edukacyjnych i ochrony zdrowia to zalety tej inwestycji.Co najważniejsze?➤ Wygodne 2 pokoje o powierzchni 55,41 m2,➤ 1 piętro,➤ duży balkon ,➤ miejsce postojowe w hali garażowej 40 000 tyś,➤ centralne ogrzewanie,➤ winda,➤ Łódzkie Metro 2023 z cichobieżna ŁKA ,➤ Bezpłatnie pomożemy Ci znaleźć kredyt,➤ Zadzwoń dowiedz się reszty! 500-513-962LOKALIZACJA:✔ Do Centrum; 7 km✔ Do trasy S14; 5 km✔ Do drogi krajowej 91; 4,5 kmW POBLIŻU:★ Przystanek autobusowy - 250 m,★ Biedronka - 600 m,★ CH Retkinia - 300 m,★ Przedszkole - 600 m,★ Szkoła Podstawowa - 800 m,★ Uroczysko Lublinek - 2,5 km,★ Port Lotniczy - 1,7 km,★ stacja kolejowa Łódź Retkinia - 200 km,★ pełna infrastruktura handlowo-usługowaZdjęcia stanowią wizualizacjęA wiesz, że to tylko jedno z ponad 1 000 mieszkań z rynku, które mamy w ofercie? Zamiast przeglądać kolejne ogłoszenia, zadzwoń:Urbańska MagdalenaUbuntu-nieruchomościTel. 500-513-962W razie potrzeby nasi doradcy pomogą Państwu w wyborze i uzyskaniu najtańszego kredytu na rynku. Pomagamy również w uzyskaniu kredytu gotówkowego na remont.Współpracujemy z godnymi polecenia firmami remontowo-budowlanymi.Nie czekaj, skontaktuj się z nami i umów się na spotkanie oraz prezentację nieruchomości.</t>
  </si>
  <si>
    <t>https://www.otodom.pl/pl/oferta/2-pokoje-55-5-m2-w-stanie-deweloperskim-retkinia-ID4oBdN</t>
  </si>
  <si>
    <t>4oBdN</t>
  </si>
  <si>
    <t>2 pokoje + balkon Mieszkanie bezczynszowe ! bezPCC</t>
  </si>
  <si>
    <t>https://www.otodom.pl/pl/oferta/2-pokoje-balkon-mieszkanie-bezczynszowe-bezpcc-ID4oxmL</t>
  </si>
  <si>
    <t>4oxmL</t>
  </si>
  <si>
    <t>BEZPOŚREDNIO, Bliźniak nowoczesny, duży ogród 560</t>
  </si>
  <si>
    <t>ul. Aleja Fryderyka Chopina, Łomianki Dolne, Łomianki, warszawski zachodni, mazowieckie</t>
  </si>
  <si>
    <t xml:space="preserve">Dom (zabudowa bliźniacza) idealny dla rodziny, z zadbanym ogrodem, wysokie pomieszczenia 3 m,  nowoczesne, jasne i przestronne wnętrze, garaż + 2 miejsca postojowe na posesji, dwa tarasy.
Gotowy do zamieszkania, dostępny od zaraz.
ATUTY:
Idealna lokalizacja (bliskość Warszawy + rozbudowana infrastruktura na miejscu).
Dom w idealnym stanie z pięknym ogrodem, gwarantującym prywatność.
Idealny rozkład pomieszczeń.
STREFA DZIENNA / GOŚCINNA:
parter: 
nowocześnie urządzona kuchnia, 
wygodna jadalnia,
przestronny salon z wyjściem na duży drewniany taras i ogród,
WC,
wysokie pomieszczenia 3 m, lustra na ścianach i duże okna dają wrażenie jeszcze większej przestrzeni.
pomieszczenie gospodarcze
garaż.
STREFA PRYWATNA:
piętro: 
4 pokoje (obecnie są to sypialnia, gabinet, 2 x pokój dzieci), 
łazienka przy sypialni głównej,
mała garderoba przy sypialni głównej,
w jednej z łazienek znajduje się oryginalna wanna z prysznicem i hydromasażem marki Jacuzzi,
taras.
W pokojach i na korytarzu na podłogach wysokiej jakości panele drewniane.
Wszystkie drzwi wewnętrzne drewniane robione na zamówienie.
W całym domu rozprowadzone są instalacje: alarmowa i centralnego odkurzacza.
Do domu doprowadzony jest światłowód i kanalizacja miejska.
Na terenie posesji znajduje się studnia głębinowa.
Na piętrze znajduje się taras, który można przekształcić w ogród zimowy lub dodatkowy pokój.
OKOLICA
Kameralna lokalizacja w podwarszawskich Łomiankach.
Blisko szkoły, przedszkola i żłobki.
W niedalekiej odległości od domu znajdują się Jezioro Kiełpińskie i Dziekanowskie oraz Kampinoski Park Narodowy. 
W Łomiankach pełna infrastruktura:, przychodnie, szkoły, przedszkola, restauracje, basen kryty, fitness klubu, korty tenisowe, kompleks boisk Orlik, lokalny bazarek, centrum handlowe Auchan.
Jednak największym atutem usytuowania tej nieruchomości jest wyjątkowo spokojna okolica idealna dla ludzi szukających odpoczynku i prywatności.
</t>
  </si>
  <si>
    <t>https://www.otodom.pl/pl/oferta/bezposrednio-blizniak-nowoczesny-duzy-ogrod-560-ID4nNja</t>
  </si>
  <si>
    <t>4nNja</t>
  </si>
  <si>
    <t>3/4 pok. | 5min od Rosta| 10min od Sfery</t>
  </si>
  <si>
    <t>ul. Zagrody, Hałcnów, Bielsko-Biała, śląskie</t>
  </si>
  <si>
    <t>PROMOCJA CENOWA TYLKO DLA 2 MIESZKAŃWYŁĄCZNIE U NAS - NOWA zabudowa bliźniacza, Na sprzedaż mieszkanie 3/4 pokojowe II poziomowe na I piętrze o pow. 79,20m2 [ I piętro 46,2m2 + II poziom 33m2]WYMAGANY WKŁAD WŁASNY W WYSOKOŚCI 30%. WAŻNE:Dodatkowo miejsca postojowe (+ 10tyś, zł)  lub garaż (+30tyś. zł)BEZCZYNSZOWE oraz BRAK PODATKU PCC  Termin realizacji przełom II / III kwartał 2024r. Dodatkowo z budynku mamy PIĘKNE WIDOKI NA PASMO GÓRSKIE Beskidu Małego.LOKALIZACJA:- Domy wybudowane na działce z prostym dojazdem do centrum Bielska-Białej (zaledwie 5km od centrum).- Zlokalizowany w spokojnej i zielonej okolicy jednakże bardzo blisko centrum Hałcnowa.- Świeży asfalt, kanalizacja oraz ŚWIATŁOWÓDROZKŁAD BUDYNKU: I PIĘTRO - Salon z aneksem kuchennym i jadalnią- Sypialnia- łazienkaII PIĘTRO- Duża przestrzeń 33m2 do adaptacji na 1 lub 2 pokoje,STAN NIERUCHOMOŚCI - developerski:- Ściany zewnętrzne: wykonane z betonowych bloczków komórkowych i położone na płycie fundamentowej.- Nowoczesne ogrzewanie podłogowe- Blacha trapezowa bardzo trwała konstrukcja (świetna pod fotowoltaikę)- Taras + kostka brukowa wokół budynku!NIE ZWLEKAJ, BO OFERTA JEST WYJĄTKOWA.Zapraszamy na prezentację.OFERUJEMY BEZPŁATNĄ POMOC W UZYSKANIU KREDYTU HIPOTECZNEGO.UMÓW SIĘ Z NASZYM DORADCĄ JUŻ DZIŚ! KLIKNIJ TUTAJNota prawna:Opis oferty zawarty na stronie internetowej sporządzony jest na podstawie oględzinnieruchomości oraz informacji uzyskanych od właściciela, może podlegać aktualizacji i niestanowi oferty określonej w art. 66 i następnych K.C.1. USŁUGA POŚREDNICTWA JEST USŁUGĄ ODPŁATNĄ. (Art. 179b. Ustawy o Gospodarce Nieruchomościami "Pośrednictwo w obrocie nieruchomościami polega na odpłatnym wykonywaniu czynności zmierzających do zawarcia przez inne osoby umów:1)nabycia lub zbycia praw do nieruchomości;2)nabycia lub zbycia spółdzielczego własnościowego prawa do lokalu;3)najmu lub dzierżawy nieruchomości lub ich części;4)innych niż określone w pkt 1-3, których przedmiotem są prawa do nieruchomości lub ich części."2. ZA OBEJRZENIE DANEJ NIERUCHOMOŚCI BIURO NIE POBIERA ŻADNYCH OPŁAT, wymagane jednak jest zawarcie umowy pośrednictwa i określenie wynagrodzenia biura w razie dojścia do transakcji</t>
  </si>
  <si>
    <t>https://www.otodom.pl/pl/oferta/3-4-pok-5min-od-rosta-10min-od-sfery-ID4oJfH</t>
  </si>
  <si>
    <t>4oJfH</t>
  </si>
  <si>
    <t>Świetne do mieszkania jak i na inwestycję</t>
  </si>
  <si>
    <t>ul. Górska, Sielce, Mokotów, Warszawa, mazowieckie</t>
  </si>
  <si>
    <t xml:space="preserve">Sprzedam piękne, wysokie i widne dwupokojowe mieszkanie, z możliwością przearanżowania na trzy pokoje, przy ul. Górskiej na Dolnym Mokotowie. Znajduje się na pierwszym piętrze w 3 piętrowej kamienicy z 1955 r. Mieszkanie jest dwustronne, okna wychodzą na północ i południe. Składa się z salonu z balkonem, sypialni, dużej kuchni z oknem, łazienki z prysznicem, przedpokoju i holu. Do mieszkania przynależy piwnica. Parking publiczny, na ulicy. Zlokalizowane bardzo blisko Centrum, w pięknej zielonej okolicy, w pobliżu parków. Łazienki Królewskie (5 min spacerem), Morskie Oko (3 min), Park Sielecki (5 min). Doskonały dojazd do Centrum, liczne linie autobusowe (ok 3 min spacerem) w budowie linia tramwajowa, która dodatkowo ułatwi komunikację. W pobliżu wszystko co potrzebne: sklepy, poczta, szkoła podstawowa, dwa renomowane licea, przedszkola, szpital, apteka, knajpki. Jednocześnie okolica jest cicha, bezpieczna i pełna zieleni. Budynek z cegły bez windy, został docieplony, ma nową elewację, wymienioną instalację wodną, kanalizacyjną i elektryczną. W mieszkaniu wymienione okna (plastikowe), drzwi wejściowe oraz wewnętrzne. Stan bardzo dobry do ewentualnego odświeżenia lub własnej aranżacji. Mieszkanie jest ciche, bardzo przytulne i widne, wysokie. Na podłodze parkiet dębowy. Czynsz wynosi 700zł/mc. Serdecznie polecam i zapraszam na prezentacje nieruchomości. Kontakt Wojciech Wodnicki, tel.: 501 100 545.Pośrednik odpowiedzialny zawodowo za wykonanie umowy pośrednictwa: Magdalena Lemieszek (licencja nr: 17819) </t>
  </si>
  <si>
    <t>https://www.otodom.pl/pl/oferta/swietne-do-mieszkania-jak-i-na-inwestycje-ID4oqkX</t>
  </si>
  <si>
    <t>4oqkX</t>
  </si>
  <si>
    <t>Mieszkanie trzy pokoje 48 m2 na osiedlu Mokre</t>
  </si>
  <si>
    <t>ul. Leona Jeśmanowicza, Mokre, Toruń, kujawsko-pomorskie</t>
  </si>
  <si>
    <t>Mieszkanie trzy pokojowe 48 m2 z balkonem w doskonałej lokalizacji - osiedle Mokre!Główne atuty nieruchomości: • prestiżowa lokalizacja• doskonała komunikacja z centrum• bliskość komunikacji miejskiejNieruchomość złożona z: • pokój 13 m.kw• pokój 7,16 m.kw• pokój 9 m.kw• kuchnia zamykana z oknem 10 m.kw• łazienka 4 m.kw• przedpokój 5 m.kw W skład nieruchomości wchodzi też:• balkonTyp ogrzewania: ogrzewanie miejskie. Typ własności: własność. Mam przyjemność zaprezentować Państwu mieszkanie o powierzchni 48 m2 usytuowane na 4 piętrze budynku położonego w bardzo atrakcyjnej lokalizacji na osiedlu Mokre.Osiedle położone blisko centrum doskonale skomunikowane z pozostałymi częściami miasta zapewniające pełną infrastrukturę miejską: punkty handlowo - usługowe, szkoły, przedszkola, place zabaw, kościół, basen. W skład lokalu wchodzą: salon, dwa pokoje ,kuchnia z doskonale zaaranżowaną zabudową kuchenną wraz ze sprzętem AGD, łazienka i przestronny przedpokój.Mieszkanie po remoncie w 2022 roku, zadbane, wyposażone i wykończone przy użyciu materiałów dobrej jakości. Do lokalu przynależy piwnica.Dużym atutem nieruchomości jest doskonała lokalizacja!Szybki dojazd do centrum! Nieruchomości w tej lokalizacji to doskonała inwestycja!Oferta dostępna tylko w Metrohouse. ZADZWOŃ: 570 560 594.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</si>
  <si>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https://www.otodom.pl/pl/oferta/mieszkanie-trzy-pokoje-48-m2-na-osiedlu-mokre-ID4lySf</t>
  </si>
  <si>
    <t>4lySf</t>
  </si>
  <si>
    <t>Mieszkanie/ połowa domu z pięknym ogrodem!</t>
  </si>
  <si>
    <t>ul. Juranda ze Spychowa, Osiedle Grunwaldzkie, Olsztyn, warmińsko-mazurskie</t>
  </si>
  <si>
    <t xml:space="preserve">Wyjątkowe miejsce blisko CENTRUM!
Mieszkanie na 1 piętrze w budynku dwurodzinnym.
Limeno Nieruchomości Salon Rynku Pierwotnego zaprasza do zapoznania się z ofertą nieruchomości przy ul. Juranda ze Spychowa w Olsztynie.
Mieszkanie trzypokojowe, jasne, rozkładowe z ekspozycją południowo-zachodnią od stronu salonu oraz północno-wschodnią os strony sypialni.
Na powierzchnię nieruchomości 76,9 m2 składa się:
- przestronny salon z aneksem kuchennym ok. 34,1 m2
- sypialnia 1 - 11,4 m2
- sypialnia 2 - 11,6 m2
- łazienka z oknem - 9,9 m2
- przedpokój - 9,9 m2
Do mieszkania przynależą dwie piwnice o powierzchniach 9 i 9,5 m2 oraz część strychu.
Dodatkowo pomieszczenie gospodarcze/kuchnia letnia w wybudowanym budynku gospodarczym na terenie działki - powierzchnia ok. 21,5 m2  oraz piękny zagospodarowany ogród...
Co zasługuje na uwagę?
- mieszkanie nie wymaga wkładu finansowego
- wysoki standard wykończenia,
- zadbana stała zabudowa w kuchni
- łazienka z oknem   
- zagospodarowany ogród  
 - osiedle domów jednorodzinnych
Możliwość pozostawienia wszystkich mebli.
W pobliżu Osiedla znajduje się pełna infrastruktura:
mini.: Biurowiec Warmia Towers - 8 minut piechotą ( Biedronka, apteka, przedszkole, pizza, Zabka) , Centrum Aura ( 1,8 km) - 5 min samochodem 3 przystanki autobusem ), Starówka 8 minut piechotą , Kortowo ( 2,2 km) - 5 min samochodem ( 3 przystanki autobusem) , Plaża miejska ( 1 ,6 km ) -3 min samochodem 2 przystanki autobusem, targowisko miejskie przy ul. Grunwaldzkiej ( 1,2 km ) 2 min samochodem.
Kupując nieruchomość z Limeno Nieruchomości Salon Rynku Pierwotnego:
- masz gwarancję bezpiecznej i obiektywnej transakcji - Limeno posiada obowiązkową polisę OC
- przeprowadzę Ciebie przez zakup nieruchomości od a do z
- zajmę się wszystkimi formalnościami
Jeśli myślisz o zamieszkaniu jednocześnie blisko centrum miasta i natury - to mieszkanie jest właśnie dla Ciebie!
Szczerze polecam! Zadzwoń - umów się na prezentację.
Kamil Kobusiński
530 890 690
</t>
  </si>
  <si>
    <t>https://www.otodom.pl/pl/oferta/mieszkanie-polowa-domu-z-pieknym-ogrodem-ID4hX9f</t>
  </si>
  <si>
    <t>4hX9f</t>
  </si>
  <si>
    <t>Mieszkanie poddaszowe, tanie w utrzymaniu.</t>
  </si>
  <si>
    <t>ul. Mikołaja Reja 1, Borne Sulinowo, Borne Sulinowo, szczecinecki, zachodniopomorskie</t>
  </si>
  <si>
    <t xml:space="preserve">Mieszkanie dwupoziomowe ,poddaszowe z loggią jest przestronnym i przytulnym lokalem mieszkalnym, znajdującym się na II piętrze budynku. Uroku temu mieszkaniu dodaje jego oryginalny układ przestrzenny. Lokal posiada charakterystyczne skosy i skrzydła okienne, które nadają mu niepowtarzalny urok. W mieszkaniu znajduje się również antresola- dodatkowa przestrzeń, która daje możliwość zagospodarowania według własnych potrzeb.
Sercem lokalu jest salon z wyjściem na loggię oraz aneks kuchenny- jest to idealne miejsce do wypoczynku i spotkań towarzyskich.
Mieszkanie o pow. użytkowej 40,87 m2, a po podłodze ok. 65 m2,
Składa się z:- 2 pokoi;- kuchni;- łazienki z wc;- przedpokoju.
Mieszkanie ogrzewane jest piecem typu „Koza” (na pellet)
Ciepła woda z bojlera elektrycznego.Opłaty miesięczne wynoszą ok. 80 zł (eksploatacja, fundusz remontowy).
Z lokalem związany jest udział do 200/10.000 części w nieruchomości wspólnej w częściach budynku, które nie służą wyłącznie do użytku właścicieli lokali oraz w prawie własności działki gruntu nr 37/38.
Zaletą mieszkania jest: bliskość do sklepów, apteki, poczty, lekarza, centrum miasta, blisko las i jezioro, przy budynku znajduje się szkoła.
Wspólnota Mieszkaniowa.
Borne Sulinowo - piękna leśna miejscowość położona przy południowym brzegu jeziora Pile (o pow. 1002 ha), głównym atutem tej miejscowości jest natura Bornego Sulinowa, piękne uliczki prowadzące w stronę Jeziora Pile.
Miasto słynie z turystykipieszej, rowerowej oraz kajakowej. Atrakcyjności dodaje też specyficzna historia miasta i gminy oraz odbywający się co roku "Międzynarodowy Zlot Pojazdów Militarnych". 
Do miasta Szczecinek lub Czaplinek odległość – ok. 20 km.
Przedstawione informacje zostały opracowane na podstawie danych uzyskanych od Zamawiającego, mogą różnić się od stanu faktycznego i w każdej chwili mogą ulec zmianie, oferta nie jest ofertą w rozumieniu przepisów Kodeksu Cywilnego i ma charakter wyłącznie informacyjny. 
</t>
  </si>
  <si>
    <t>https://www.otodom.pl/pl/oferta/mieszkanie-poddaszowe-tanie-w-utrzymaniu-ID4mjxc</t>
  </si>
  <si>
    <t>4mjxc</t>
  </si>
  <si>
    <t>Mieszkanie o pow. 77,58m2 z przestronnym balkonem,</t>
  </si>
  <si>
    <t>ul. Piastowska, Piastów, pruszkowski, mazowieckie</t>
  </si>
  <si>
    <t>II Etap Osiedla Zielone Tarasy to inwestycja wyznaczająca trendy nowoczesnego budownictwa oraz nietuzinkowej architektury. Spośród wielu elementów, które znacząco wyróżniają się na tle innych inwestycji są m.in. zastosowane szlachetne tynki elewacyjne.Inwestycja łączy w sobie bliskość i łatwy dostęp do Stolicy z możliwością prowadzenia życia rodzinnego wśród domów jednorodzinnych otoczonych dużą ilość zieleni z dala od zgiełku wielkiego miasta. Lokalizacja znajdująca się tuż przy granicy z Warszawą pozawala w zaledwie kilkanaście minut dostać się do centrum zarówno samochodem, komunikacją miejską jak i koleją szynową.II etap budowy będzie się składał z 20 dwupoziomowych lokali usytuowanych na parterze i pierwszym piętrze. Powierzchnie lokali dwupoziomowych wynoszą od 112 m2  do 123 m2. Do każdego lokalu dwupoziomowego przynależy ogródek o powierzchni od 45 m2 do 250 m2.
Na drugim piętrze będzie wyodrębnionych 20 jednopoziomowych mieszkań z przestronnymi balkonami, których powierzchnie wynoszą od 77 m2 do 87 m2.W cenę każdego lokalu jest wliczone jedno miejsce postojowe.Planowany termin zakończenia budowy to I kwartał 2025.
Przedmiotowa oferta dotyczy lokalu o numerze F.3.2, którego metraż wynosi 77,58 m2 dodatkowo znajduje się balkon o pow. 3,72 i miejsce postojowe przed budynkiem.</t>
  </si>
  <si>
    <t>https://www.otodom.pl/pl/oferta/mieszkanie-o-pow-77-58m2-z-przestronnym-balkonem-ID4k29m</t>
  </si>
  <si>
    <t>4k29m</t>
  </si>
  <si>
    <t>Mieszkanie w inwestycji Arka Nova</t>
  </si>
  <si>
    <t>Z przyjemnością przedstawiamy Inwestycję ARKA NOVA zlokalizowaną na granicy Krakowa i Skawiny! Prezentujemy jedno z kilku dostępnych mieszkań w tej inwestycji, zachęcamy do kontaktu w celu poznania pełnej dostępności mieszkań. Sprzedawane mieszkanie: KL2 M14- Lokalizacja: Skawina, ul. Graniczna  - Metraż: 49,24   m2 - Piętro: 1- Okna na zachód- Liczba pokoi: 2- Aneks kuchenny - Sypialnia - Stan: Deweloperski - Oddanie planowane na Grudzień 2023.- Istnieje możliwość zakupienia wykończenia mieszkania pod klucz, wyceniane indywidualnie. Miejsce postojowe: Do każdego mieszkania należy zakupić jedno miejsce postojowe w jednej z dwóch hal garażowych .Koszt miejsca postojowego (pojedyncze 2,5 x 5 m) to 33.000,00 zł Lub dostępne są  4 rodzinne miejsca (podwójne miejsce postojowe) w cenie 55 000,00 zł.Istnieje również możliwość zakupu boksu garażowego w cenie 3.500,00 zł /m2.*Dostępne są też mieszkania o innym metrażu, z ogródkiem lub tarasem, aby otrzymać pełną listę mieszkań prosimy o kontakt. ** Oferowana cena obowiązuje na ograniczoną ilość mieszkań. Opis Inwestycja ARKA NOVA To nowoczesny 5 - kondygnacyjny apartamentowiec zlokalizowany w Krakowie - Skawinie na granicy dwóch miast, przy ul. Granicznej. Dobór lokalizacji pozwolił nam przygotować wyjątkową ofertę dla tych osób, które cenią sobie bliskość centrum korzystając ze wszystkich jego udogodnień, jednak równocześnie poszukują miejsca do życia z dala od miejskiego zgiełku.Architektura budynku połączyła w sobie ponadczasową elegancję i współczesny design. A zastosowane rozwiązania techniczne w postaci odnawialnych źródeł energii, sprawią że zamieszkasz komfortowo i ekologicznie.Wybierz Swoją NOVĄ przestrzeńMożesz wybrać spośród 67 mieszkań w metrażach od 32,8 - 105 m2. Apartamenty posiadają przestronne balkony lub zielone tarasy, a na najwyższej kondygnacji znajdziesz 9 penthousów z widokowymi tarasami o powierzchni nawet 130 m2. Architekci zadbali także o potrzeby zmotoryzowanych - pojazdy można parkować w dwóch podziemnych halach garażowych w których sumarycznie jest dostępnych 74 miejsc postojowych. Dla Twoich gości przygotowaliśmy ogólnodostępne miejsca postojowe zlokalizowane na zewnątrz. W budynku znalazło się również 14 boksów garażowych, które doskonale sprawdzają się jako dodatkowa przestrzeń do przechowywania.Twoja NOVA jakość życiaZaprojektowane układy apartamentów od jedno do czteropokojowych gwarantują komfort codziennego życia oraz stanowią doskonałą przestrzeń pod inwestycję. Budynek posiada 2 klatki schodowe oraz 2 windy w celu zapewnienia mieszkańcom najwyższej jakości użytkowania. Lokalizacja pozwoliła na zaprojektowanie apartamentów zwróconych w cztery strony świata - możesz wybrać ekspozycję która jest odpowiedzią na Twoje preferencje. W apartamentach zastosowaliśmy duże przeszklenia, które sprawiają że mieszkania są jasne i przestrzenne.Na kondygnacji parteru przewidziano również lokale usługowe - które zapewniają mieszkańcom inwestycji dostęp do określonych udogodnień takich jak np. sklep, drogeria kosmetyczna, fryzjer, gabinet kosmetyczny, sklep zoologiczny czy też kawiarnia. Lokale usługowe będą posiadały 40 dostępnych miejsc postojowych. Inwestycja jest dostosowana do potrzeb osób niepełnosprawnych.Mieszkaj NOVOCZEŚNIEApartamentowiec ARKA NOVA cechuje wyjątkowa jakość wykonania i estetyczny wygląd. To efekt długiej pracy zespołu najlepszych architektów, dzięki którym powstał ponadczasowy projekt osiedla o nowoczesnym designie, wpisujący się w najnowsze trendy architektoniczne. Nasze wieloletnie doświadczenie w branży budowlanej odzwierciedla się wysokim standardem mieszkań, dbałością o jakość materiałów, detalami wykończenia oraz wyjątkową lokalizacją inwestycji. A zastosowanie odnawialnych źródeł energii w postaci pomp ciepła i instalacji fotowoltaicznej pozwoli na obniżenie Twoich rachunków. Budujemy mieszkania mając świadomość indywidualnych potrzeb naszych klientów i tak jakbyśmy sami mieli w nich zamieszkać.NOVE okno na światWysoka jakość inwestycji, atrakcyjna architektura, a także doskonała lokalizacja osiedla sprawia, że ARKA NOVA to znacznie więcej niż komfortowe apartamenty dla każdego, kto poszukuje wyjątkowego, NOVEGO miejsca do życia. Bliskość rozwiniętej infrastruktury miejskiej, dostęp do licznych punktów handlowych i usługowych, a także różnych środków komunikacji miejskiej sprawiają, że zakup mieszkania w ARKA NOVA to przede wszystkim doskonała inwestycja w Twoją przyszłość.Serdecznie zapraszamy do kontaktu. </t>
  </si>
  <si>
    <t>https://www.otodom.pl/pl/oferta/mieszkanie-w-inwestycji-arka-nova-ID4hNUj</t>
  </si>
  <si>
    <t>4hNUj</t>
  </si>
  <si>
    <t>Centrum-2-Pokoje-Po-Generalnym-Zamiana</t>
  </si>
  <si>
    <t>ul. Karola Miarki, Oława, oławski, dolnośląskie</t>
  </si>
  <si>
    <t>Marek Kromplewski 513-111-831-WOLNE OD ZARAZ-W rozliczeniu przyjmę inną nieruchomość z możliwą dopłatą z każdej strony.$$$ --- KUPUJEMY NIERUCHOMOŚCI W TYM UDZIAŁY ZA GOTÓWKĘ RÓWNIEŻ Z OBCIĄŻENIAMI I DŁUGAMI. POMAGAMY W OBSŁUDZE PRAWNEJ --- $$$Polecam do wynajęcia/ na sprzedaż w Oławie mieszkanie 2 pokojowe na I-piętrze kamienicy przy ul. Karola Miarki. Mieszkanie po generalnym remoncie wykonanym na podstawie i pod nadzorem projektu architekta wnętrz. Wyposażone w komplet nowych mebli kuchennych z kamiennym blatem i z nowym sprzętem AGD: lodówką, zmywarką, kuchnią, piekarnikiem, płytą indukcyjną i pralką. Do remontu użyto wysokiej jakości materiałów w tym ceramiki i wyposażenia.Do mieszkania doprowadzona jest instalacja satelitarna TV.///Mieszkanie o pow. 35,24m2 w pełnym rozkładzie składa się z:- Kuchni- Korytarza- Dwóch pokoi- Łazienki z Wc- Przynależnej piwnicy o powierzchni ok. 6m2///Parking:- Pod blokiem lub wzdłuż ulicyWynajem///Opłaty: 2100zł + czynsz 600zł + media wg. zużycia. Kaucja 3000złSprzedaż/// Cena 384000Zainteresowała Cię ta oferta? - ZADZWOŃ!$$$ --- KUPUJEMY NIERUCHOMOŚCI W TYM UDZIAŁY ZA GOTÓWKĘ RÓWNIEŻ Z OBCIĄŻENIAMI I DŁUGAMI. POMAGAMY W OBSŁUDZE PRAWNEJ --- $$$Posiadamy dział finansowy, który pomoże w finansowaniu tej i innych inwestycji. Nasi specjaliści z 20-letnim doświadczeniem z chęcią bezpłatnie opowiedzą o możliwościach kredytowania!Serdecznie polecam i zapraszam na bezpłatną prezentację Marek Kromplewski 513-111-831Treść niniejszego ogłoszenia nie stanowi oferty handlowej w rozumieniu Kodeksu Cywilnego.</t>
  </si>
  <si>
    <t>https://www.otodom.pl/pl/oferta/centrum-2-pokoje-po-generalnym-zamiana-ID4onTZ</t>
  </si>
  <si>
    <t>4onTZ</t>
  </si>
  <si>
    <t>Bez Prowizji, Bez Pcc</t>
  </si>
  <si>
    <t>ul. Czajcza, Kowale, Psie Pole, Wrocław, dolnośląskie</t>
  </si>
  <si>
    <t>ZAPRASZAM PAŃSTWA DO KONTAKTU:MARIANNA FEDORENKOTEL.: 578 199 800BEZ PROWIZJI, BEZ PCC!!!Polecam do sprzedaży nowe 3-pokojowe mieszkanie o powierzchni 56,92 m², znajdujące się na pierwszym piętrze 2-piętrowego budynku. Mieszkanie posiada balkon. Instalacja c.o. - grzejniki z zaworami termoregulacyjnymi oraz piec dwufunkcyjny c.o. w mieszkaniu.Rozkład mieszkania:salon - 19,42 m²sypialnia - 14,30 m²sypialnia - 11,04 m²korytarz - 6,49 m²łazienka - 5,67 m²balkon - 5,22 m²Termin oddania:  2024-03-30Inwestycja:Nowoczesny budynek wielorodzinny, przy ul. Czajczej na północy naszego miasta (Psie Pole). Spokojna, zielona okolica w pobliżu kanału żeglugowego. Doskonała lokalizacja nieruchomości zapewnia bezpośredni dostęp do infrastruktury miejskiej.Odległość od pociągu: 350 m. Odległość od autobusu: 280 m. (118, D, N,121,128,130,131,141)10 min - Centrum;7 min - Plac Grunwaldzki;5 min - Park Sczytnicki;2 min - Centrum Handlowe Korona;Poczta; Kościoły; Bankomaty; Szkoły i przedszkola; Apteki i przychodnie.Bezpłatna pomoc w uzyskaniu kredytu !ZAPRASZAM PAŃSTWA DO KONTAKTU:MARIANNA FEDORENKOTEL.: 578 199 800 NIERUCHOMOŚCI APARTAMENTKontaktując się z agentem odpowiedzialnym za ofertę, koniecznie zapytaj jakie są warunki współpracy z naszym biurem oraz co w związku ze współpracą zapewniamy.Dbając o bezpieczeństwo klientów sprzedających, a często także na ich wyraźne życzenie, nie podajemy adresów nieruchomości bez podpisania uprzednio umowy o pośrednictwo w kupnie lub najmie.Wszelkie podane przez Biuro informacje nie są ofertą w rozumieniu Kodeksu Cywilnego.Zgodnie z Ustawą o Prawie Autorskim i Prawach Pokrewnych z dnia 4 lutego 1994 roku (Dz.U.94 Nr 24 poz. 83, sprost.: Dz.U.94 Nr 43 poz.170) wykorzystywanie autorskich pomysłów, rozwiązań, kopiowanie, rozpowszechnianie zdjęć, fragmentów grafiki, tekstów opisów w celach zarobkowych, bez zezwolenia autora jest zabronione i stanowi naruszenie praw autorskich oraz podlega karze. Znaki towarowe i graficzne są własnością firmy Nieruchomości Apartament.</t>
  </si>
  <si>
    <t>https://www.otodom.pl/pl/oferta/bez-prowizji-bez-pcc-ID4opcn</t>
  </si>
  <si>
    <t>4opcn</t>
  </si>
  <si>
    <t>Po remoncie. Dwa balkony.</t>
  </si>
  <si>
    <t>ul. Władysława Broniewskiego, Kazimierz Górniczy, Sosnowiec, śląskie</t>
  </si>
  <si>
    <t>Oferuję do sprzedania mieszkanie zlokalizowane w Sosnowcu przy ulicy Broniewskiego, w dzielnicy Kazimierz Górniczy. Mieszkanie Znajduje się na drugim piętrze w czteropiętrowym bloku. Mieszkanie przeszło ostatnio remont, pozostawiono jednak miejsce na własną aranżację nowym właścicielom. Wykonano gładzie, położono nowe panele, wstawiono wannę narożną, zamontowano nowe drzwi. Pomalowano ściany na biało. Oferowana nieruchomość składa się z dwóch pokoi - z których każdy ma balkon, z dużej kuchni z miejscem na jadalnię, osobnej łazienki i WC oraz przedpokoju.Blok, w którym znajduje się oferowane mieszkanie przeszedł niedawno remont klatek i balkonów. Wymienione tzw.piony.Czynsz do wspólnoty mieszkaniowej około 800 zł. Ogrzewanie miejskie, CWU z sieci miejskiej. Nieruchomość ma założoną księgę wieczystą.
W okolicy sklep Biedronka, Carrefour, szkoła podstawowa i przedszkole. Kilka minut spacerem do parku Kuronia. 
Więcej informacji w godzinach 10.00-18.00 pod nr. 600 231 768Jeśli planujesz wziąć kredyt hipoteczny na zakup nieruchomości i masz dość wynajmowania mieszkania i finansowania kredytu komuś obcemu? Musisz wiedzieć , że rata kredytu może być niewiele większa od kosztów wynajmu. Nie udało Ci się wynegocjować takich warunków kredytu jakie sobie wyobrażałeś? A może zaciągnąłeś kredyt kilka lat temu na gorszych warunkach. Możesz zamienić swój kredyt na korzystniejszy.Mamy również ofertę dla spłacających kilka kredytów. Tzw. kredyt konsolidacyjny spowoduje, że będą Państwo spłacali jedna ratę, zamiast kilku.Możesz skorzystać z bezpłatnej pomocy doradcy finansowego. Przekonaj się, który z wielu kredytów najlepiej pasuje do Twojej sytuacji. Umów się na spotkanie z doradcą.Przedstawione ogłoszenie nie jest ofertą handlową w rozumieniu przepisów prawa i ma jedynie charakter informacyjny. Zamieszczone w ogłoszeniu zdjęcia stanowią własność biura bądź właściciela natomiast  tekst stanowi własność biura nieruchomości "Stępień Nieruchomości " i w świetle prawa autorskiego wykorzystywanie ich bez zgody stanowi naruszenie praw autorskich i pociąga za sobą odpowiedzialność karną.Oferta przygotowana w oparciu o informacje uzyskane od właściciela bądź Jego pełnomocnika.</t>
  </si>
  <si>
    <t>https://www.otodom.pl/pl/oferta/po-remoncie-dwa-balkony-ID4o17Y</t>
  </si>
  <si>
    <t>4o17Y</t>
  </si>
  <si>
    <t>Dom 126m2 z widokiem na Tatry | Zakopane | Olcza</t>
  </si>
  <si>
    <t xml:space="preserve">Mam niezwykłą przyjemność zaprezentować Państwu unikalny dom w zabudowie bliźniaczej na sprzedaż położony w Zakopanem (Olcza).INWESTYCJA:"Domy Gawałki" to kompleks eleganckich i luksusowych apartamentowców w niskiej zabudowie, zlokalizowanych w Zakopanem. Kameralne osiedle składa się z dwóch budynków w zabudowie bliźniaczej. "Domy Gawałki" został zrealizowany z dbałością o każdy szczegół, a ogrody wraz z częściami wspólnymi zostały zaprojektowany przez architekta krajobrazu.LOKALIZACJA:Kompleks "Domy Gawałki" położony jest na samym końcu asfaltowej drogi gminnej (odśnieżanej zimą), która prowadzi bezpośrednio do domów i na nich się kończy, dzięki czemu można się oderwać od miejskiego zgiełku, a zarazem do centrum jest tylko 4 km. W bezpośrednim sąsiedztwie znajdują się działki niezabudowane, co jest gwarancją prywatności. To doskonałe Miejsce do wypoczynku w otoczeniu natury. W okolicy sporo punktów widokowych na Tatry, Centrum narciarskie Nosal zaledwie 3,7 km od nieruchomości. Do centrum Zakopanego ok. 4 km, Wielka Krokiew w odległości 4,4 km. Ponadto 4,5 km do wlotu do Doliny Olczyskiej, Ośrodek narciarski Harenda oddalony o 4 km. W niedalekiej odległości znajdują się również sklepy spożywcze, karczmy regionalne oraz wiele innych atrakcji.DOM:Na powierzchnię całkowitą 126 m2 składają się:- salon z aneksem kuchennym o powierzchni 26m2, z widokiem na Tatry oraz wyjściem na taras i do ogródka,- trzy sypialnie,- otwarte pomieszczenie biurowe,- dwie łazienki, w tym jedna z sauną,- toaleta,- pralnia,- kotłownia,- strych,DODATKOWE INFORMACJE:- w pełni wyposażony dom, gotowy do zamieszkania,- niesamowity widok na Tatry z salonu oraz tarasu i ogrodu, - w salonie znajduje się prawie 5 metrowe okno z przesuwanym skrzydłem,- na podłogach deski Barlineckie, - prywatna sauna, - instalacja fotowoltaiczna JinKO Solar Cheetah HC 60M,- pompa ciepła,- ogrzewanie podłogowe,- kanalizacja,- wentylacja grawitacyjna,- możliwość powiększenia salonu o powierzchnię tarasu,- działka: ok. 550 m2- rok budowy: koniec 2021,CENA:2.350.000 PLN Serdecznie zapraszam na prezentację.KONTAKT:Aleksander LiberkaZainteresowany? Skontaktuj się z nami pod numerem +4████████████6 lub napisz nam maila poprzez formularz kontaktowy dostępny w ogłoszeniu.-Czy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najmem.Zainteresowany? Zapytaj opiekuna oferty o szczegóły </t>
  </si>
  <si>
    <t>https://www.otodom.pl/pl/oferta/dom-126m2-z-widokiem-na-tatry-zakopane-olcza-ID4n28h</t>
  </si>
  <si>
    <t>4n28h</t>
  </si>
  <si>
    <t>2 - pokojowe Nowe Miasto</t>
  </si>
  <si>
    <t>Centrum, Białystok, podlaskie</t>
  </si>
  <si>
    <t>Przedstawiam 2 - pokojowe, dwustronne mieszkanie na osiedlu Nowe miasto!Na mieszkanie o powierzchni 49 m2 składa się:	salon,	sypialnia,	kuchnia,	korytarz,	balkon,	łazienka WC.Budynek został oddany do użytku w 2012r. Dobrze zorganizowane osiedle wraz z placami zabaw, sklepami spożywczymi, lokalami usługowymi oraz miejscami parkingowymi.W pobliżu nieruchomości szkoła podstawowa, przedszkola, politechnika.Do mieszkania przynależy piwnica. Możliwość dokupienia miejsca parkingowego w garażu podziemnym!Atuty mieszkania:	gotowe do wejścia	dobra lokalizacja	w pobliżu przystanki komunikacji miejskiejZapraszam do kontaktu!Opiekun oferty Jakub Wiszowatytel: 787-767-776e-mail:  ::oferta eksportowana z programu mediaRent::</t>
  </si>
  <si>
    <t>https://www.otodom.pl/pl/oferta/2-pokojowe-nowe-miasto-ID4nGUC</t>
  </si>
  <si>
    <t>4nGUC</t>
  </si>
  <si>
    <t>Kawalerka/1-pokój/Wojszyce/Parter/Okazja</t>
  </si>
  <si>
    <t>ul. Asfaltowa, Wojszyce, Krzyki, Wrocław, dolnośląskie</t>
  </si>
  <si>
    <t>Na sprzedaż przepiękna kawalerka, na parterze o powierzchni: 32,5m2.Nieruchomość położona jest blisko ul. Asfaltowej na zamkniętym osiedlu Wojszyce ( Dzielnica Krzyki ) we Wrocławiu Mieszkanie 1-pojowe o powierzchni 32,5 m2. W skład nieruchomości wchodzą:- salon z aneksem kuchennym- łazienka- przedpokój Atuty nieruchomości:- Gotowe do zamieszkania od zaraz- pełna/odrębna własność bez obciążeń- słoneczne i przestronne mieszkanie - ergonomiczny układ pomieszczeń- cicha okolica- okna PCV - mieszkanie wyposażone w sprzęt AGD, gotowe do wprowadzenia Standard wykończenia, a także jego lokalizacja sprawiają, że jest to mieszkanie idealne dla osób, które chcą w pełni korzystać z oferty rekreacyjno - rozrywkowej Wrocławia, a także tych ceniących klimat i przestronność.Apartament w idealnym stanie, nie wymaga wkładu finansowego!Można wprowadzać się praktycznie od zaraz!Opis pomeszczeń:Przedpokój: - szafa ubraniowa  Salon: - narożnik z funkcją spania - szafa ubraniowa - komoda na ubrania - rozkładany stół z krzesłami - telewizor  Kuchnia: - lodówka - piekarnik - płyta grzewcza - zlewozmywak  Łazienka: - prysznic - pralka - toaleta - umywalkaNieruchomość jest także bardzo dobrze skomunikowana z pozostałymi częściami miasta.  W jego najbliższej okolicy znajdują się:- Do Rynku Wrocław - 6,5km- dla miłośników zakupów i rozrywki Wroclavia 4,5km- Dworzec Głłwny PKP i  PKS - 4,5km- liczne lokale usługowe- szkoły, przedszkola, żłobki- sklepy, dyskonty spożywcze, Markety ( Biedronka, Lidl, Żabka) w zasięgu 800m- liczne przystanki, tramwajowe i autobusowe (bezpośredni dojazd do centrum)- apteki- przychodnie- weterynarz- fryzjer- salon kosmetyczny - restauracje - nowo wybudowana szkoła podstawowa - boiska sportowe  - liczne przystanki autobusowe - ścieżki rowerowe - place zabaw - tereny rekreacyjne,  - piekarnie, lodziarnie, pizzeria  Brak przypisanego miejsca parkingowego, jednak przed blokiem nie ma problemu z dostępnością miejsc parkingowych.  Mieszkanie zlokalizowane jest na Wojszycach, ok 5 min drogi od  szpitala przy ul. Borowskiej, ok 20 min drogi do Centrum, ok 15 min do  Uniwersytetu Ekonomicznego. W pobliżu znajduje się  Biedronka oraz apteka, niedaleko znajduje się Ołtaszyn z dużą ilością  restauracji oraz punktami usługowymi. Autobusy odjeżdżające z przystanku niedaleko mieszkania: 112, 113, 612.Mieszkanie znajduje się zaraz obok uroczego  stawu. Idealne dla singla, pary lub jako mieszkanie inwestycyjne.DODATKOWE INFORMACJE:- rodzaj własności: Pełna/odrębna Własność- brak jakichkolwiek obciażeń finansowych w KW- ogrzewanie CO - miejskieCENA DO NEGOCJACJI!ZAPRASZAMY NA BEZPŁATNĄ PREZENTACJĘ!Patryk KruszewskiDoradca ds. nieruchomościtel.: +48 574-394-752Numer oferty  1706/11334/OMSAgencja Nieruchomości KO EstateBiuro: Plac Teatralny 3/55Siedziba spółki ul. Piłsudskiego 7450-020 WrocławBiuro czynne od poniedziałku do piątku w godzinach od 9:00 do 18:00oraz w soboty od 10:00 do 14:00tel. Kom: +48 574-394-752e-mail:  KO Estate- aktywnie uczestniczymy w całym procesie zakupu mieszkania- gwarantujemy opiekę prawną- zapewniamy konsultacje z doradcą kredytowym- oferujemy konkurencyjne stawki u notariusza Oferta wysłana z programu dla biur nieruchomości ASARI CRM ()</t>
  </si>
  <si>
    <t>https://www.otodom.pl/pl/oferta/kawalerka-1-pokoj-wojszyce-parter-okazja-ID4oIkH</t>
  </si>
  <si>
    <t>4oIkH</t>
  </si>
  <si>
    <t>Mieszkanie w Wojciechowie</t>
  </si>
  <si>
    <t>Wojciechów, Lubomierz, lwówecki, dolnośląskie</t>
  </si>
  <si>
    <t xml:space="preserve">NA SPRZEDAŻ***Oferta tylko w naszym biurze nie szukaj dalej***Biuro nieruchomości  nextHome oferuje Państwu mieszkanie w miejscowości Wojciechów. Mieszkanie w budynku wielorodzinnym składające się z 2 pokoi, kuchni oraz łazienki z wc.Ze względu na wysokość pomieszczeń poniżej 2,20 m powierzchnia użytkowa mieszkania wynosi 24,94 m2, gdzie powierzchnia podłóg jest 2 razy większa, czyli ok 49,88 m2. Do mieszkania przynależą pomieszczenia gospodarcze, jedno o powierzchni 6,70 m2 znajdujące się na tej samej kondygnacji co mieszkanie oraz drugie o powierzchni 64,78 m2 , które znajduję się bezpośrednio pod mieszkaniem.Dodatkowo strych.Ogrzewanie z pieca na opał stały, szambo własne oraz woda ze wspólnej studni.Czynsz 270 zł. Do mieszkania przynależy działka ok 600 m2 sposób korzystania ustalony z sąsiadami, na działce postawiony garaż.  Cicha i spokojna okolica, mieszkanie posiada potencjał, możemy uzyskać mieszkanie z niezależnym wejściem z podwórka łącząc pomieszczenie gospodarcze z pierwszym piętrem. Okna wymienione, zamontowane rolety zewnętrzne. Polecam i zapraszam na prezentację. Razem z właścicielami zwracamy się z prośbą o uszanowanie prywatności i nie przybywanie na miejsce bez zapowiedzi i opiekuna z biura nieruchomości.Pośrednik odpowiedzialny zawodowo za wykonanie umowy pośrednictwa: Karolina Przybyło (licencja nr: 23521) </t>
  </si>
  <si>
    <t>https://www.otodom.pl/pl/oferta/mieszkanie-w-wojciechowie-ID4jBh7</t>
  </si>
  <si>
    <t>4jBh7</t>
  </si>
  <si>
    <t>Mieszkanie w centrum, 37m2, 288tys.</t>
  </si>
  <si>
    <t>Giżycko, giżycki, warmińsko-mazurskie</t>
  </si>
  <si>
    <t>Mieszkanie, ul.Olsztyńska,37m2, 288tys.   W sprzedaży mieszkanie w bardzo dobrej lokalizacji, przy ulicy Olsztyńskiej, która znajduje się w centrum miasta.Tu skupia się życie mieszkańców i przybyłych turystów . Znajdują się tu liczne restauracje, punkty gastronomiczne, sklepy, banki, plaża miejska w odległości ok.250m, miejsca spacerowe wzdłuż pobliskiego Kanału Łuczańskiego.  Lokal mieszkalny znajduje się na IV piętrze, posiada statut mieszkania spółdzielczego własnościowego, ma powierzchnię 37m2. Składa się z dwóch pokoi, kuchni, łazienki i przedpokoju. Przynależy też do niego piwnica.  Pomieszczenia są po remoncie , zadbane, wyposażone. Na podłodze panele, w łazience i kuchni terakota, okna PCV. Salon- duży, z niego prowadzą wejścia do sypialni i kuchni, przy suficie sztukaterie z ledowym podświetleniem sufitu .  Sypialnia- ustawna, z dużą zabudowaną szafą z lustrami.  Kuchnia- ładne jasne meble w zabudowie, pełne wyposażenie AGD.  Łazienka- w kafelkach i terakocie, z kabiną prysznicową, umywalką, wc, szafką i półkami.  Przedpokój- meble na wymiar: wieszak, szafka na buty.   Mieszkanie godne polecenia ze względu na staranne wykończenie, ładne umeblowanie i brak kosztów remontowych. Niski czynsz 365zł jest również atutem tej nieruchomości.Przed blokiem liczne miejsca postojowe niestrzeżone. Zachęcam do obejrzenia i zakupu tej nieruchomości.  Więcej ciekawych ofert znajdziesz na   Zapewniamy pomoc w doborze oraz uzyskaniu najkorzystniejszego kredytu hipotecznego na zakup bądź remont nieruchomości.  WGN zapewnia rynkowe ceny, bezpieczeństwo korzystnej transakcji oraz pomoc notariusza. Wyróżniamy się pełnym zaangażowaniem, ekspercką wiedzą i najwyższym poziomem usług opartych na ponad 30-letnim doświadczeniu. Stosujemy System Jakości ZJ WGN oraz Kodeks Etyki Zawodowej Polskiej Federacji Rynku Nieruchomości.    ::oferta eksportowana z programu mediaRent::</t>
  </si>
  <si>
    <t>https://www.otodom.pl/pl/oferta/mieszkanie-w-centrum-37m2-288tys-ID4lroB</t>
  </si>
  <si>
    <t>4lroB</t>
  </si>
  <si>
    <t>Mieszkanie Własnościowe Szczecinek Soft Loft</t>
  </si>
  <si>
    <t>ul. Gabriela Narutowicza, Szczecinek, szczecinecki, zachodniopomorskie</t>
  </si>
  <si>
    <t>Soft Loft to nowoczesna i kameralna inwestycja w Szczecinku przy ul. Narutowicza. Klienci dostają do dyspozycji wygodne mieszkania, w których jest możliwość zaprojektowania wnętrza z elementami stylu loftowego. Prócz standardowych mieszkań proponujemy klientom apartamenty na trzecim piętrze z możliwością zaplanowania przestrzeni w formie antresoli, co jest atutem tych lokali.
Inwestycję będą tworzyć trzy budynki, w których znajdzie się 150 mieszkań o metrażu od 33,8 mkw do 159 mkw. Doskonała lokalizacja zapewnia dobre skomunikowanie z resztą miasta, oferuje bogatą infrastrukturę oraz mnóstwo zieleni w okolicy. Do trzech budynków wielorodzinnych prowadzą dwa wjazdy od ulicy Narutowicza. Pod każdym z obiektów znajduje się hala garażowa z miejscami postojowymi oraz komórkami lokatorskimi. Oprócz tego na terenie inwestycji zaplanowanych jest 70 ogólnodostępnych miejsc parkingowych.
Ciekawa architektura zewnętrzna budynków, precyzyjne zaplanowanie terenu wokół nich oraz nietuzinkowe wykończenie klatek schodowych sprawiają, że oferta zadowoli zarówno rodziny z dziećmi, jak i osoby nabywające lokale w celach inwestycyjnych.</t>
  </si>
  <si>
    <t>https://www.otodom.pl/pl/oferta/mieszkanie-wlasnosciowe-szczecinek-soft-loft-ID4fzeS</t>
  </si>
  <si>
    <t>4fzeS</t>
  </si>
  <si>
    <t>Mieszkanie pokój z kuchnią 27m2, ogródek, Nowa Wie</t>
  </si>
  <si>
    <t>Przerzeczyn-Zdrój, Niemcza, dzierżoniowski, dolnośląskie</t>
  </si>
  <si>
    <t>Do sprzedania mieszkanie pokój z kuchnią o powierzchni 27m2, usytuowane na 1 piętrze bloku w Nowej Wsi Niemczańskiej.Mieszkanie jest po kapitalnym remoncie, wszystko jest nowe i nie używane. Wymienione wszystkie instalacje.Istnieje możliwość wykonania sypialni i salonu z aneksem kuchennym.Ogrzewanie i ciepła woda z kotłowni osiedlowej.Bardzo niskie koszty utrzymania - ok. 100 złotych miesięcznie.Blok jest wyremontowany, ocieplony. Znajduje się w bardzo ładnej i zadbanej okolicy.W pobliżu sklepy, plac zabaw, nowe nawierzchnie, zadbane tereny zielone.Bez uciążliwości drogi krajowej nr 8. (trzecia linia zabudowy).Do mieszkania przynależy ogródek.tel. 735-063-271, 533-200-348Oferta na wyłączność !Przy zakupie mieszkania, kupujący otrzymuje kompleksową obsługę w zakresie:- przygotowania i sporządzenia bezpiecznej umowy,- pomocy w gromadzeniu wymaganych dokumentów, formułowaniu oświadczeń, projektów umów, protokołów i porozumień.- sprawdzenia stanu prawnego i faktycznego nieruchomości,- mediacji podczas negocjacji ostatecznej ceny,- przygotowania i organizacji całej transakcji,- końcowego przekazania/wydania nieruchomości, rozliczeń dodatkowych,Centrum Nieruchomości Dorota Perżanul. Wiejska 25, 58-260 Bielawa  ::oferta eksportowana z programu mediaRent::</t>
  </si>
  <si>
    <t>https://www.otodom.pl/pl/oferta/mieszkanie-pokoj-z-kuchnia-27m2-ogrodek-nowa-wie-ID4lUZL</t>
  </si>
  <si>
    <t>4lUZL</t>
  </si>
  <si>
    <t>Mieszkanie - Warszawa Mokotów Służewiec</t>
  </si>
  <si>
    <t>ul. Domaniewska, Służewiec, Mokotów, Warszawa, mazowieckie</t>
  </si>
  <si>
    <t>Pragnę zaprezentować Państwu przestronny lokal z możliwością własnej aranżacji lub zlecenie naszej profesjonalnej firmie wykończeniowej z odbiorem mieszkania pod klucz. Mieszkanie o powierzchni 35,68 m2 zlokalizowane na warszawskim Mokotowie w nowoczesnym Apartamentowcu z 2023 r.Mieszkanie znajduje się na trzecim piętrze w reprezentacyjnym budynku wielorodzinnym w stanie deweloperskim. Na podłodze jest wylewka samopoziomująca się, ściany i sufity są otynkowane, nowe okna PCV , drzwi zewnętrzne antywłamaniowe (bez drzwi wewnętrznych, pozostawione otwory do montażu drzwi) W budynku użyto wysokiej jakości materiałów wykończeniowych .Idealna lokalizacja dla osób chcących zainwestować w nieruchomość dla siebie, na wynajem długo lub krótkoterminowy lub wynajem dla firmy. .Na powierzchnię 35,68 m2 składa się:- pokój dzienny 22,54 m2- aneks kuchenny 4,67 m2- łazienka 4,70 m2,- Przedpokój 3,77 m2dodatkowo:- balkon 4,74 m2Nieruchomość położona jest w bardzo dobrej lokalizacji, w dobrze skomunikowanej dzielnicy z resztą Warszawy. Tuż obok przystanek autobusowy i tramwajowy oraz SKM.W bliskiej odległości znajdują się sklepy spożywcze oraz markety i Galeria. Mokotów. W bezpośredniej okolicy liczne punkty usługowe i gastronomiczne. Nieruchomość znajduje się w sąsiedztwie zielonych skwerów oraz placów zabaw.Zapraszam do kontaktuBROKER Sebastian NeubertW przypadku kredytowania, polecam doświadczonego agenta finansowego.Przedstawiona oferta cenowa ma charakter informacyjny, nie stanowi oferty handlowej w rozumieniu Art. 661 par. 1 Kodeksu Cywilnego oraz innych przepisów prawnych.</t>
  </si>
  <si>
    <t>https://www.otodom.pl/pl/oferta/mieszkanie-warszawa-mokotow-sluzewiec-ID4k51P</t>
  </si>
  <si>
    <t>4k51P</t>
  </si>
  <si>
    <t>***Apartament do wprowadzenia- Gołonóg****</t>
  </si>
  <si>
    <t>138 m²</t>
  </si>
  <si>
    <t>Longitude: 19.23344 | Latitude: 50.3334</t>
  </si>
  <si>
    <t>&lt;p&gt;&lt;/p&gt;&lt;p&gt;OFERTA WYŁĄCZNOŚĆ&lt;/p&gt;&lt;p&gt; &lt;br/&gt;&lt;u&gt;&lt;strong&gt;Oferuje  APARTAMENT w Dąbrowie Górniczej- Gołonóg- ul. Św Antoniego 52G &lt;/strong&gt;&lt;/u&gt;&lt;/p&gt;&lt;p&gt; ***DO WPROWADZENIA****&lt;/p&gt;&lt;p&gt;&lt;u&gt;&lt;/u&gt;&lt;/p&gt;&lt;p&gt;&lt;u&gt;&lt;/u&gt;&lt;u&gt;Apartamentowiec wybudowany w roku 2017 o pow. 138 mkw.&lt;/u&gt;&lt;/p&gt;&lt;p&gt;&lt;/p&gt;&lt;p&gt;&lt;strong&gt;Działka o pow. 304 mkw&lt;/strong&gt;: &lt;/p&gt;&lt;p&gt;- podjazd dla 2 samochodów&lt;/p&gt;&lt;p&gt;- drewniana komórka &lt;/p&gt;&lt;p&gt;- ogrodzony teren z ogródkiem &lt;/p&gt;&lt;p&gt;&lt;/p&gt;&lt;p&gt;UKŁAD POMIESZCZEŃ:&lt;/p&gt;&lt;p&gt;&lt;/p&gt;&lt;p&gt;&lt;strong&gt;I PIĘTRO&lt;/strong&gt;:&lt;/p&gt;&lt;p&gt;- kuchnia&lt;/p&gt;&lt;p&gt;- salon z wyjściem na balkon &lt;/p&gt;&lt;p&gt;- sypialnia&lt;/p&gt;&lt;p&gt;- łazienka z WC &lt;/p&gt;&lt;p&gt;- pomieszczenia gospodarcze&lt;/p&gt;&lt;p&gt;- przedpokój &lt;/p&gt;&lt;p&gt;&lt;/p&gt;&lt;p&gt;&lt;strong&gt;II PIĘTRO&lt;/strong&gt;:&lt;/p&gt;&lt;p&gt;- 3 sypialnie &lt;/p&gt;&lt;p&gt;- łazienka z WC ( do własnej aranżacji) &lt;/p&gt;&lt;p&gt;- antresola&lt;/p&gt;&lt;p&gt;&lt;/p&gt;&lt;p&gt;&lt;/p&gt;&lt;p&gt;&lt;strong&gt;&lt;u&gt;STANDARD APARTAMENTU DO WEJŚCIA&lt;/u&gt;&lt;/p&gt;&lt;p&gt;- &lt;/strong&gt;w pokojach panele &lt;/p&gt;&lt;p&gt;- na ścianach gładzie &lt;/p&gt;&lt;p&gt;- w łazieńce płytki oraz glazura NOWEGO TYPU&lt;/p&gt;&lt;p&gt;- nowe okna PCV&lt;/p&gt;&lt;p&gt;- nowe drzwi antywłamaniowe &lt;/p&gt;&lt;p&gt;&lt;/p&gt;&lt;p&gt;OGRZEWANIE GAZOWE- PIEC DWUFUNKCYJNY &lt;strong&gt;&lt;/p&gt;&lt;p&gt;&lt;/p&gt;&lt;p&gt;W KAŻDYM POMIESZCZENIU OGRZEWANIE PODŁOGOWE!!!&lt;/strong&gt;&lt;/p&gt;&lt;p&gt;&lt;/p&gt;&lt;p&gt;W cenie mieszkania pozostaje nowa zabudowa kuchenna wraz z wyposażeniem ( lodówka, zmywarka, płyta indukcyjna, okap). Reszta wysposażenia do uzgodnienia z właścicielami. &lt;/p&gt;&lt;p&gt;&lt;/p&gt;&lt;p&gt;&lt;strong&gt;DOM&lt;/strong&gt; jest ocieplony, &lt;strong&gt;DACH&lt;/strong&gt; pokryty blachodachówką oraz cały otynkowy.&lt;/p&gt;&lt;p&gt;&lt;/p&gt;&lt;p&gt;&lt;strong&gt;SUPER LOKALIZACJA&lt;/strong&gt;- bardzo cicha i spokojna, wiele terenów zielonych, które umożliwiają spędzenia aktywnego czasu. Blisko do sąsiednich miast. Blisko Pogoria III oraz dworzec PKP. &lt;/p&gt;&lt;p&gt;&lt;/p&gt;&lt;p&gt;&lt;strong&gt;&lt;u&gt;****ZAPRASZAM DO OGLĄDANIA****&lt;/u&gt;&lt;/strong&gt;&lt;/p&gt;&lt;p&gt;&lt;/p&gt;&lt;p&gt;  &lt;br/&gt;&lt;u&gt;&lt;strong&gt;BIURO KOVAX NIERUCHOMOŚCI - LAUREAT ORŁÓW NIERUCHOMOŚCI 2023&lt;/strong&gt;&lt;/u&gt;&lt;/p&gt;&lt;p&gt;&lt;/p&gt;&lt;p&gt;Zainteresowała Cię ta oferta, chcesz uzyskać więcej informacji zadzwoń &lt;/p&gt;&lt;p&gt;Agent prowadzący: &lt;/p&gt;&lt;p&gt;BEATA  tel. &lt;strong&gt;574- 793 - 333 &lt;/strong&gt;&lt;/p&gt;&lt;p&gt;&lt;/p&gt;&lt;p&gt;OFERUJE INDYWIDUALNE WARUNKI WSPÓŁPRACY.&lt;/p&gt;&lt;p&gt;ZAPEWNIAMY POMOC W UDZIELENIU KREDYTU, PRZYGOTOWANIU NIERUCHOMOŚCI DO SPRZEDAŻY I WSZYSTKICH FORMALNOŚCIACH .JESTEŚMY Z PAŃSTWEM OD POCZĄTKU TRANSAKCJI DO MOMENTU PRZEPISANIA MEDIÓW.NASZE BIURO WSPÓŁPRACUJE Z KANCELARIAMI NOTARIALNYMI, KTÓRE OFERUJĄ RABATY DLA NASZYCH KLIENTÓW .&lt;strong&gt;&lt;/strong&gt;&lt;u&gt;&lt;strong&gt;&lt;/strong&gt;&lt;/u&gt;&lt;br/&gt;-&lt;/p&gt;&lt;p&gt;Jeśli nie znalezłeś mieszkania swoih marzeń, napisz do nas!&lt;/p&gt;&lt;p&gt;&lt;/p&gt;</t>
  </si>
  <si>
    <t>https://www.otodom.pl/pl/oferta/apartament-do-wprowadzenia-golonog-ID4mni6</t>
  </si>
  <si>
    <t>Mieszkania Syców - super lokalizacja</t>
  </si>
  <si>
    <t>64,99 m²</t>
  </si>
  <si>
    <t>Longitude: 17.70494 | Latitude: 51.31047</t>
  </si>
  <si>
    <t>&lt;p&gt;&lt;br/&gt;Nowoczesne mieszkania w Sycowie - tylko 5000 zł/m&amp;sup2;&lt;/p&gt;&lt;p&gt;KWADRAT Sp.J. prezentuje na sprzedaż nowoczesne mieszkania na nowo wybudowanym osiedlu &lt;strong&gt;w Sycowie przy ul. Matejki&lt;/strong&gt;. Inwestycja znajduje się w spokojnej zielonej okolicy, a jednocześnie bardzo blisko centrum miasta.&lt;/p&gt;&lt;p&gt;Na osiedlu znajdziemy przestronne l&lt;strong&gt;okale o powierzchniach od 64 do 75&lt;/strong&gt;&lt;strong&gt; m&amp;sup2;&lt;/strong&gt;. Mieszkania zostaną oddane do użytkowania w czerwcu 2023 roku w standardzie developerskim. Deweloper zastosował nowoczesne technologie oraz materiały najwyższej jakości. &lt;/p&gt;&lt;p&gt;Prezentowany lokal położony jest na II piętrze. Powierzchnia całkowita wynosi 64,99 m&amp;sup2;. Mieszkanie posiada duży, ustawny salon z aneksem kuchennym dwa pokoje oraz łazienkę. Z salonu mamy wyjście na balkon o powierzchni 2,40 m&amp;sup2;. Indywidualnie będzie można wybrać lokalizację miejsca parkingowego znajdującego się przed budynkiem za dodatkową opłatą.&lt;/p&gt;&lt;p&gt;W każdym mieszkaniu będzie zamontowany &lt;strong&gt;piec gazowy&lt;/strong&gt;. Dodatkowo dostępny będzie internet oraz system domofonowy. W budynku znajduje się &lt;strong&gt;winda&lt;/strong&gt;. Cały teren osiedla będzie pięknie zagospodarowany i zamknięty szlabanem.&lt;/p&gt;&lt;p&gt;Inwestycja zlokalizowana jest w spokojnej i urokliwej okolicy a jednocześnie z bardzo dobrą infrastrukturą. W odległości zaledwie 5 km znajduje się zjazd na drogę S8 dzięki kt&amp;oacute;rej mamy szybkie połączenie z dużymi miastami. &lt;/p&gt;&lt;p&gt;Dodatkowo oferujemy: BEZPŁATNĄ POMOC W UZYSKANIU KREDYTU!!!&lt;/p&gt;&lt;p&gt;Nie pobieramy prowizji od kupujących !!!&lt;/p&gt;&lt;p&gt;Zapraszamy na prezentację mieszkań tel: 730 908 806&lt;/p&gt;&lt;p&gt;Więcej szczeg&amp;oacute;ł&amp;oacute;w w biurze sp&amp;oacute;łki: KWADRAT Sp. J. ul. Rynek 33; 63-600 Kępno&lt;/p&gt;&lt;p&gt;Nota prawna: Opis oferty zawarty na stronie internetowej sporządzany jest na podstawie oględzin nieruchomości oraz informacji uzyskanych od właściciela, może podlegać aktualizacji i nie stanowi oferty określonej w art. 66 i następnych K.C.&lt;/p&gt;&lt;p&gt; &lt;/p&gt;&lt;p&gt; &lt;/p&gt;&lt;p&gt; &lt;/p&gt;</t>
  </si>
  <si>
    <t>https://www.otodom.pl/pl/oferta/mieszkania-sycow-super-lokalizacja-ID4huus</t>
  </si>
  <si>
    <t>Dwa pokoje w cenie kawalerki!</t>
  </si>
  <si>
    <t xml:space="preserve">Nie masz czasu na remonty, szukasz swojego pierwszego mieszkania, a może inwestycji pod wynajem? Mamy coś specjalnie dla Ciebie!Nowa adaptacja poddasza, bez skosów! Wykonana przez firmę z wieloletnim doświadczeniem z wysokiej jakości materiałów. W doskonałej lokalizacji, 150 metrów od Al.Piastów. Na powierzchnię składają się:- pokój z aneksem kuchennym,- pokój, - łazienka,- przedpokój. W pokojach na podłodze panele, ściany gładzone, łazienka z kabiną prysznicową, toaletą oraz umywalką. Aneks kuchenny przygotowany do wstawienia mebli oraz podłączenia sprzętów. Istnieje możliwość zrobienia zabudowy kuchni za dodatkową opłatą.Przy zakupie brak podatku PCC!Zamieszczone zdjęcia są tylko poglądowe, nie przedstawiają oferowanej nieruchomości. Nie zwlekaj, już dziś zadzwoń i uzyskaj więcej informacji!
Oferta wysłana z programu dla biur nieruchomości ASARI CRM ()
</t>
  </si>
  <si>
    <t>https://www.otodom.pl/pl/oferta/dwa-pokoje-w-cenie-kawalerki-ID4in0S</t>
  </si>
  <si>
    <t>4in0S</t>
  </si>
  <si>
    <t>Dwupokojowe mieszkanie do własnej aranżacji</t>
  </si>
  <si>
    <t>ul. Strzelecka, Śródmieście, Katowice, śląskie</t>
  </si>
  <si>
    <t>Szukasz fajnego 2-pokojowego mieszkania w przyjaznej okolicy, świetnie położonego?
A może myślisz o ulokowaniu swoich oszczędności w nieruchomość, która będzie się dobrze wynajmowała?
Ta oferta z pewnością Cię zainteresuje!
Mieszkanie jest na 1 piętrze w 9-piętrowym bloku z windą.
W skład mieszkania wchodzą: - salon z wyjściem na balkon, kuchnia, sypialnia, łazienka, przedpokój.  Mieszkanie słoneczne, balkon i okna po stronie zachodniej budynku.
1 piętro i dodatkowo winda to atut dla starszych osób.
Mieszkanie do generalnego remontu co umożliwia dowolną aranżację wnętrz.
Ogrzewanie z sieci miejskiej z podzielnikami. Ciepła woda z piecyka gazowego. Do lokalu przynależy piwnica. Klatka schodowa zabezpieczona domofonem.
Miesięczne opłaty czynszowe wraz z zaliczkami na CO to 460 złotych.
Wokół cała niezbędna infrastruktura (sklepy, szkoły, przedszkola, poradnie zdrowia, przystanki komunikacji miejskiej).
W sąsiedztwie Akademia Wychowania Fizycznego i Akademia Ekonomiczna.
Mieszkanie wolne od obciążeń hipotecznych oraz zadłużeń.
Dostępne od zaraz.
Gorąco polecam i zapraszam na prezentację!
Prezentacja nieruchomości po uprzednim kontakcie telefonicznym w celu ustalenia dogodnego terminu.
W razie pytań jestem do Państwa dyspozycji.
Oferta dostępna tylko w Metrohouse.
ZADZWOŃ: . Czekamy na telefon od Ciebie.
Zakup lub najem nieruchomości przez Agencję Metrohouse to:
• największy wybór na rynku
• elastyczne podejście do Klienta
• bezpieczeństwo transakcji
• możliwość skorzystania z szerokiej oferty kredytów gotówkowych i hipotecznych
• doświadczeni doradcy
Czy wiesz, że możemy przygotować dla Ciebie prezentację on-line nieruchomości? Skontaktuj się z naszym Agentem i zapytaj o szczegóły.
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</si>
  <si>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https://www.otodom.pl/pl/oferta/dwupokojowe-mieszkanie-do-wlasnej-aranzacji-ID4ozbb</t>
  </si>
  <si>
    <t>4ozbb</t>
  </si>
  <si>
    <t>NOWE mieszkanie Łódź, ul. Pienista, 2 pokoje, 3p</t>
  </si>
  <si>
    <t>Retkinia, Polesie, Łódź, łódzkie</t>
  </si>
  <si>
    <t xml:space="preserve">Sprzedam mieszkanie położone w bardzo malowniczej i spokojnej części Łodzi.
Mieszkanie znajduje się na nowo wybudowanym osiedlu apartamentowców "Nowe Miasto Polesie" przy ul. Pienistej 52 w Łodzi na 3 piętrze.
Powierzchnia mieszkania łącznie: 38,74 m2
salon z aneksem kuchennym: około: 18,2 m2
sypialnia około: 10,7 m2
przedpokój: około: 4,62 m2
łazienka: około: 4,3 m2
balkonu typu "loggia": około: 3,08 m2
Mieszkanie jest w stanie deweloperskim, do wykończenia. Jedno z załączonych zdjęć przedstawia przykładową wizualizację wykończonego mieszkania.
Do mieszkania przynależne jest, dodatkowo płatne:
miejsce postojowe zewnętrzne w cenie: 25.000 zł 
komórka lokatorska o powierzchni 3,7 m2 w cenie: 10.000 zł 
Bardzo dobra lokalizacja zapewnia swobodny dojazd do każdej części Łodzi, dzięki trasie WZ dojazd do centrum zajmuje 15 minut.
Tuż przy osiedlu znajduje się przystanek autobusowy MPK linii 65A i 65B, co umożliwia również sprawne podróżowanie komunikacją miejską w różne części miasta.
W bliskim sąsiedztwie osiedla znajdują się: Stokrotka, Żabka, CH Retkinia, Lidl.
Osiedle otoczone jest zielenią, w pobliżu znajdują się leśne tereny rekreacyjne "Uroczysko Lublinek" – idealne miejsce na odpoczynek od zgiełku miasta.
Zapraszam do kontaktu:
Renata
790200901
</t>
  </si>
  <si>
    <t>https://www.otodom.pl/pl/oferta/nowe-mieszkanie-lodz-ul-pienista-2-pokoje-3p-ID4nYcv</t>
  </si>
  <si>
    <t>4nYcv</t>
  </si>
  <si>
    <t>Dwa pokoje z balkonem i widokiem na Malbork</t>
  </si>
  <si>
    <t>ul. Jasna, Malbork, malborski, pomorskie</t>
  </si>
  <si>
    <t>Szukasz funkcjonalnego miejsca na start lub dla starszej osoby? Koniecznie zapoznaj się z ofertą! Przedstawiam Państwu wyjątkowe mieszkanie, zlokalizowane na IX piętrze dziesięciopiętrowego budynkuNieruchomość o powierzchni 40,00 m2 składa się z: - salonu z wyjściem na balkon- pokoju- widna kuchnia- łazienki z WC- przedpokojuOgrzewanie i woda z sieci miejskiej.Comiesięczny czynsz oscyluje w okolicy 800 PLN.Właścicielowi nieruchomości przysługuje prawo do korzystania z pomieszczenia piwnicznego.Pod budynkiem liczne ogólnodostępne i darmowe parkingi.Świetnie rozwinięta infrastruktura gwarantuje Państwu dostęp do szkoły, przychodni, licznych sklepów, galerii oraz przystanek autobusowy i dworzec PKP.Wszystko w bardzo bliskiej okolicy. Zaledwie kilkaset metrów do Zamku Krzyżackiego. Bezpośrednio sąsiaduję z najbardziej pożądaną ulicą w Malborku jaką jest Sienkiewicza.Nie zwlekaj - zadzwoń i umów się na prezentację już teraz!Chcesz spełnić swoje marzenie o zakupie nieruchomości, ale potrzebujesz wsparcia i pomocy?Gwarantujemy rzetelne doradztwo kredytowe. Z nami uzyskasz korzystny kredyt. Wyjaśnimy wszystkie wątpliwości oraz pomożemy przy załatwianiu niezbędnych formalności.Pomoc jest całkowicie bezpłatna, a dzięki niej możesz zaoszczędzić sporo czasu i pieniędzy. Zapraszam również do naszego biura:Galeria Nieruchomości ul. 3 maja82-300 ElbląguDANE KONTAKTOWE:Jolanta Lipska570905992Treść niniejszego ogłoszenia nie stanowi oferty handlowej w rozumieniu Kodeksu Cywilnego.</t>
  </si>
  <si>
    <t>https://www.otodom.pl/pl/oferta/dwa-pokoje-z-balkonem-i-widokiem-na-malbork-ID4mXup</t>
  </si>
  <si>
    <t>4mXup</t>
  </si>
  <si>
    <t>Niepodgległości 47,2M</t>
  </si>
  <si>
    <t>ul. Niepodległości, Kalinowszczyzna, Lublin, lubelskie</t>
  </si>
  <si>
    <t xml:space="preserve">Z przyjemnością prezentujemy Państwu ofertę mieszkania przy ulicy Niepodległości.LOKALIZACJA:Mieszkanie przy ul. Niepodległości oferuje dobrą lokalizację, która spełnia oczekiwania związane z życiem codziennym. W okolicy znajdują się:liczne sklepy, przychodnia, fryzjer, restauracja, przedszkole, liceum, przystanek MPK, dużo miejsc parkingowych ogólnodostępnych oraz plac zabaw i boisko.MIESZKANIE:W skład mieszkania wchodzą 2 pokoje, kuchnia oraz łazienka i oddzielnie WC.Do mieszkania przynależy balkon oraz piwnica.W kuchni zostają wszystkie meble widoczne na zdjęciach z wyjątkiem lodówki.W małym pokoju zostaje szafa.W dużym pokoju zostają szafy, szafka pod telewizor oraz kanapa.MEDIA:Ciepła woda oraz ogrzewanie mieszkania dostarczane są z sieci miejskiej.Cena nieruchomości 355 000 złZainteresowany? Skontaktuj się z nami pod numerem +4████████████6 lub napisz nam maila poprzez formularz kontaktowy dostępny w ogłoszeniu.Czy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najmem.Zainteresowany? Zapytaj opiekuna oferty o szczegóły. </t>
  </si>
  <si>
    <t>https://www.otodom.pl/pl/oferta/niepodgleglosci-47-2m-ID4nDQZ</t>
  </si>
  <si>
    <t>4nDQZ</t>
  </si>
  <si>
    <t>4 pok. 100 mkw. Cicha okolica w sercu Szczecina</t>
  </si>
  <si>
    <t>Międzyodrze-Wyspa Pucka, Śródmieście, Szczecin, zachodniopomorskie</t>
  </si>
  <si>
    <t xml:space="preserve">Oferta sprzedaży słonecznego, przestronnego czteropokojowego mieszkania o powierzchni 100,29 m2 zlokalizowanego w dz. Śródmieście-Zachód blisko centrum Szczecina. Usytuowane jest ono na poddaszu czteropiętrowej kamienicy. Bliskość uczelni wyższych, szkół, przedszkoli, sklepów, parku, komunikacji miejskiej, różnych atrakcji, CH Turzyn, plac Kościuszki.Mieszkanie idealnie nadaje się dla par, rodzin z dziećmi lub jako inwestycja pod wynajem. Mieszkania w pobliżu uniwersytetów są bardzo pożądane przez najemców, dlatego jest to idealna lokata kapitału.Mieszkanie składa się z salonu, trzech pokoi, kuchni, łazienki z WC i przedpokoju. Zostało ono przygotowane w taki sposób, by nowy właściciel mógł od razu się wprowadzić, nie tracąc czasu na  doposażenie - wszystkie meble i sprzęty widoczne na zdjęciach pozostają do dyspozycji nowego właściciela. W kuchni zamontowano meble i sprzęty w zabudowie stałej, a w łazience wygodną kabinę prysznicową, umywalkę oraz pralkę. Na podłodze znajdują się panele wysokiej klasy ścieralności, w przedpokoju i w łazience gres. Dzięki usytuowaniu w budynku w mieszkaniu jest bardzo cicho. Mieszkanie dwustronne, ciepłe i bardzo jasne. Do mieszkania przynależy piwnica o powierzchni ok. 5 m2. Niewątpliwym atutem jest przydzielone miejsce postojowe zamykane na elektryczną blokadę (w cenie!).Czynsz administracyjny wynosi ok. 650 zł/m-sc i składają się na niego m.in. zaliczka na zimną wodę, zaliczka na fundusz remontowy, administracja, części wspólne. Dodatkowo płatne prąd i gaz według zużycia.Idealna lokalizacja w centrum miasta. W bezpośrednim sąsiedztwie znajdują się uczelnie wyższe, szkoły podstawowe, szkoły średnie, przedszkola,  liczne sklepy, park, przystanki komunikacji miejskiej, Plac Kościuszki, Plac Szarych Szeregów i wiele innych atrakcji. Mieszkanie gotowe do wydania od zaraz.  ***Polecam i zapraszam na prezentację***Pośrednik odpowiedzialny zawodowo za wykonanie umowy pośrednictwa: Ernest Menzel (licencja nr: 26658)-Przedstawione powyżej propozycje nie stanowią oferty handlowej w rozumieniu przepisów prawa, lecz mają charakter informacyjny. Wszelkie dane dotyczące nieruchomości uzyskano na podstawie oświadczeń właściciela. Zespół EM NIERUCHOMOŚCI dokłada starań, aby każda z ofert była rzetelnie sprawdzona i aktualna. </t>
  </si>
  <si>
    <t>https://www.otodom.pl/pl/oferta/4-pok-100-mkw-cicha-okolica-w-sercu-szczecina-ID4nUXG</t>
  </si>
  <si>
    <t>4nUXG</t>
  </si>
  <si>
    <t>Kraków Osiedle Fi 50m2 Stare Podgórze BEZ prowizji</t>
  </si>
  <si>
    <t>Sprzedam 2-pokojowe mieszkanie o powierzchni 48.37m2 znajdujące się na piątym piętrze, nowoczesnego budynku z cichobieżnymi windami oraz garażem podziemnym.
Mieszkanie składa się z salonu z aneksem kuchennym, pokoju, łazienki z WC, przedpokoju z dużą szafą/pomieszczeniem gospodarczym oraz balkonu(5m2).
Osiedle jest ogrodzone, z ochroną 24h nowoczesnym, całodobowym systemem monitoringu, a cały ruch kołowy skierowany jest w przestrzeni podziemnej. Na terenie osiedla znajduje się boisko wielofunkcyjne (siatkówka/koszykówka/tenis stołowy) oraz place zabaw.
 Mieszkanie jest w pełni wyposażone, niewymagające żadnego wkładu finansowego. Cała zabudowa meblowa robiona na zamówienie u stolarza (lakier połysk/mat),łóżko, narożnik itd wszystko w cenie mieszkania. 
Możliwość dokupienia miejsca postojowego w garażu podziemnym 75 tys zł oraz komórki lokatorskiej 25 tys. zł. 
Nieruchomość znajduje się w świetnej lokalizacji w samym centrum miasta(ok.  Ronda Matecznego). W okolicy liczne tereny zielone, Zalew Zakrzówek i Skałki Twardowskiego. Na osiedlu i w pobliżu  znajdują się liczne sklepy, punkty usługowo-handlowe, żłobki i przedszkola(w tym jedno na samym osiedlu).
Przystanki komunikacji miejskiej zlokalizowane w niedalekiej odległości od budynku umożliwiają szybki i bezpośredni dojazd do każdej części miasta.
Niniejsze ogłoszenie jest wyłącznie informacją handlową i nie stanowi oferty w rozumieniu Kodeksu Cywilnego.</t>
  </si>
  <si>
    <t>https://www.otodom.pl/pl/oferta/krakow-osiedle-fi-50m2-stare-podgorze-bez-prowizji-ID4mGEF</t>
  </si>
  <si>
    <t>4mGEF</t>
  </si>
  <si>
    <t>Ładne 4 pokojowe, 2 loggie, II piętro os. Wenedów</t>
  </si>
  <si>
    <t>Fantastyczne mieszkanie dla rodziny!
Duża powierzchnia, ponad 85m2 i całość na jednym poziomie!
Drugie piętro!
Dobra cena tylko 5.570 zł/m2 !!! Mamy tu przestronną część wspólną - w pełni wyposażoną kuchnię i piękny, ustawny salon z wyjściem na wręcz ogromną loggię, w dodatku z widokiem na piękny, zielony ogród, należący do wspólnoty. Całość uzupełniają 3 sypialnie, w tym jedna z obszerną garderobą i kolejną loggią.Przy sypialniach znajduje się łazienka z oknem, z wygodnym podziałem na część kąpielową i toaletową. W części kąpielowej z powodzeniem mieści się zarówno kabina prysznicowa oraz wanna. Mieszkanie posiada długą listę atutów:- dwie loggie- wygodny układ z podziałem na strefy- łazienkę z oknem- dużą, rodzinną kuchnię- całe wyposażenie w cenie
- dobry standard
- nowsze budownictwo - położenie na ładnym osiedlu- bliskość centrum
- super zaplecze handlowe- prywatny teren rekreacyjny przed budynkiemW szczegółach - właściciele pozostawiają w mieszkaniu wyposażenie widoczne na zdjęciach, począwszy od mebli kuchennych i sprzętu AGD ( w tym zmywarka, nowa lodówka, kuchenka, okap), stół krzesła, meble wypoczynkowe w salonie wraz z komodami, przez wyposażenie sypialni, m.in. łóżko sypialniane, komody, zabudowę garderoby, szafy, kanapy i biurka w kolejnych pokojach, a na szafie w przedpokoju kończąc. Mieszkanie jest czyste, zadbane i pachnące. Parkiety położone na podłogach są ozdobą mieszkania, na ścianach oczywiście gładzie, całość świeżo odmalowana, w dwóch sypialniach tapety. Drzwi wejściowe oraz drzwi wewnętrzne nowszego typu. Ekspozycja okienna na południe (salon, wielka loggia i dwie sypialnie) oraz na północ (kuchnia, sypialnia i łazienka), okna PCV.Przyjemności z użytkowania lokalu dodaje ładne wejście do budynku oraz odnowiona klatka schodowa. Z własnością mieszkania związane jest prawo do korzystania z piwnicy. Opłaty za mieszkanie: 1289 zł w tym zaliczka na c.o., fundusz remontowy, eksploatacja, wywóz nieczystości. Coroczne zwroty za c.o. w wysokości około 800 zł.Ogrzewanie z sieci miejskiej. Wydanie lokalu najchętniej w terminie do 3 miesięcy.  </t>
  </si>
  <si>
    <t>https://www.otodom.pl/pl/oferta/ladne-4-pokojowe-2-loggie-ii-pietro-os-wenedow-ID4nZub</t>
  </si>
  <si>
    <t>4nZub</t>
  </si>
  <si>
    <t>Dwupokojowe mieszkanie w nowo powstałym bloku!</t>
  </si>
  <si>
    <t>ul. Jemiołuszki, Węglin Południowy, Lublin, lubelskie</t>
  </si>
  <si>
    <t>Oferujemy nową inwestycję przy ul. Jemiołuszki (dzielnica Czuby).Inwestycja położona w prężnie rozwijającej się dzielnicy z pełną infrastrukturą.W spokojnej części miasta w niewielkiej odległości od centrum Lublina. Doskonale skomunikowana z innymi dzielnicami miasta.Termin przekazywania mieszkań przewidziany jest na grudzień 2023/ luty 2024 r.Ogrzewanie oraz ciepła woda z sieci miejskiej.Jest to budynek 4 – kondygnacyjny o kameralnym charakterze, w którym znajdować się będzie 48 lokali mieszkalnych o powierzchniach od 36 do 62 m2.W tym ogłoszeniu oferujemy dwupokojowe mieszkanie o metrażu 45,01 m2 usytuowane na PARTERZE ,do mieszkania przynależy OGRÓDEK !!!Istnieje możliwość dokupienia miejsca postojowego naziemnego w kwocie 29 000zł ,podziemnego w kwocie 39 000zł oraz piwnicy, w cenie 2 500 zł/mkw.Przy zakupie nie płacą Państwo prowizji dla biura oraz podatku od czynności cywilnoprawnych! Pozostaje sam koszt mieszkania.Po więcej informacji zapraszam do kontaktuZapraszamy już dziś do bezpłatnej rezerwacji!Kamila KrawczykEkspert ds. Nieruchomości575 101 282Oferta wysłana z programu dla biur nieruchomości ASARI CRM ()</t>
  </si>
  <si>
    <t>https://www.otodom.pl/pl/oferta/dwupokojowe-mieszkanie-w-nowo-powstalym-bloku-ID4fBi1</t>
  </si>
  <si>
    <t>4fBi1</t>
  </si>
  <si>
    <t>Dwupiętrowe mieszkanie na zielonym Ursynowie</t>
  </si>
  <si>
    <t>ul. Sarabandy, Jeziorki Południowe, Ursynów, Warszawa, mazowieckie</t>
  </si>
  <si>
    <t xml:space="preserve">Mam przyjemność zaprezentować Państwu, jasne, przestronne mieszkanie, w kt&amp;oacute;rym można poczuć się jak w domu, o łącznej powierzchni użytkowej 126,91m 2, położone na Ursynowie, przy ul. Sarabandy 92.Lokal usytuowany jest na pierwszym piętrze w wielorodzinnym budynku o niskiej zabudowie, na zamkniętym osiedlu Willa Ursyn&amp;oacute;w 2 z 2018 roku.Niewątpliwym atutem tej nieruchomości jest ogr&amp;oacute;dek o powierzchni 92,7m 2, jak r&amp;oacute;wnież spokojne, zielone otoczenie, w bliskiej odległości od teren&amp;oacute;w rekreacyjnych. W pobliżu oferowanego mieszkania znajduje się Staw Czyste, Jezioro Zgorzała, Niepubliczne Przedszkole Językowe Babaloo oraz Szkoła Podstawowa nr 96 im. Ireny Kosmowskiej, jak r&amp;oacute;wnież sklepy spożywcze Lidl i Biedronka.NIERUCHOMOŚĆPrezentowana nieruchomość jest dwupoziomowa. Parter tego mieszkania składa się z:salon 16,04m 2kuchnia z jadalnią 13,98m 2sypialnia 13,48m 2gabinet 9,59m 2łazienka z wanną 5,72m 2hol 9,02m 2balkon 8,24m 2Piętro: sypialnia 16m 2 z garderobą sypialnia 16m 2wyposażona łazienka z prysznicempralniaKuchnia wyposażona jest w meble w zabudowie oraz sprzęt AGD. Okna w części dziennej (kuchnia, salon) wychodzą na południe, w sypialni i gabinecie na p&amp;oacute;łnoc, zaś sypialni na piętrze na zach&amp;oacute;d.Mieszkanie jest jasne, widne i ustawne, dzięki czemu jest dobrze doświetlone i ma duże możliwości aranżacyjne.Do oferowanej nieruchomości przynależą dwa miejsca parkingowe pod budynkiem.  OTOCZENIEKomunikacja miejska 450mStacja PKP Warszawa Dawidy - 1,4km (dojazd do Warszawy Śr&amp;oacute;dmieście trwa ok. 30 minut)Niepubliczne Przedszkole 900mSzkoła Podstawowa 1kmLidl 1,7kmBiedronka 2,8km Dodatkowe informacje:Mieszkanie jest bezczynszowe.Opłaty miesięczne:- okres niegrzewczy ok. 500zł przy jednej osobie- okres grzewczy 800zł przy jednej osobie- przy rodzinie minimum 3 osobowej, koszty miesięczne wzrastają o 100zł w każdym okresieStan prawny - własność.Zamieszczony plan jest poglądowy, wykonany przed remontem.Istnieje możliwość posiłkowania się kredytem przy zakupie.Jeśli zainteresowała Państwa nasza oferta serdecznie zapraszam do kontaktu.Maria KoziełPremium Property Advisore-mail: Niniejsze ogłoszenie jest wyłącznie informacją i nie stanowi oferty w rozumieniu art. 66 &amp;sect; 1 Kodeksu Cywilnego. Dokładamy wszelkich starań, aby informacje przedstawione w naszych ofertach były aktualne i rzetelne. Informacje zawarte w ofercie uzyskano na podstawie oświadczeń sprzedających. Załączony plan nieruchomości jest poglądowy.Agencja WHITE LION INVESTMENTS jest objęta obowiązkiem ubezpieczenia odpowiedzialności cywilnej zawodowej. Posiadamy OC zgodne z Rozporządzeniem Ministra Finans&amp;oacute;w z dn. 26.04.2019 r. w sprawie obowiązkowego ubezpieczenia odpowiedzialności cywilnej pośrednika w obrocie nieruchomościami (Dz. U. z 2019 r., poz. 804).Pobieramy wynagrodzenie w formie prowizji za wykonaną usługę pośrednictwa.Bierzemy odpowiedzialność za bezpieczeństwo przeprowadzanych przez nas transakcji. </t>
  </si>
  <si>
    <t>https://www.otodom.pl/pl/oferta/dwupietrowe-mieszkanie-na-zielonym-ursynowie-ID4lORU</t>
  </si>
  <si>
    <t>4lORU</t>
  </si>
  <si>
    <t>Dwupokojowe mieszkanie w nowo powstającym bloku!</t>
  </si>
  <si>
    <t>ul. Lesława Pagi, Wieniawa, Lublin, lubelskie</t>
  </si>
  <si>
    <t>Mamy przyjemność zaprezentować Państwu mieszkanie dwupokojowe o metrażu 41,32 m2 znajdujące się na piątym piętrze w ośmiopiętrowym bloku. Mieszkanie powstaje w nowo budowanej inwestycji, na którą złoży się sześć budynków z lokalami o zróżnicowanych metrażach: kawalerki, mieszkania 2-, 3- i 4-pokojowe (od 27 m² do 68 m²) oraz apartamenty (o powierzchni od 70 m² do 94 m²). Położenie inwestycji jest idealne zarówno dla studentów jak i dla osób którym zależy na szybkim dojeździe do centrum. Dla państwa wygody bloki są budowane w dużej odległości od siebie, żeby zapewnić przyszłym mieszkańcom komfort, wygodę oraz prywatność. Pomiędzy budynkami zostanie zaaranżowana przestrzeń dostępna wyłącznie dla mieszkańców. Znajdziemy tam m.in. wygrodzony plac zabaw dla dzieci oraz teren rekreacyjny ze specjalnie zaprojektowaną zielenią i fontanną. W ostatnim etapie inwestycji znajdują się również lokale usługowe. Bloki budowane są z materiałów w standardzie premium. Etap II inwestycji, w którym powstanie to mieszkanie będzie ukończony w grudniu 2023roku.Po więcej informacji zapraszam do kontaktu.Kamila KrawczykEkspert ds. Nieruchomości575 101 282Oferta wysłana z programu dla biur nieruchomości ASARI CRM ()</t>
  </si>
  <si>
    <t>https://www.otodom.pl/pl/oferta/dwupokojowe-mieszkanie-w-nowo-powstajacym-bloku-ID4jq3f</t>
  </si>
  <si>
    <t>4jq3f</t>
  </si>
  <si>
    <t>Duże mieszkanie na Oksywiu, 92 m2</t>
  </si>
  <si>
    <t>ul. Bosmańska, Oksywie, Gdynia, pomorskie</t>
  </si>
  <si>
    <t>Nowoczesne i komfortowe mieszkanie przy ul. Bosmańskiej w Gdyni  Mieszkanie o powierzchni 92 m2 znajduje się na 1 piętrze i składa się z salonu z kuchnią, 4 sypialni, 2 łazienek, balkonu oraz miejsca parkingowego na ogrodzonym terenie. Mieszkanie jest nowe iw bardzo dobrym stanie   Do mieszkania przynależy miejsce parkingowe, wejście otwierane pilotem.  W pobliżu przystanki autobusowe, na terenie osiedla sklep, w pobliżu liczne żabki, lidl, biedronka.W cenie mieszkania również 2 miejsca parkingowe.Zapraszam na prezentacjeZapraszam na prezentacjeUmów się na prezentację i zaproponuj swoje warunki.Przeprowadzimy Cię przez cały proces zakupu nieruchomości i zweryfikujemy wszystkie dokumenty wymagane do sfinalizowania transakcji.- Ochrona formalno-prawna,- Kompleksowa obsługa każdego klienta,- Bezpłatna pomoc rzetelnych ekspertów kredytowych, którzy zagwarantują najlepsze warunki przyznania kredyt,- Zakres usług mających na celu obniżenie kosztów nabycia nieruchomości.Communication in English is available - please contact us on presented number.Wir sprechen deutsch - bitte telefonieren.Мы говорим по-русски, звоните нам.</t>
  </si>
  <si>
    <t>https://www.otodom.pl/pl/oferta/duze-mieszkanie-na-oksywiu-92-m2-ID4kU28</t>
  </si>
  <si>
    <t>4kU28</t>
  </si>
  <si>
    <t>Dwupokojowe Mieszkanie w Okolicy Kanału i Centrum</t>
  </si>
  <si>
    <t>ul. Olsztyńska, Giżycko, giżycki, warmińsko-mazurskie</t>
  </si>
  <si>
    <t>RODZAJ I METRAŻ NIERUCHOMOŚCI:  Dwupokojowe mieszkanie o powierzchni użytkowej 46,00m2 .
LOKALIZACJA:  Giżycko, ul. Olsztyńska
CHARAKTERYSTYKA: Mieszkanie usytuowane na trzecim piętrze.
ZARZĄDCA BUDYNKU:   Spółdzielnia Mieszkaniowa Mamry
MEDIA:  Wodociąg miejski, kanalizacja miejska, prąd, gaz ziemny
OGRZEWANIE: miejskie                               
OPŁATY EKSPLOATACYJNE: czynsz za jedną osobę w wysokości 372,54 zł  ( w czynsz wchodzą opłaty za ogrzewanie, wywóz nieczystości, fundusz remontowy, eksploatację podstawową), dodatkowe koszta to miesięczne opłaty za energię, wodę  i gaz według zużycia.
STAN PRAWNY: Spółdzielcze Własnościowe Prawo do lokalu mieszkalnego z Księgą Wieczystą
Informacje Dodatkowe: 
Mieszkanie z dogodną lokalizacją w pobliżu centrum i kanału łuczańskiego po remoncie, wymaga odświeżenia. Stolarka okienna: okna PCV. Mieszkanie składa się z salonu z wyjściem na balkon, sypialni, kuchni, łazienki z wc oraz korytarza, każde pomieszczenie posiada niezależne wejście z korytarza. Kuchnia została wyposażona w zabudowę kuchenną i sprzęt AGD. W najbliższej okolicy mieszkania znajdują się liczne placówki usługowo – handlowe, szkoła podstawowa, urzędy, poczta, apteka, basen, plac zabaw dla dzieci, kanał łuczański. Przed blokiem znajdują się miejsca parkingowe dla mieszkańców. Budynek w, którym zlokalizowany jest lokal mieszkalny został poddany termomodernizacji. Do mieszkania przynależy, także piwnica o powierzchni  4,10m2.  
Dane do opisu nieruchomości podane są przez zamawiającego. Powyższy opis ma charakter informacyjny i nie stanowi oferty w rozumieniu przepisów Kodeksu Cywilnego. Wszelkie prawa zastrzeżone! Opis oraz zdjęcia są własnością Biura Nieruchomości Kuncer, kopiowanie, powielanie i wykorzystywanie zdjęć i opisu bez zgody autora zabronione.
Zapraszamy do obejrzenia i współpracy.
Kontakt:  Biuro Nieruchomości Kuncer
                ul. Staszica 9/2
                11-500 Giżycko 
                tel: 508 236 366
Oferujemy klientom bezpłatną pomoc doświadczonego i profesjonalnego doradcy kredytowego w pozyskaniu kredytu oraz we wszystkich formalnościach, aż do uruchomienia kredytu i finalizacji transakcji.
 </t>
  </si>
  <si>
    <t>https://www.otodom.pl/pl/oferta/dwupokojowe-mieszkanie-w-okolicy-kanalu-i-centrum-ID4ieS0</t>
  </si>
  <si>
    <t>4ieS0</t>
  </si>
  <si>
    <t>Nowy Apartament w Myszkowie, bez PROWIZJI !!!</t>
  </si>
  <si>
    <t>Myszków, myszkowski, śląskie</t>
  </si>
  <si>
    <t>Nowa inwestycja, mieszkanie, apartament, 71 m2, Myszków, Jana Pawła II, stan deweloperski, garaż podziemny.BIURO SPRZEDAŻY WGN Myszków ul. Sikorskiego 53G, dodatkowe informacje pod numerami tel.660 028 844.Oferujemy Państwu apartament deweloperski o powierzchni 71 m2 usytuowany na parterze najnowszej inwestycji w Myszkowie przy ulicy Jana Pawła II, jaką jest powstający 3 piętrowy nowoczesny budynek wielorodzinny z 33 lokalami mieszkalnymi o powierzchni od 28,70 m2 do 79,65 m2, windą oraz miejscami postojowymi w tym parkingiem podziemnym.W skład lokalu wchodzą pokój dzienny z aneksem kuchennym, korytarz, łazienka, sypialnia, pokój do własnej aranżacji.Niewątpliwie ogromnym atutem jest przynależny do mieszkania ogródek o powierzchni około 30 m2 oraz znajdująca się w budynku winda.Największym atutem prezentowanej nieruchomości jest jej doskonała lokalizacja w centrum miasta.W pobliżu znajdują się liczne sklepy, Kościół, teren rekreacyjny, park linowy Podlas, Urząd Miasta, placówki medyczne, szkoła etc.Naszą ofertę dedykujemy w szczególności wymagającym klientom ceniącym sobie luksus oraz prestiż.Dla zainteresowanych istnieje możliwość zakupu do wyłącznego korzystania z miejsca postojowego w garażu podziemnym w cenie 38 000 złotych brutto lub miejsca postojowego naziemnego za cenę 18 000 złotych brutto. W razie wszelkich pytań (nieruchomość, kredyt na zakup) proszę o kontakt telefoniczny lub mailowy. Sebastian Jagusiak 660 028 844  Informacje dotyczące nieruchomości zostały sporządzone na podstawie oświadczeń i nie są ofertą w rozumieniu przepisów prawa, mają charakter wyłącznie informacyjny i mogą podlegać aktualizacji.Niniejsza propozycja nie stanowi oferty handlowej w rozumieniu Kodeksu Cywilnego, lecz ma charakter informacyjny zalecamy jej weryfikację.</t>
  </si>
  <si>
    <t>https://www.otodom.pl/pl/oferta/nowy-apartament-w-myszkowie-bez-prowizji-ID4bjbb</t>
  </si>
  <si>
    <t>4bjbb</t>
  </si>
  <si>
    <t>Dwa pokoje na sprzedaż Morena osiedle Alfa Park II</t>
  </si>
  <si>
    <t>ul. Myśliwska, Jasień, Gdańsk, pomorskie</t>
  </si>
  <si>
    <t>Nowoczesne, gotowe do wprowadzenia, dwupokojowe mieszkanie o pow. 50,37m2 z ekspozycją zachodnią. Mieszkanie położone jest na pierwszym piętrze w nowoczesnym czteropiętrowym budynku z windą przy ul. Myśliwskiej w Gdańsku (dzielnica Morena). Budynek został wybudowany w 2014 roku w ramach inwestycji Alfa Park II. Osiedle ogrodzone, położone blisko terenów zielonych i rekreacyjnych, tuż obok stawu, z dala od zgiełku miasta, jednocześnie z szybkim dojazdu do Wrzeszcza, centrum Gdańska oraz obwodnicy Trójmiasta. Mieszkanie jest sprzedawane z całym wyposażeniem widocznym na zdjęciach. Możliwe szybkie wydanie.Pomieszczenia - salon z aneksem kuchennym (21,04m2) z wyjściem na balkon (7,24m2)- aneks kuchenny z zabudową meblową wraz ze sprzętem AGD (lodówka, piekarnik, płyta indukcyjna) - sypialnia (z łóżkiem oraz szafą) (13,05m2)- łazienka ( z wanną oraz pralką) (5,44m2)- garderoba/pomieszczenie gospodarcze (półki, suszarka) (2,54m2)- przedpokój (8,30m2) - miejsce parkingowe naziemne na zamkniętej posesji za szlabanemLokalizacjaMiejsce bardzo dobrze skomunikowane z resztą miasta, łatwy i szybki dojazd do Wrzeszcza oraz Centrum Gdańska zarówno samochodem jak i komunikacją miejską. Na wyciągnięcie ręki przystanki autobusowe, kolej metropolitalna, tramwaj. W pobliżu w pełni rozwinięta infrastruktura handlowo-usługowa w tym CH Morena. Lokalizacja idealna dla rodzin z dziećmi jak również ludzi aktywnych czy też właścicieli czworonogów. Kilka minut do Trójmiejskiego Parku Krajobrazowego, jeziora Wróbla Staw, zbiornika wodnego Jasień, ze ścieżkami pieszo-rowerowymi, placem zabaw, siłownią, idealne miejsce do wypoczynku i relaksu na łonie natury.Zalety- bardzo funkcjonalny układ pomieszczeń- nowe budownictwo, niska, kameralna zabudowa- przestronny balkon (7,24m2)- mieszkanie sprzedawane z całym wyposażeniem widocznym na zdjęciach- naziemne miejsce parkingowe za szlabanem do wyłącznego korzystania na osobnej księdze wieczystej (dodatkowo płatne 30tys)- mieszkanie jasne, bardzo zadbane- opłaty eksploatacyjne ok.780zł miesięcznie- możliwe szybkie wydanieSerdecznie zapraszam na prezentację oferta dostępna tylko w naszym biurze. -Dom &amp;amp; House - Specjaliści od marzeń. - Gwarantujemy bezpieczeństwo transakcji- Znajdziemy najtańszy kredyt- Pomoc prawna dzięki współpracy z najlepszymi kancelariami notarialnym i prawnymi- Znajdziemy najtańsze ubezpieczenie nieruchomościPrezentowana oferta ma charakter informacyjny, nie stanowi oferty handlowej w rozumieniu Art. 66 par. 1 Kodeksu Cywilnego.</t>
  </si>
  <si>
    <t>https://www.otodom.pl/pl/oferta/dwa-pokoje-na-sprzedaz-morena-osiedle-alfa-park-ii-ID4odGu</t>
  </si>
  <si>
    <t>4odGu</t>
  </si>
  <si>
    <t>Piękne mieszkanie w Echo Fuzji!!! Top!</t>
  </si>
  <si>
    <t>ul. Milionowa, Księży Młyn, Widzew, Łódź, łódzkie</t>
  </si>
  <si>
    <t>po generalnym remoncie / balkon / winda / 3 piętroZachęcamy do zapoznania się z naszą niezwykłą ofertą sprzedaży apartamentu w Echo Fuzji, położonym w sercu Łodzi. Ten piękny apartament został zaprojektowany przez uznaną architekt wnętrz i świeżo wykończony, co nadaje mu niepowtarzalny urok i charakter. Przy wejściu do mieszkania od razu wzrok przykuwa piękna tapeta, która idealnie harmonizuje z resztą wnętrza i dodaje mu wyjątkowego klimatu. Świetnie zaprojektowana przestrzeń nie pozwala w pierwszej chwili dostrzec strefy sypialnianej, natomiast w łazience zastosowano najwyższej jakości tapetę przystosowaną do kontaktu z wodą. Ponadto mieszkanie jest wyposażone w najlepszej jakości sprzęt AGD w zabudowie.Do mieszkania przynależy również komórka lokatorska dodatkowo płatna 10000 zł.Mieszkanie zakupione było przez osoby prywatne, wyłącznie do użytku własnego dlatego wszystkie materiały użyte do wykończenia są najwyższej jakości. W mieszkaniach Echo Fuzja zastosowała rozwiązania Echo smart. Rozwiązania Echo Smart to bezprzewodowy system zarządzania inteligentnym domem. Głosowo lub zdalnie, przy pomocy smartfonu możesz m.in. sterować oświetleniem, regulować temperaturę, wyłączać urządzenia elektryczne czy odblokowywać zamek drzwi wejściowych.Lokalizacja Echo Fuzji w samym sercu Łodzi to dodatkowy atut tego apartamentu. Będziesz miał bliskość do wszystkich ważnych punktów miasta, w tym sklepów, restauracji, kawiarni i miejsc rekreacyjnych. Dodatkowo, dogodne połączenia komunikacyjne zapewnią Ci łatwy dostęp do innych części miasta.To jest niepowtarzalna okazja, aby stać się właścicielem apartamentu w Echo Fuzji. Jeśli marzysz o mieszkaniu w topowej lokalizacji Łodzi, z niepowtarzalnym, nowoczesnym stylem, nie możesz przegapić tej oferty. Skontaktuj się z nami już dziś, aby umówić się na prezentację i odkryć wszystkie piękne szczegóły tego wyjątkowego apartamentu - poczujesz się w nim jak w swoim wymarzonym domu!TEKTON PROPERTY TO NAJLEPSZE BIURO NIERUCHOMOŚCI W POLSCE WG KONKURSU LIDER NIERUCHOMOŚCI OTODOM 2020.Znajdź nas w swoim mieście: Gdańsk, ul. Chmielna 10 - Warszawa, Plac Dąbrowskiego 1/311 - Wrocław, ul. Kasztanowa 3A/118 - Kraków, ul. Józefitów 7/4 - Poznań, ul. Rembertowska 15B/2 - Łódź, ul. Zachodnia 70 pok. 223.Podejmując współpracę z przedstawicielami Tekton Property zyskujesz:- oszczędność czasu- weryfikację dokumentów od strony formalno-prawnej- wsparcie agenta na każdym etapie transakcji- pomoc przy uzyskaniu kredytu hipotecznego w kilkunastu bankach- wgląd do umów przed zawarciem aktu notarialnego u sprawdzonych Notariuszy- własne analizy makroekonomiczne i raporty z prowadzonych działań- dostęp do cen transakcyjnych z okolicy Skontaktuj się z opiekunem oferty, a on poprowadzi Cię przez wszystkie etapy transakcji.Zapraszamy do współpracy!Niniejsze ogłoszenie nie stanowi oferty handlowej w rozumieniu przepisów art. 66 k.c., a przedstawione dane mają charakter informacyjny.</t>
  </si>
  <si>
    <t>https://www.otodom.pl/pl/oferta/piekne-mieszkanie-w-echo-fuzji-top-ID4oa0X</t>
  </si>
  <si>
    <t>4oa0X</t>
  </si>
  <si>
    <t>Villa Burtowa | mieszkanie 2-pok. | 1A</t>
  </si>
  <si>
    <t>ul. Burtowa, Władysławowo, Władysławowo, pucki, pomorskie</t>
  </si>
  <si>
    <t>Przedmiotem ogłoszenia jest 2-pokojowe mieszkanie położone na parterze w inwestycji Villa Burtowa. To wyjątkowy lokal o powierzchni 23,01 m kw. Cechą inwestycji jest wysoki standard i świetna lokalizacja.
O inwestycji
Villa Burtowa została stworzona z myślą o najwyższej jakości wykończenia oraz komforcie mieszkańców. Wszystkie nasze apartamenty i domy zostały wybudowane z użyciem najlepszych materiałów, co gwarantuje nie tylko wysoką jakość wykonania, ale także trwałość i wytrzymałość konstrukcji na wiele lat. Zastosowanie najnowszych technologii budowlanych oraz staranne wykonanie detali, sprawiają że nasze nieruchomości są wyjątkowo estetyczne i funkcjonalne.
Oferujemy naszym klientom bardzo atrakcyjne, konkurencyjne na rynku ceny. Starając się zachować rozsądną cenę oferujemy nieruchomości charakteryzujące się wysokim standardem w dogodnej lokalizacji. Staramy się dostosować nasze oferty do indywidualnych potrzeb i wymagań każdego klienta, by zapewnić mu jak największą satysfakcję z inwestycji. W cenie każdego z apartamentów otrzymają Państwo przyporządkowane do niego miejsce postojowe na ogrodzonym parkingu przynależnym do nieruchomości.
O lokalizacji
Pragniemy zaprosić Państwa do zapoznania się z naszym najnowszym projektem, który znajduje się w atrakcyjnej lokalizacji niedaleko morza, zaledwie 10 minut spacerem od pięknej, piaszczystej plaży. Nasze apartamenty położone są w samym sercu nadmorskiego kurortu, co oznacza, że mieszkańcy mają dostęp do wszystkich atrakcji i udogodnień, jakie oferuje to popularne miejsce wypoczynku.
O nas
Villa Burtowa to projekt, który powstał z pasji do tworzenia nowoczesnych i funkcjonalnych domów. Priorytetem jest dla nas jakość realizowanych projektów, począwszy od wyboru lokalizacji poprzez dobór wysokiej klasy materiałów budowlanych i rzetelne wykonanie. Wszystkie realizowane przez nas projekty powstają w miejscach z bliskim sąsiedztwie natury i są dobrze skomunikowane z centrum miasta. Z pełnym przekonaniem realizujemy kolejne przedsięwzięcia, aby spełniały wymagania naszych klientów.</t>
  </si>
  <si>
    <t>https://www.otodom.pl/pl/oferta/villa-burtowa-mieszkanie-2-pok-1a-ID4lt3D</t>
  </si>
  <si>
    <t>4lt3D</t>
  </si>
  <si>
    <t>Godne podziwu 2 pokojowe mieszkanie 35,14m2</t>
  </si>
  <si>
    <t>ul. gen. Henryka le Ronda, Dąbrówka Mała, Katowice, śląskie</t>
  </si>
  <si>
    <t>Na sprzedaż piękne, wykończone najwyższymi materiałami mieszkanie o powierzchni 35,14m2, pomimo stosunkowo niewielkiego metrażu, mieszkanie jest bardzo przestronne oraz funkcjonalne. Projekt mieszkania jest dopasowany do potrzeb każdej osoby która w nim zamieszka.
Aranżacja zostaję dla kupującego, nie są to tylko ozdoby! Oczywiście wedle uznania.
Lokum idealnie nadaje się dla singla, pary, pary z dzieckiem oraz pod wynajem inwestycyjny. Zarówno krótko jak i długoterminowy z uwagi na świetną lokalizację i komunikację z centrum oraz pobliskimi miastami. 
Budynek
Jest to kamienica po kompletnej rewitalizacji, zostały wymienione wszystkie instalację co daje komfort oraz bezpieczeństwo mieszkania na minimum paręnaście lat. 
- Wejście do budynku zabezpieczone videofonem lub domofonem po zakończeniu trwających prac elewacyjnych które są planowane na połowę stycznia, co tym bardziej ZWIĘKSZY WARTOŚĆ MIESZKANIA 
- Klatka schodowa po remoncie
- Budynek Zdrowy, z dachem po remoncie. 
Kompletny brak problemów prawnych oraz technicznych.
Mieszkanie
- Mieszkanie przeszło generalny remont, jest gotowe do wprowadzenia. Składa się z dużego przedpokoju z 2 szafami w zabudowie, sporej kuchni, łazienki z prysznicem oraz wc. W salonie znajdziemy sporą przestrzeń pozwalającą na dowolną aranżację wedle własnych potrzeb. W tym momencie znajdziemy komplet wypoczynkowy, komodę, szafki oraz część jadalnianą. Kolejno mamy sypialnie z łóżkiem małżeńskim, szafą w zabudowie z dowolnością zagospodarowania oraz kącik w którym spokojnie zmieści się mniejsze biurko, bądź kącik do czytania. 
- Znajdziemy aż 3 szafy w zabudowie,
- Kuchnia z zabudową oraz AGD w cenie mieszkania, 
- Ciepła woda z nowoczesnego bojlera elektrycznego sterowanego smartphonem
- Ogrzewanie elektryczne.
- Duże nowe okna PCV, zapewniające dużą ilość światła słonecznego. 
- Na podłogach Panele oraz Terakota
- Łazienka w nowoczesnej glazurze z prysznicem, bez brodzika. 
OTOCZENIE
Okolica jest spokojna i bezpieczna. Mieszkanie jest bardzo dobrze skomunikowane z centrum miasta- 2 minuty do Sklepu IKEA, 6 minut do popularnego "SPODKA" oraz 10 minut na ul. Mariacką. Czas podany sprawdzany w godzinach szczytu. W 5 minut znajdziemy się w Sosnowcu, 10 minut w Dąbrowie Górniczej, 10 minut w Tychach, 15 minut w Chorzowie. W ciągu zaledwie paru minut dostaniemy się na autostradę w kierunku Krakowa, Gliwic czy Warszawy. W pobliżu przystanek komunikacji miejskiej. Na osiedlu plac zabaw, sklep, przychodnia, szkoła. przedszkole. 
Zapraszam do kontaktu i na prezentację. 
Oferta dostępna tylko w naszym biurze
Agent Prowadzący Ofertę: Jakub Grzybek
CENA NIE OBEJMUJE KOSZTÓW NOTARIALNYCH ORAZ KOSZTÓW PROWIZJI 
Powyższy opis nie stanowi oferty w rozumieniu art. 66 §1 kodeksu cywilnego, a dane w nim zawarte mają jedynie charakter informacyjny.</t>
  </si>
  <si>
    <t>https://www.otodom.pl/pl/oferta/godne-podziwu-2-pokojowe-mieszkanie-35-14m2-ID4onXZ</t>
  </si>
  <si>
    <t>4onXZ</t>
  </si>
  <si>
    <t>OSTATNIE|NajlepszaCena|promocja|NowaInwestycja|HIT</t>
  </si>
  <si>
    <t>ul. Ignacego Mościckiego, Bieńkowice, Krzyki, Wrocław, dolnośląskie</t>
  </si>
  <si>
    <t>Pracujemy 7 dni w tygodniu. Zainteresowała Cię oferta? Zadzwoń, zanim ubiegną Cię inni.
-&amp;gt; umów się na prezentację mieszkania na żywo
-&amp;gt; ostatnie mieszkania w ofercie
-&amp;gt; 0% PROWIZJI
OFERTA BEZPOŚREDNIO OD DEWELOPERA. 
W ofercie posiadamy piękne mieszkania(dwu/trzy oraz czteropokojowe) z ogródkami lub balkonami. Klucze za rok. 
Razem płynnie przejdziemy przez cały proces zakupu nieruchomości.Wszystkie formalności związane z kredytowaniem nieruchomości załatwimy na miejscu.Opis mieszkania:Na sprzedaż słoneczne trzypokojowe mieszkanie położone na pierwszym piętrze w nowoczesnym budynku. Wystawa okien wschodnia. Do mieszkania przynależy przestronny balkon na którym znajdziesz dodatkową przestrzeń do odpoczynku.Mieszkanie tworzy przestronny salon z aneksem kuchennym oraz dwie duże sypialnie. W przedpokoju miejsce na dużą szafę. W łazience bez najmniejszych problemów zmieścimy wannę. Przemyślany układ pomieszczeń tworzy doskonałą funkcjonalność.Opis budynku:Dwupiętrowe kameralnie położone budynki w dobrym standardzie. Do każdego z mieszkań przynależy balkon bądź ogródek. Duże przestrzenie między budynkami gwarantują poczucie intymności.Przy budynku przewidziane są miejsca parkingowe naziemne.Opis lokalizacji:Inwestycja mieści się w dobrze skomunikowanej okolicy, to gwarancja codziennej wygody, a bliskość arterii drogowych zapewnia szybki dojazd do Centrum. W pobliżu osiedla znajdziesz sklepy (zarówno małe, jak i duże), usługi, placówki edukacyjne, przychodnie i poradnie medyczne. I oczywiście miejsca do rekreacji.
*Prezentowana oferta nie stanowi oferty handlowej w rozumieniu Art. 66§1 Kodeksu Cywilnego, a dane w niej zawarte maja charakter jedynie informacyjny i mogą ulec zmianie.
Zostawiając nam swoje dane wyrażają Państwo zgodę na przetwarzanie podanych przez siebie danych osobowych. </t>
  </si>
  <si>
    <t>https://www.otodom.pl/pl/oferta/ostatnie-najlepszacena-promocja-nowainwestycja-hit-ID4oHfa</t>
  </si>
  <si>
    <t>4oHfa</t>
  </si>
  <si>
    <t>Atrakcyjna Lokalizacja ! / Gotowe na Wynajem !</t>
  </si>
  <si>
    <t>Huby, Krzyki, Wrocław, dolnośląskie</t>
  </si>
  <si>
    <t>LOKALIZACJA: ul. Gliniana (obok dworca PKS i PKP, Wroclavii, UE). Bardzo atrakcyjna lokalizacja w samym centrum. W okolicy sklepy, punkty usługowe, uczelnie, tereny zielony itp. Miejsce świetnie skomunikowane.OPIS: komfortowe mieszkanie , o pow. 65mkw, 2 piętro w bloku. Składa się z: 3 pokoi, kuchni, łazienki i przedpokoju.Mieszkanie  o wysokim standardzie, w styczniu odbędzie się remont łazienki i przedpokoju. Lokal w pełni umeblowany i wyposażony, gotowy do wynajmu.Ogrzewanie miejskie.Blok w bardzo dobrym stanie.
Zapraszam
Agnieszka 690206931</t>
  </si>
  <si>
    <t>https://www.otodom.pl/pl/oferta/atrakcyjna-lokalizacja-gotowe-na-wynajem-ID4osnw</t>
  </si>
  <si>
    <t>4osnw</t>
  </si>
  <si>
    <t>Kawalerka w nowym budownictwie!</t>
  </si>
  <si>
    <t>ul. Jana Kotłowskiego, Wejherowo, wejherowski, pomorskie</t>
  </si>
  <si>
    <t>Mieszkanie gotowe do wprowadzenia, niewymagające kosztownego remontu!Nieruchomość zlokalizowana jest na ul. Jana Kotłowskiego, tuż przy drodze krajowej, z której z łatwością dostaniemy się do całego Trójmiasta, a także do Karwi, Białogóry i innych nadmorskich miejscowości. Dodatkowym atutem jest również bliskość lasu, który znajduje się dosłownie za rogiem. W odległości kilkudziesięciu kroków dobrze zaopatrzone sklepy, place zabaw oraz apteki.Najbliższy przystanek autobusowy 3 min spacerem!Mieszkanie ulokowane jest na trzecim i zarazem ostatnim piętrze bloku mieszkalnego wybudowanego w 2010 r. W cenie mieszkania miejsce parkingowe do wyłącznego użytku właściciela.Nieruchomość o powierzchni 26,70m2 zaaranżowana w liczne zabudowy, tak aby całkowicie zagospodarować całą dostępną przestrzeń! W mieszkaniu zamontowane ogrzewanie podłogowe z możliwością sterowania wysokości temperatury.Oferowany lokal składa się z:- przedpokoju (2,10m2),- salonu z aneksem kuchennym (18,30m2), z salonu wyjście na balkon,Aneks kuchenny wyposażony w zlewozmywak, ceramiczną płytę grzewczą, okap, piekarnik, zmywarkę i lodówko-zamrażarkę.- sypialni (6,30m2) z zabudową,- łazienki (2,90m2).Łazienka wyposażona w kabinę prysznicową, oraz z pralkę widoczną na zdjęciach.Nieruchomość idealna dla osób łączących miejski styl życia z relaksem i bliskością natury!Zapraszamy do kontaktu!</t>
  </si>
  <si>
    <t>https://www.otodom.pl/pl/oferta/kawalerka-w-nowym-budownictwie-ID4ooZq</t>
  </si>
  <si>
    <t>4ooZq</t>
  </si>
  <si>
    <t>Nowoczesny i wygodny z działką 773m2 Nieporęt</t>
  </si>
  <si>
    <t>ul. Zwycięstwa, Nieporęt, Nieporęt, legionowski, mazowieckie</t>
  </si>
  <si>
    <t>Niezwykle wygodny i funkcjonalny dom wolnostojący, po wschodniej stronie Kanału Żerańskiego w Nieporęcie. 
Do Legionowa jest zaledwie 15 min, natomiast do Warszawy 20 min jazdy autem. Stacja kolei SKM w odległości 20 minut spaceru. W sezonie turystycznym jest to ta „niezakorkowana” strona Nieporętu.
A za oknem codziennie będziesz miał kontakt z przyrodą i możliwość wypicia porannej kawy na własnym tarasie. No i otrzymasz przestrzeń, którą zapewni Ci 6 pokoi - w tym domu każdy znajdzie miejsce dla siebie.
:: INFORMACJE PODSTAWOWE ::
rok budowy 2009 - wykończony 2014
powierzchnia całkowita – 271 m2
powierzchnia użytkowa – 235,2 m2
powierzchnia tarasu – 45m2
wg projektu ARCHON „Dom pod Juką 2” (zmodyfikowany)
powierzchnia działki 773 m2
media (woda miejska, gaz, prąd)
6 pokoi i 3 łazienki
światłowód przy ulicy, w domu internet przewodowy Neostrada
:: DOM ::
PARTER (powierzchnia użytkowa)
Salon z jadalnią 47,3 m2 Przestronny, pięknie doświetlony dużymi oknami - znajduje się od strony południowo - zachodniej, wychodzący na duży taras, częściowo zadaszony (markiza), wykusz z 4 oknami, obudowany (płyty granitowe - grafit) kominek z płaszczem wodnym, neutralna kolorystyka.
Kuchnia 13,8 m2 Otwarta na salon, wygodnie urządzona i wyposażona, meble kuchenne w zabudowie ze sprzętem AGD (piekarnik BOSCH, płyta indukcyjna 4-palnikowa, lodówka w zabudowie BOSCH dwudrzwiowa z kostkarką lodu, zmywarka BOSCH, zabudowana kuchenka mikrofalowa Whirlpool), blat granitowy &amp;gt;4m.
Pokój gościnny / Gabinet 11,4 m2 Ustawny, mogący pełnić rolę pokoju gościnnego lub gabinetu. Zabudowa meblowa typu LOFT.
Łazienka 3,51 m2 Wyposażona w prysznic, umywalkę i toaletę.
Garaż 35,00 m2 Dwustanowiskowy, dwubramowy, ogrzewany, połączony pomieszczeniem kotłownią z częścią mieszkalną, drzwi PPOZ 60.
Pomieszczenie gospodarcze z pralnią 5,7 m2
Pralka BOSCH, suszarka kondensacyjna BOSCH, zlew, drzwi do części mieszkalnej PPOZ 30. Drzwi doskonale tłumią odgłosy pracującej pralki i szuszarki.
Wiatrołap + hol 14,6 m2 Otwarty, z zabudową meblową dopasowaną do stylu kuchni.
I PIĘTRO (powierzchnia użytkowa)
2 sypialnie 14,3 m2 i 14,3 m2 Wszystkie funkcjonalne i wygodne, skosy nieprzeszkadzające w użytkowaniu, z każdego pokoju wyjście na mały balkon ok. 3,0 m2.
Sypialnia główna z łazienką 19,9m2 + 5,0m2 + garderoba 2,0m2  Posiada funkcjonalną garderobę, mały przedpokój oraz prywatną łazienkę z toaletą, bidetem i przestronną kabiną prysznicową. Blat granitowy.
Łazienka główna/ Pokój kąpielowy 10,3 m2 Pomieszczenie wyposażone w dużą wannę (180 cm), przestronną kabinę prysznicową, toaletę, bidet i dwie umywalki. Blat granitowy. Okna wychodzące na zachód.
Gabinet 2 + garderoba 12,5m2 + 2,4m2
Pokój z oknami wychodzącymi na południe urządzony jako gabinet. Posiada osobne pomieszczenie służące jako magazynek lub garderoba. Właz na strych, po rozkładanych schodach drewnianych.
Korytarz 10,6 m2
Dodatkowe pomieszczenia:
Dom posiada duży, ocieplony strych ok. 30 m2, użytkowany jako schowek, wejście za pomocą rozkładanych schodków z Gabinetu 2.
:: DZIAŁKA 773 m2 ::
Otacza dom ze wszystkich stron, pięknie nasłoneczniona. Największa część ogrodu znajduje się od strony wschodniej. Od strony zachodniej podjazd wyłożony „obijaną” kostką brukową. Ładnie zagospodarowana, na większości przestrzeni rośnie dobrze utrzymana trawa. Siatka przeciw kretom na całej powierzchni. Wzdłuż ogrodzeń zasadzone, dojrzałe, gęste thuje „Brabant”. Ogród praktycznie bezobsługowy, nawodnienie - 4 linie + linia kroplująca).
:: STANDARD WYKOŃCZENIA ::
Dom wybudowany w 2009 r. wykończony w 2014 r. do tego czasu stał w stanie surowym zamkniętym
Na podłodze deski dębowe warstwowe (natomiast w kuchni, łazienkach, garażu, kotłowni i wiatrołapie gres)
Ogrzewanie podłogowe
Dom posiada Świadectwo Charakterystyki Energetycznej
Automatyczne bramy garażowe (HORMANN + FAAC) i główna w ogrodzeniu (FAAC), sprzężone z alarmem, zdalnie sterowane przez piloty, SMS oraz przyciski na ścianach
Dach pokryty dachówką ceramiczną
Strych dodatkowo ocieplony wełną mineralną + ocieplony sufit pomiędzy I piętrem a strychem
Dom wybudowany z pustaka ceramicznego, ocieplony styropianem
Ogrzewanie gazowe (piec dwufunkcyjny z zasobnikiem Buderus) oraz kominek z płaszczem wodnym ze sterownikiem. Piec z możliwością zdalnego sterowania przez aplikację.
Instalacja kominkowa monitorowana pod względem bezpieczeństwa przez alarm (ciśnienie wody, dym). Dodatkowa instalacja zabezpieczająca – pasywna (zawór nadciśnieniowy, automatyczny zawór podający wodę chłodzącą)
Drzwi główne drewniane, wzmocnione
Łatwa adaptacja pomieszczeń I piętra do rekuperacji
Rolety rzymskie w oknach na parterze
Przydomowa oczyszczalnia ścieków
Alarm z powiadomieniem na telefon, radiowym i zdalnym sterowaniem. Alarm pełni funkcję sterownika domu inteligentnego.
Czujniki dymu w garażu, kotłowni, nad kominkiem. Czujnik CO w kotłowni.
Instalacja internetowa (Ethernet) w całym domu
Dwa routery Ubiquity (parter, piętro)
Instalacja 4 kamer przemysłowych, z możliwością zdalnego podglądu
Zdalnie sterowane oświetlenie domu SMS
Instalacja kanalizacyjna z rozprowadzeniem (pompa podnosząca poziom), dokumentacja pozytywnie opiniująca instalację ww.
Instalacja elektryczna częściowo przygotowana do instalacji fotowoltaiki
Taras ok 45 m2 z modrzewia syberyjskiego, olejowany
Meble w kuchni fornirowany i lakierowany MDF, kolory neutralne. Okucia meblowe firmy BLUM.
W wykuszu sufit napinany
W całym domu krawędzie pomiędzy ścianą a sufitem ze szczeliną ułatwiającą utrzymanie estetyki podczas malowania
Pomieszczenie teletechniczne pod schodami.Może służyć za dodatkowy schowek gospodarczy
Kotłownia przygotowana do adaptacji pompy ciepła
Na zewnątrz, niewidoczny od głównej strony budynku, obszerny stojak na drewno kominkowe i sprzęt ogrodowy
Wszystkie łazienki doposażone w grzejniki do suszenia ręczników. Grzejniki dostosowane do zainstalowania dodatkowych grzałek elektrycznych.
Każde z pomieszczeń użytkowych wyposażone w termostat
Schody wykończone dębiną, automatycznie podświetlane po zmroku
Robione na zamówienie stoły w jadalni i na tarasie
Ławka tarasowa z robionymi na zamówienie poduszko-pufami
Dobrze utrzymana trawa. Siatka przeciw kretom na całej powierzchni. Wzdłuż ogrodzeń zasadzone, dojrzałe, gęste thuje „Brabant”. Ogród w sezonie praktycznie bezobsługowy, nawodnienie - 4 linie (EarlyBird) + linia kroplująca).
Zastosowana wełna mineralna w izolacji dachu o stopień lepsza (35 &amp;gt; 32) niż w projekcie
Domofon w ogrodzeniu. Furtka sterowana zdalnie jak i z przycisków na ścianach
Zlewozmywak kuchenny w kolorze blatu
Zabudowane radio kuchenne
Stabilne łącze internetowe
Markiza sterowana z przycisków w ścianie i zdalnie (SMS)
Woda deszczowa z rynien spływa do podziemnych kolektorów
Mineralny, zmywalny tynk na całej powierzchni domu
Wykończenie większości ścian: lity tynk wapienno-cementowy
Moskitiery w większości okien
:: LOKALIZACJA ::
Dom położony w Nieporęcie, w bliskiej odległości od Kanału Żerańskiego i okolicznych lasów.
Niedaleko Urzędu Gminy Nieporęt. Dzięki temu położeniu możliwy jest szybki i łatwy dostęp do punktów handlowych i usługowych w okolicy. Dom w odległości 300m od ścieżki rekreacyjnej (jogging, rower, nordic walking) wzdłuż Kanału Żerańskiego.
W pobliżu:
szkoła podstawowa ok. 500 m
przedszkole ok. 1200 m
sklep ok. 650 m
apteka ok. 1200 m
Jezioro Zegrzyńskie ok. 2,1 km
przystanek autobusowy ok. 850 m
stacja kolejki podmiejskiej ok. 1,8 km
supermarket ok. 3,0 km niezakorkowaną drogą
Legionowo ok. 12 km
do granicy Warszawy ok. 9 km
:: OPŁATY :: 
- W sezonie grzewczym opłaty za gaz to koszt ok. 1500 zł/ za 2 m-ce
- Wysokość podatku od nieruchomości ok. 320 zł/ za rok
- Aktualne opłaty za prąd wynoszą ok. 290 zł/ za 1 m-c (wg liczników)
- Aktualne opłaty za wodę ok. 190 zł / za 2 m-ce (wg liczników)
:: ATUTY
5 pokoi i 3 łazienki (wszystkie z prysznicem, jedna z wanną, w dwóch łazienkach bidety)
Garaż na 2 auta
Bliskość udogodnień miasta połączona z bezpośrednim sąsiedztwem zielonej okolicy
Cicha okolica
Wygodny dojazd bocznymi drogami nawet podczas zakorkowania głównych
Bliskość drogi 631 (łatwy dojazd do S8), która jednocześnie jest odizolowana lasem od hałasu
Nieuciążliwa bliskość do Dzikiej Plaży i portu Pilawa Jeziora Zegrzyńskiego – niedaleko na spacer, ale bez obciążenia parkującymi samochodami i spacerującymi ludźmi
Działka 775 m2 i duży, częściowo zadaszony taras - markiza
Stan domu - do wprowadzenia
Duża ilość szafek i schowków w kuchni
Sypialnia główna z garderobą i prywatną łazienką
Reprezentacyjny gabinet dolny/pokój gościnny
Pięknie nasłoneczniony, wygodny i zadbany ogród
Wielowariantowe oświetlenie salonu, kuchni, ogrodu i tarasu. Oprawy wysokiej jakości
Wysokiej jakości armatura łazienkowa - Hansgrohe
Neutralne, spójne dla całego domu kolory wykończenia
Chciałbyś sprawdzić, jak przytulny jest dom oraz poczuć jego pozytywną atmosferę?!
Umów się na oglądanie domu już dziś!</t>
  </si>
  <si>
    <t>https://www.otodom.pl/pl/oferta/nowoczesny-i-wygodny-z-dzialka-773m2-nieporet-ID4mr17</t>
  </si>
  <si>
    <t>4mr17</t>
  </si>
  <si>
    <t>Dwa pokoje/1 piętro/super cena</t>
  </si>
  <si>
    <t>Górzyskowo, Bydgoszcz, kujawsko-pomorskie</t>
  </si>
  <si>
    <t>Sprzedaż bez prowizji i bez PCCObsługujemy wiele inwestycji, poznasz je wszystkie w jednym miejscu!Proponowane mieszkanie dwupokojowe świetnie nada się jako pierwsze mieszkanie dla singla, pary, rodziny z dzieckiem lub jako inwestycja pod wynajem.Lokal nr 14 położony jest na I piętrze bloku który powstaje na bydgoskim Górzyskowie i zostanie oddany do użytku w III kwartale 2024rZarezerwuj już teraz z gwarancją dobrej  ceny.Powierzchnia całkowita to 42,14m2W skład mieszkania wchodzą:- salon z aneksem kuchennym 23,43m2- sypialnia 11,14m2- łazienka z wc 3,83m2- przedpokój 3,74m2Mieszkanie z balkonem !Atuty inwestycji- cichobieżna winda- podziemna hala garażowa- teren ogrodzony, domofon- komórki lokatorskie- plac zabaw- wysoka jakość materiałów budowlanych- nowoczesny designMieszkanie w stanie deweloperskim.Kupujący doceniają tę inwestycję za lokalizację w cichej części osiedla a jednocześnie blisko centrum miasta( 2 km ) kameralne miejsce z dala od ruchliwej ulicy W zasięgu ręki dostępne jest wszystko potrzebna do codziennego życia.W bloku dostępne są jeszcze inne mieszkania w podobnym metrażu, mniejsze, większe.Firma Expander świadczy również bezpłatne dla klienta doradztwo kredytowe.Zapraszam do kontaktu.Zainteresowany? Zadzwoń teraz i umów się na spotkanie online</t>
  </si>
  <si>
    <t>https://www.otodom.pl/pl/oferta/dwa-pokoje-1-pietro-super-cena-ID4lT7Q</t>
  </si>
  <si>
    <t>4lT7Q</t>
  </si>
  <si>
    <t>Nowy apartament 150m od morza | Ustronie Morskie</t>
  </si>
  <si>
    <t>ul. Ku Morzu, Ustronie Morskie, Ustronie Morskie, kołobrzeski, zachodniopomorskie</t>
  </si>
  <si>
    <t>LOKAL UŻYTKOWY 2-POKOJOWY NA IV PIĘTRZE Z BALKONEM
Apartament zlokalizowany jest w Sianożętach, w otoczeniu natury i w odległości 150 metrów od morza. Inwestycja realizowana jest przez znanego w Wielkopolsce dewelopera – Everest Development, który od początku swojej działalności zaprojektował i wybudował ponad 30 inwestycji.
Istnieje możliwość wykończenia pod klucz.
Wstęp na posesję zabezpieczony jest szlabanem.
Lokal o powierzchni 43,40 m2 położony jest na IV piętrze. Przestronny salon z aneksem kuchennym, sypialnia oraz łazienka zostały zaprojektowane tak, aby zapewnić optymalną funkcjonalność w aranżacji. Apartament jest położony od południowej strony świata. 
BLISKOŚĆ NATURY
Osiedle w Sianożętach zlokalizowane jest w otoczeniu zieleni, w odległości zaledwie 150 m od plaży i Morza Bałtyckiego. Jednoczesna bliskość natury oraz pobliska infrastruktura wakacyjna sprawiają, że miejsce to jest idealne na letni wypoczynek.
MIEJSCA POSTOJOWE
Oferujemy dodatkową możliwość zakupu miejsca postojowego – w hali garażowej lub na parkingu zewnętrznym.
POMAGAMY W UZYSKANIU KREDYTU
Jeżeli zależy Ci na sfinansowaniu inwestycji, nasi specjaliści pomogą Ci wybrać najlepszą ofertę na rynku i bez żadnych dodatkowych opłat przeprowadzą Cię przez cały proces kredytowy. 
OPIEKUN INWESTYCJI
Wszelkich informacji dostarczy Ci opiekun inwestycji, u którego możesz dokonać także bezpłatnej rezerwacji wybranego lokalu.
MAGDALENA SYTNIK504 845 627
AGATA MICHALCZYK507 894 933</t>
  </si>
  <si>
    <t>https://www.otodom.pl/pl/oferta/nowy-apartament-150m-od-morza-ustronie-morskie-ID4dv0m</t>
  </si>
  <si>
    <t>4dv0m</t>
  </si>
  <si>
    <t>Duże mieszkanie w atrakcyjnej cenie</t>
  </si>
  <si>
    <t>Mieszkanie usytuowane jest na trzecim piętrze w kamienicy. Jego powierzchnia to 79,54m2 na którą składają się:-2 przestronne pokoje-kuchnia, -łazienka,-przedpokój,-spiżarnia,oraz piwnica o powierzchni 17,36. Dodatkowym miejscem z którego mogą korzystać mieszkańcy jest również strych. Z uwagi na to, że pokoje mają duże powierzchnie (ok 26m2 i 25m2) i podwójne okna, istnieje możliwość wygospodarowania dodatkowego pokoju.Właściciel mieszkania, ma do dyspozycji garaż blaszany, którego miesięczny koszt wynajmu to 50 zł. Nieruchomość mieści się w atrakcyjnej okolicy, ponieważ w pobliżu znajduje się szkoła, przedszkole, galeria handlowa, kościół, przychodnia lekarska.Zapraszam na prezentację mieszkania."Właścicielem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</si>
  <si>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https://www.otodom.pl/pl/oferta/duze-mieszkanie-w-atrakcyjnej-cenie-ID4i4TL</t>
  </si>
  <si>
    <t>4i4TL</t>
  </si>
  <si>
    <t>Mieszkanie 4-pokojowe-obok Doliny Trzech Stawów</t>
  </si>
  <si>
    <t>ul. gen. Kazimierza Pułaskiego, Osiedle Paderewskiego-Muchowiec, Katowice, śląskie</t>
  </si>
  <si>
    <t>Park Przy Stawach to nowoczesne osiedle mieszkaniowe powstające tuż obok Doliny Trzech Stawów (bezpośrednio przy osiedlu Paderewskiego.) Składa się na nie kompleks 6 budynków z bardzo zróżnicowaną ofertą mieszkań. Lokale zaczynają się od małej kawalerki, a kończą na ogromnym Penthousie z cudownym widokiem-tak, aby każdy znalazł coś dla siebie.  
Inwestycja posiada bardzo wysoki standard:
-Doprowadzone z sieci miejskiej wodne ogrzewanie podłogowe. 
-Wysokość pomieszczeń wynosi aż 2,75m- dzięki temu mieszkania są jasne i przestronne.
-Klatki schodowe i korytarze wyróżniają się nowoczesnym i eleganckim designem-zaprojektowanym przez  Śląską pracownię, która współpracuję z najlepszymi deweloperami w całej Polsce.
Proste formy i ponadczasowa architektura sprawią, że jedyne o czym będziesz myślał to, aby wrócić do swojego pięknego mieszkania. </t>
  </si>
  <si>
    <t>https://www.otodom.pl/pl/oferta/mieszkanie-4-pokojowe-obok-doliny-trzech-stawow-ID4kG9n</t>
  </si>
  <si>
    <t>4kG9n</t>
  </si>
  <si>
    <t>Mieszkanie, 49,73 m², Bielsko-Biała</t>
  </si>
  <si>
    <t>Aleksandrowice, Bielsko-Biała, śląskie</t>
  </si>
  <si>
    <t>BIELSKO-BIAŁA, ALEKSANDROWICEKUPUJĄCY NIE PŁACI 2% PCCPARTER - MIESZKANIE 2 POKOJOWE 39,76m2,  Mam przyjemność zaprezentować Państwu nową inwestycję deweloperską zlokalizowaną w dzielnicy Aleksandrowice. Główną zaletą inwestycji jest lokalizacja. W niedalekiej odległości znajdują się tereny rekreacyjne, spacerowe i mnóstwo terenów zielonych jak również bielski aeroklub, kolejka linowa na Szyndzielnię oraz stok Dębowca, Cygański Lasu, błonie z trasami rowerowymi. Inwestycja to tylko jeden budynek - 9 mieszkań.OFERTA DOTYCZY LOKALU O POWIERZCHNI 39,76 m2ROZKŁAD MIESZKANIAhol -3,45m2pokój z aneksem kuchennym -19,70 m2pokój -11,55 m2łazienka - 5,06m2Mieszkanie sprzedawane jest w stanie deweloperskim. Wszystkie lokale posiadają ogrzewanie PODŁOGOWEDo mieszkań należy dokupić pomieszczenie gospodarcze, które znajduje się na poziomie garażu w cenie 3000zł za 1m2.Dodatkowo można dokupić miejsce postojowe w cenie 15000zł lub garażowe w cenie 35000zł.OGRZEWANIE: kocioł gazowy.INWESTYCJA W TRAKCIE REALIZACJI, PLANOWANE ZAKOŃCZENIE W IV KWARTALE 2023 ROKU/ I kwartale 2024 ROKU ::DODATKOWE INFORMACJE Rodzaj budynku: apartamentowiecRodzaj mieszkania: jednopoziomoweGaraż: miejsce parkingoweStan lokalu: Do wykończeniaOkna: PCVBalkon: brakLiczba balkonów: 1Tarasy: tarasPowierzchnia użytkowa [m2]: 49,7300Liczba pokoi: 2Liczba sypialni: 1Typ kuchni: aneks kuchenny - połączony z salonemLiczba łazienek: 1::LINK DO STRONY ::KONTAKT DO AGENTA Barbara Jelec BBN EFEKT Nieruchomości33 822 10 32690 096 966::DANE BIURA Bielskie Biuro Nieruchomości EFEKT- Krzysztof FilipekCieszyńska 13243-300 Bielsko-Biała519 117 067Pośrednik odpowiedzialny zawodowo za wykonanie umowy pośrednictwa: Paweł Walaszek (licencja nr: 14352)-Jako biuro nieruchomości pobieramy za usługę pośrednictwa wynagrodzenie w formie prowizji.</t>
  </si>
  <si>
    <t>https://www.otodom.pl/pl/oferta/mieszkanie-49-73-m-bielsko-biala-ID4jSrk</t>
  </si>
  <si>
    <t>4jSrk</t>
  </si>
  <si>
    <t>NOWE M2 pokoje z ogródkiem bez PCC bez prowizji</t>
  </si>
  <si>
    <t>ul. Fryderyka Chopina, Sobótka, Sobótka, wrocławski, dolnośląskie</t>
  </si>
  <si>
    <t># kontakt Aleksandra Powierska 667- 664-747 #
Ślężańskie biuro Powierska Nieruchomości prezentuje do zakupu:
Mieszkanie o powierzchni  36,78 mkw z ogródkiem zlokalizowane w nowej inwestycji "Willa Róża"u podnóża góry Ślęża.
Mieszkanie położone na parterze budynku nr 1,
 na powierzchnie 36,78 składa się:
* przedpokój 3,16mkw
* pokój dzienny z aneksem kuchennym 18,66mkw z którego mamy wyjście na taras 9,50 mkw
* pokój 10,24mkw
* łazienki  4,72mkw
* ogródek 36 mkw
W cenie przydatna  komórka lokatorska oraz miejsce postojowe naziemne.
Doskonale sprawdzi się jako pierwsze M lub na inwestycje.
Mieszkanie oddawane w stanie deweloperskim - możliwość wykończenia pod klucz (szybki termin realizacji)
Termin przekazania mieszkania nowemu właścicielowi  -  kwiecień 2024r.
Bardzo spokojna bezpieczna okolica.
Dogodny szybki dojazd zarówno do Wrocławia jak i Świdnicy.
W zasięgu ręki :stacja PKP, sklep, przychodnia, szkoła, przedszkole.
Kupujący nie płaci prowizji ani podatku PCC
Daj się zauroczyć!
Poczuj dobrą energię płynącą ze Ślęży.
Pomagamy w sprawnym uzyskaniu kredytu 2% na Twoje pierwsze MIESZKANIE:
* zakup pierwszej nieruchomości na rynku pierwotnym i wtórnym
* lepiej liczona zdolność kredytowa niż przy standardowym kredycie hipotecznym
* możliwość sfinansowania 100% wartości inwestycji w połączeniu z rodzinnym kredytem mieszkaniowym
Więcej informacji udzielę osobiście
Zapraszam na prezentacje 
Aleksandra Powierska T: 667 664 747
Oferty zamieszczone na stronie  internetowej przygotowywane są na postawie oględzin nieruchomości oraz informacji uzyskanych od właściciela. Weryfikujemy je i sprawdzamy, jednak wszelkie informacje w nich zawarte mogą ulegać aktualizacji, w związku z czym nie stanowią oferty w rozumieniu Kodeksu Cywilnego, a dane w nich zawarte mają jedynie charakter informacyjny.</t>
  </si>
  <si>
    <t>https://www.otodom.pl/pl/oferta/nowe-m2-pokoje-z-ogrodkiem-bez-pcc-bez-prowizji-ID4m80j</t>
  </si>
  <si>
    <t>4m80j</t>
  </si>
  <si>
    <t>5pok taras 65m2 loft Gdynia garaż komórka</t>
  </si>
  <si>
    <t>ul. Bronisława Dembińskiego, Leszczynki, Gdynia, pomorskie</t>
  </si>
  <si>
    <t>Unikalny apartament w Gdyni w nowej inwestycji Horyzonty Gdyni o powierzchni około 97m2. W bardzo bliskiej odległości od centrum Gdyni, plaży i zatoki. W okolicy pełna infrastruktura, idealnie skomunikowane z głównymi arteriami miasta, a także pozostałymi częściami Trójmiasta. Budynek położony na wzgórzu, a sam apartament mieści się na ostatnim piętrze. Mieszkanie to dwa poziomy, na które składają się salon z aneksem kuchennym oraz jadalnia, 2 sypialnie, łazienka z wanną oraz hol, w którym znajdziemy pojemne szafy. Na piętrze znajdziemy główną sypialnię połączoną z garderobą oraz łazienką a także drugą sypialnię. Z górnego poziomu jest wyjście na taras o powierzchni 65 m2 z widokiem na panoramę Gdyni.Niepowtarzalne rozwiązanie otwartej przestrzeni w salonie, duże okna, drewniane schody, piękne lampy, sprawiają iż mieszkanie jest jasne. Atutem mieszkania jest przede wszystkim zagospodarowany taras na dachu z widokiem na miasto oraz zatokę, do wyłącznego korzystania oraz na niższej kondygnacji balkon. Bardzo wysoki standard wykończenia. Do mieszkania przynależy miejsce w hali oraz komórka lokatorska w cenie 60 000zł.Prezentowana oferta ma charakter informacyjny, nie stanowi oferty handlowej w rozumieniu Art. 66 par. 1 Kodeksu Cywilnego.</t>
  </si>
  <si>
    <t>https://www.otodom.pl/pl/oferta/5pok-taras-65m2-loft-gdynia-garaz-komorka-ID4mz3F</t>
  </si>
  <si>
    <t>4mz3F</t>
  </si>
  <si>
    <t>| Kredyt 2 % | Gdynia | 2 pokoje |</t>
  </si>
  <si>
    <t>ul. Rdestowa, Dąbrowa, Gdynia, pomorskie</t>
  </si>
  <si>
    <t>Skorzystaj z kredytu  2 % , to się opłaca !!! Zapytaj o szczegóły.Kupujący nie płaci wynagrodzenia dla biura - 0% prowizji. Ponadto brak PCC - 2%.Inwestycja ta otwiera nowy rozdział w życiu tej okolicy. Wysokiej klasy urbanistyka, sklepy, kawiarnie i restauracje, atrakcyjne tereny rekreacyjne oraz łatwość dojazdu sprawią, że Nowa Dąbrowa szybko stanie się tętniącym życiem, nowym centrum tej części Gdyni.Będzie tu miejsce na pracę i na rozrywkę, na zakupy i na posiłek poza domem, na aktywność fizyczną i na odpoczynek w ciszy. Udogodnienia dostępne na terenie samego osiedla oraz w całej dzielnicy Dąbrowa umożliwią mieszańcom zaspokojenie większości potrzeb życiowych. Decyzja o wyborze miejsca zamieszkania nigdy wcześniej nie była tak łatwa.Atuty:- całodobowa ochrona i monitoring- doskonała lokalizacja- najwyższy standard jakości i rozwiązań technicznych- unikalna architektura- bliskość lasuMieszkanie 40,37 m2 składa się z:- salonu z aneksem kuchennym 19,52 m2- sypialni 12,47 m2- przedpokoju 3,97 m2 - łazienki 4,41 m2- tarasu 5,07 m2Jeśli jesteś zainteresowany innym metrażem, układem, terminem oddania itp. napisz , a na pewno znajdziemy coś dla Ciebie.Współpracując ze mną masz gwarancję, że przeprowadzę Cię przez cały proces zakupu nieruchomości , począwszy od prezentacji , notariusza, aż po wydanie kluczy.Zapewniamy również bezpłatną i profesjonalną opiekę Eksperta Finansowego, który będzie wsparciem we wszystkich formalnościach związanych z finansowaniem nieruchomości, począwszy od porównania i wyboru najlepszych warunków, wsparcia w całym procesie uzyskania decyzji kredytowej, aż do wypłaty środków!Nie zwlekaj, zadzwoń już dziś i dowiedz się więcej!Ekspert ds. NieruchomościKarol Soleckitel. 798 993 826symbol: A.4.1Zainteresowany? Zadzwoń teraz i umów się na spotkanie online</t>
  </si>
  <si>
    <t>https://www.otodom.pl/pl/oferta/kredyt-2-gdynia-2-pokoje-ID4nxSj</t>
  </si>
  <si>
    <t>4nxSj</t>
  </si>
  <si>
    <t>Witomino Leśniczówka, mieszkanie 60 m2, I piętro</t>
  </si>
  <si>
    <t>ul. 2 Morskiego Pułku Strzelców, Witomino-Leśniczówka, Gdynia, pomorskie</t>
  </si>
  <si>
    <t>Oferuje na sprzedaż mieszkanie 4 pokojowe o powierzchni 60 m2. Zlokalizowane jest w urokliwej części Witomina - Leśniczówka. Obok budynku znajduje się Biedronka, w pobliżu inne sklepy, apteka, poczta. Na terenie Witomina znajdują się szkoły podstawowe, w tym publiczne i prywatne, przedszkola, żłobki oraz liceum ogólnokształcące. Przed blokiem znajdują się 2 duże bezpłatne parkingi. Mieszkanie znajduje się na pierwszym piętrze, widok z trzech pokoi jest na las. Mieszkanie bardzo słoneczne i ciepłe (co roku nadpłata za ogrzewanie). Ma duże możliwości aranżacyjne. Do mieszkania przynależy piwnica, do dyspozycji mieszkańców suszarnia.
Nieruchomość składa się z:- duży pokój ok 16 m2- 1 sypialnia  ok 9 m2- 2 sypialnia ok 8 m2- 3 sypialnia ok 7 m2- przedpokój ok 9 m2- kuchnia ok 6 m2- łazienka ok 3 m2- ubikacja 1,5 m2Mieszkanie ma księgę wieczystą bez obciążeń.Możliwość szybkiego wydania.Zapraszam do oglądnięcia nieruchomości.Nie jestem zainteresowana współpracą z pośrednikami.  </t>
  </si>
  <si>
    <t>https://www.otodom.pl/pl/oferta/witomino-lesniczowka-mieszkanie-60-m2-i-pietro-ID4nNU7</t>
  </si>
  <si>
    <t>4nNU7</t>
  </si>
  <si>
    <t>PARTER po remoncie 40,53m2 sieć miejska, piwnica</t>
  </si>
  <si>
    <t xml:space="preserve">
PREZENTUJEMY NA SPRZEDAŻ 2POKOJOWY LOKAL MIESZKALNY O POWIERZCHNI 40,53M2 PRZY UL. PRZEMYSŁOWEJ W SŁUPSKU. PARTER, SIEĆ MIEJSKA!
Oferujemy do sprzedaży w pełni gotowe do zamieszkania lokal mieszkalny o powierzchni użytkowej 40,53m2 przy ul. Przemysłowej. Do mieszkania przynależy piwnica o powierzchni ok. 12m2. Lokal mieszkalny znajduje się na parterze trzykondygnacyjnej kamienicy.
Klatka schodowa czysta oraz zadbana. Teren wokół budynku w pełni zagospodarowany - miejsca parkingowe dla mieszkańców oraz ogródek rekreacyjny. Budynek, w którym prowadzona jest systematycznie gospodarka remontowa – przyłączenie do sieci miejskiej, remont klatki schodowej oraz wymiana okien na PCV, nowe poszycie dachu. W okolicy znajdują się liczne punkty handlowo-usługowe, przedszkola, szkoły, jak również dużo terenów zielonych – Park Kultury i Wypoczynku.
Mieszkanie to powierzchnia 40,53m2, na którą składa się:
- korytarz (3,5m2),
- łazienka z WC (3,1m2),
- kuchnia (3,8m2),
- dwa pokoje (16,13m2 i 14m2).
Lokal mieszkalny jest w pełni gotowy do zamieszkania. Przed kilkoma laty został przeprowadzony remont m.in.: wymiana okien, wszelkich instalacji, odświeżenie koloru ścian. W korytarzu na podłodze terakota, na ścianach i suficie gładź. W pokojach na ścianach i suficie gładź, na podłodze panele wysokiej klasy ścieralności, zwieńczone listwami przypodłogowymi. Łazienka wyłożona dobrze komponującą się ze sobą glazurą i terakotą, wyposażona w wannę narożną, toaletę, zlew w zabudowie oraz pralkę. Kuchnia zabudowana meblami, wyposażona w podstawowy sprzęt AGD tj.: lodówka, kuchenka gazowo – elektryczna, zmywarka, mikrofala.
Mieszkanie sprzedawane z wyposażeniem widocznym na zdjęciach!
DODATKOWE INFORMACJE:
- ogrzewanie oraz ciepła woda z sieci miejskiej,
- czynsz na rzecz Wspólnoty Mieszkaniowej – 730 PLN (ogrzewanie, ciepła i zimna woda, wywóz nieczystości, fundusz remontowy, eksploatacja), dodatkowo zużycie energii elektrycznej oraz gazu,
- do mieszkańców budynku przynależy ogródek rekreacyjny,
- miejsca parkingowe ogólnodostępne na dziedzińcu,
- wymienione wszystkie instalacje tj.: wodna, elektryczna, gazowa),
- do mieszkania przynależy piwnica – ok. 12m2,
- wszystkie okna PCV,
- drzwi antywłamaniowe,
- bardzo dobra lokalizacja – blisko Parku Kultury i Wypoczynku,
- planowane docieplenie budynku.
CENA: 239 000 PLN
Strona Kupująca pokrywa wynagrodzenie prowizyjne dla biura.
Więcej informacji uzyskasz kontaktując się z nami:
799 799 313 – Marta Rutkowska (opiekun oferty)
669 647 067 – Karolina Jakuczun
728 202 030 – Marta Patyna
503 901 101 – Adrianna Iwanicka
728 111 007 – Przemek Pryzwan
799 799 397 – Dominika Szramiak
Serdecznie zapraszam Państwa na prezentację nieruchomości, z przyjemnością odpowiem na wszelkie pytania oraz udzielę dodatkowych informacji.
Zamierzasz kupić nieruchomość i skorzystać z finansowania banku? Pomożemy dokonać Ci dobrego wyboru najlepszej oferty spośród wielu banków. Nasz doradca dostosuje ofertę kredytu hipotecznego do Twoich potrzeb i oczekiwań oraz będzie do Twojej dyspozycji na każdym etapie procesu kredytowego. Niniejsza oferta nie stanowi oferty w rozumieniu Kodeksu Cywilnego.
</t>
  </si>
  <si>
    <t>https://www.otodom.pl/pl/oferta/parter-po-remoncie-40-53m2-siec-miejska-piwnica-ID4eqKe</t>
  </si>
  <si>
    <t>4eqKe</t>
  </si>
  <si>
    <t>M-4 | Bielawy/Muzyczna | 1 piętro | 65m2 | Parking</t>
  </si>
  <si>
    <t>Bartodzieje, Bydgoszcz, kujawsko-pomorskie</t>
  </si>
  <si>
    <t>Tylko u nas! Dobre Nieruchomości polecają wyjątkowe mieszkanie trzypokojowe z możliwością urządzenia 4 pokoi o powierzchni 65,1m2  położone na 1 piętrze bloku z cegły w dzielnicy Muzycznej. Mieszkanie z ogromnym potencjałem, mieszkaniowym jak i inwestycyjnym, do UKW - 100m! Na terenie bloku wiele miejsc postojowych.   Do każdego pokoju jest wejście z przedpokoju, mieszkanie dwustronne składa się z:  - Pokoju 17,9m2 z oknem balkonowym, - Pokoju 13,6m2, - Pokoju 12,7m2, - Kuchni 10,6 m2, - Łazienki - 3m2, - WC - 1,2m2, Do mieszkania przynależy piwnica. Jasne i przestronne wnętrza mieszkania M4 zapewniają mnóstwo światła dziennego Wysokość mieszkania 2,7m.  To mieszkanie jest niezwykle interesujące, zachwycające swoim niepowtarzalnym charakterem oraz przestrzenią.  Możliwa negocjacja ceny.  Standard: - duże okna PCV oraz wysokiej jakości drewniane,  - drewniane parkiety,  - ściany gładzone,  Lokalizacja:  Bardzo komfortowa lokalizacja w Bydgoszczy, na wyciągnięcie ręki cała infrastruktura pierwszej potrzeby, autobus pod klatką! w najbliższej okolicy: - Collegium Medicum, - Uniwersytet Kazimierza Wielkiego, - Doskonała komunikacja miejska -najlepiej skomunikowane miejsce w Bydgoszczy, - Kilka pięknych parków: Park Ludowy, Park Jana Kochanowskiego, Ogród Botaniczny UKW, - Teatr Polski, Filharmonia, Opera Nowa i kina, - Centra Handlowe Focus Park,  - Liczne restauracje, pizzerie, bary, kluby, - Sklepy, - Apteki,   Mieszkanie ma ogromny potencjał, który pozwala na realizację wszelkich pomysłów aranżacyjnych, dzięki czemu można stworzyć miejsce idealnie dopasowane do swoich potrzeb i upodobań. W rezultacie, to mieszkanie to nie tylko doskonała inwestycja, ale przede wszystkim cudowne miejsce do życia.  Zachęcamy do kontaktu z naszym biurem, aby umówić się na prezentację tego wyjątkowego mieszkania, Jagoda Górniak Dobre Nieruchomości tel. 726 235 136Więcej dobrych ofert na dobrenieruchomosci.eu</t>
  </si>
  <si>
    <t>https://www.otodom.pl/pl/oferta/m-4-bielawy-muzyczna-1-pietro-65m2-parking-ID4oECK</t>
  </si>
  <si>
    <t>4oECK</t>
  </si>
  <si>
    <t>Ogłoszenie testowe 7.09.2022.5</t>
  </si>
  <si>
    <t>pl. 3 Maja, Łyse, Łyse, ostrołęcki, mazowieckie</t>
  </si>
  <si>
    <t>Czasami musimy dodać takie ogłoszenie, żeby zweryfikować działanie niektórych funkcji systemu. Liczymy na Twoją wyrozumiałość :) Radzimy skorzystać ponownie z naszej wyszukiwarki ofert. Powodzenia w dalszych poszukiwaniach!</t>
  </si>
  <si>
    <t>https://www.otodom.pl/pl/oferta/ogloszenie-testowe-7-09-2022-5-ID4ikRK</t>
  </si>
  <si>
    <t>4ikRK</t>
  </si>
  <si>
    <t>Sprzedam kawalerkę we Wrocławiu bez pośredników</t>
  </si>
  <si>
    <t>ul. Bolesława Drobnera 10, Nadodrze, Śródmieście, Wrocław, dolnośląskie</t>
  </si>
  <si>
    <t xml:space="preserve">
Sprzedam mieszkanie w zrewitalizowanej w 2016r.zabytkowej kamienicy przy ul. Drobnera 10.Mieszkanie o pow.24m2.,usytuowane jest na IV piętrze. Składa się z salonu z aneksem kuchennym, łazienki i korytarza. W pełni wyposażone : meble robione na wymiar, zmywarkę, płytę indukcyjną, pochłaniacz, lodówkę, telewizor, pralkę, dużą zabudowę z lustrami typu Komandor w korytarzu.Ekspozycja okien południowo zachodnia ze wspaniałym widokiem na Odrę i Uniwersytet.Ogrzewanie miejskie. Wysokość czynszu to 360,00zł. (woda,ogrzewanie,śmieci),dodatkowo prąd ok.70,00zł na dwa miesiące. Dodatkowym atutem mieszkania jest klimatyzacja. Doskonała lokalizacja: pieszo 2min.do Wyspy Słodowej,5min.do starego rynku. W pobliżu liczne sklepy i restauracje, przystanki tramwajowe, autobusowe umożliwiają swobodną komunikację na terenie całego Wrocławia. Doskonała inwestycja na start jak i najem krótko lub długoterminowy. Mieszkanie sprzedawane bezpośrednio i pośrednikom dziękuję za niekontaktowanie się. Gorąco polecam. tel.666 712 717</t>
  </si>
  <si>
    <t>https://www.otodom.pl/pl/oferta/sprzedam-kawalerke-we-wroclawiu-bez-posrednikow-ID4omEw</t>
  </si>
  <si>
    <t>4omEw</t>
  </si>
  <si>
    <t>Mieszkanie, 47,70 m², Duszniki-Zdrój</t>
  </si>
  <si>
    <t>Duszniki-Zdrój, kłodzki, dolnośląskie</t>
  </si>
  <si>
    <t xml:space="preserve">Uzdrowisko – Duszniki zdrój. Mieszkanie w kamienicy o pow. 47,7 m kw. położone na drugim piętrze. Nieruchomość składa się z dwóch pokoi, kuchni, łazienki. Ogrzewanie centralne -  własne gazowe plus piec typu koza. Do mieszkania przynależy piwnica oraz komórka.  Niskie opłaty ok. 250 zł. Mieszkanie położone przy rynku – ul. Wybickiego. Istnieje możliwość zamiany na mieszkanie w Szczytnej lub Dusznikach Zdrój ( może być mniejsze – warunek niskie piętro). Cena 229 000 zł. Sprzedaż w systemie aukcyjnym. Istnieje możliwość kupienia bez aukcji. Oferty proszę składać na adres Kłodzko, ul. Boh. Getta 11 bezpośrednio lub pisemnie pocztą elektroniczna na adres .  Oferta nie jest ofertą handlową w rozumieniu kodeksu handlowego i innych przepisów prawa lecz ma charakter informacyjny. Kontakt Agnieszka Radomska  666 039 371,  </t>
  </si>
  <si>
    <t>https://www.otodom.pl/pl/oferta/mieszkanie-47-70-m-duszniki-zdroj-ID4iVTO</t>
  </si>
  <si>
    <t>4iVTO</t>
  </si>
  <si>
    <t>Siemczyn cztery pokoje z balkonem Zapraszam!</t>
  </si>
  <si>
    <t>Siemczyn, Kozielice, pyrzycki, zachodniopomorskie</t>
  </si>
  <si>
    <t>Ważne! Mieszkanie kwalifikuje się do programu - MIESZKANIE BEZ WKŁADUZapraszam do zakupu! Mieszkanie w SIemczynie. W bardzo bliskiej odległości od drogi S3. Dojazd do Szczecina w 20 minut. Powierzchnia 77.18 m2.Mieszkanie rozkładowe. Pokoje oddzielne, kuchnia widna z oknem. Łazienka i toaleta osobno. Stan techniczny dobry. Czynsz w wysokości 700 zł ( w zależności od ilośći wody i śmieci) w tym:- ogrzewanie - woda zimna - wywóz śmieci - fundusz remontowy Termin wydania od ręki. Dzwoń, pisz! Ważne! Mieszkanie kwalifikuje się do programu - MIESZKANIE BEZ WKŁADU. Po więcej szczegółów zapraszamy do kontaktu.Opis nieruchomości ma charakter wyłącznie informacyjny i może podlegać aktualizacji. Powyższy opis nieruchomości nie stanowi oferty określonej w art. 66 Kodeksu Cywilnego  a jedynie zaproszenie do rokowań - zgodnie z art. 71 K.C.Oferta wysłana z programu dla biur nieruchomości ASARI CRM ()</t>
  </si>
  <si>
    <t>https://www.otodom.pl/pl/oferta/siemczyn-cztery-pokoje-z-balkonem-zapraszam-ID4jWE8</t>
  </si>
  <si>
    <t>4jWE8</t>
  </si>
  <si>
    <t>Dom - gotowy do odbioru! 0% PCC i prowizji!</t>
  </si>
  <si>
    <t>ul. Mąkołowska, Tychy, śląskie</t>
  </si>
  <si>
    <t xml:space="preserve">Nowa inwestycja w Tychach przy ulicy Mąkołowskiej 94! 
0% PODATKU PCC 
Budynki gotowe do odbioru! 
Kompleks 4 domów w zabudowie bliźniaczej. Bądź pierwszym Klientem i wybierz swój przyszły dom!
Nieruchomość znajduje się na działce o powierzchni około 330 m2
Całkowita powierzchnia domu to 154 m2. 
Dom ma bardzo ciekawy i funkcjonalny układ pomieszczeń! 
PARTER DOMU:
- wiatrołap z dużym przeszkleniem
- salon z otwartą kuchnia
- łazienka z WC
- garaż: (brama Wiśniowski wraz z napędem)
- schody żelbeton 
PIĘTRO DOMU:
- trzy duże niezależne pokoje
- garderoba
- przestronna łazienka z OKNEM
- pralnia
- pomiesczenie gospodarcze
DODATKOWO! 
- Każde okno posiada rolety antywłamaniowe
- Kotłownia z piecem kondensacyjnym Thermet wraz z zasobnikiem na wodę.
STAN TECHNICZNY:
Budynek wykonany techniką tradycyjną:
- ściany: pustak ceramiczny Winnerberger 25 cm
- ocieplenie budynku styropian 16 cm + tynk silikatowy
- dach pokryty blachodachówka, membraną dachową oraz ocieplony wysokogatunkową pianą 20 cm.
MEDIA:
- energia elektryczna wraz z przyłączem siłowym
- woda
- kanalizacja
- ogrzewanie gazowe
DZIAŁKA jest ogrodzona, jest wykonany taras oraz zniwelowany teren.
Droga dojazdowa oraz podjazdy wykonane z KOSTKI BRUKOWEJ.
</t>
  </si>
  <si>
    <t>https://www.otodom.pl/pl/oferta/dom-gotowy-do-odbioru-0-pcc-i-prowizji-ID4l0J6</t>
  </si>
  <si>
    <t>4l0J6</t>
  </si>
  <si>
    <t>Mieszkanie, 47,78 m², Lublin</t>
  </si>
  <si>
    <t>Czechów Kąt, Rejowiec, chełmski, lubelskie</t>
  </si>
  <si>
    <t xml:space="preserve">0% PROWIZJI OD KUPUJĄCEGODwupokojowe mieszkanie na parterze budynku w trakcie realizacji na Czechowie. Pokój dzienny o pow. 18,04m2 z wyjściem na balkon, kuchnia z jadalnią o pow. 9,73m2. Sypialnia o pow. 8,07m2. Łazienka z WC 5,4m2. Przedpokój o pow. 6,54m2.Wystawa okien: wschód, południe.Możliwość zakupu miejsca postojowego w garażu podziemnym w cenie 35.000 zł, miejsca zewnętrznego w cenie 15.000 zł. Obowiązek zakupu komórki lokatorskiej o pow. 2,06m2 w cenie 6.180 zł.TERMIN REALIZACJI: I kwartał 2023MEDIA: ogrzewanie gazowe (piec dwufunkcyjny), woda, prąd.Otwieramy przed Tobą całe miasto!Jesteśmy specjalistami od rynku pierwotnego. U nas znajdziesz najlepsze inwestycje w jednym miejscu. Zamiast przeglądać oferty różnych deweloperów, zapoznaj się z naszą ofertą. Zapewniamy kompleksową obsługę: doradztwo kredytowe i prawne, pomoc notariusza, architekta oraz projektanta wnętrz.Zadzwoń do nas i dowiedz się więcej, tel. 663 689 907.Powyższa oferta nie stanowi oferty w rozumieniu kodeksu cywilnego.Pośrednik odpowiedzialny zawodowo za wykonanie umowy pośrednictwa: Katarzyna Długosz (licencja nr: 12340) </t>
  </si>
  <si>
    <t>https://www.otodom.pl/pl/oferta/mieszkanie-47-78-m-lublin-ID4fvrz</t>
  </si>
  <si>
    <t>4fvrz</t>
  </si>
  <si>
    <t>Dom Mielno</t>
  </si>
  <si>
    <t xml:space="preserve">OBNIŻKA CENY O 70 000 ZŁ !! Nie lada gratka dla fanów nowych pomysłów na inwestycje :) Posiadamy na sprzedaż dom w zabudowie szeregowej o powierzchni całkowitej 130 m2 i powierzchni zabudowy 159 m2. Nieruchomość znajduję się na 2 działkach (303 i 175 m2) o łącznej powierzchni 478 m2 i posiada wszystkie niezbędne media tj. sieć wodociągową oraz kanalizacyjną, gazową, energetyczną. Źródłem ogrzewania i ciepłej wody jest dwufunkcyjny piec gazowy. Rewelacyjna lokalizacja nieruchomości: Promenada Przyjaźni i tym samym główna plaża oddalona jest o ok. 1 km, a Jezioro Jamno ok. 500 m. Do Miasta Koszalin-11 km. Dom ma możliwość podzielenia na część mieszkalną Właścicieli i na część inwestycyjną, pod najem wakacyjny. Istnieje możliwość nadbudowy i rozbudowy nieruchomości, na co Właściciele posiadają projekt budowlany, który zakłada dwie kondygnacje naziemne, montaż schodów i platformy dla osób niepełnosprawnych. Nieruchomość z potencjałem :) Budynek jest obiektem parterowym, niepodpiwniczonym i składa się z: 4 pokoi, w tym dwóch przejściowych, 1 otwartej kuchni z oknem, 1 kuchni przejściowej, 2 łazienek z WC i prysznicem, pomieszczenia gospodarczego z wanną, pomieszczenia z piecem gazowym i WC, a także z przedpokoju. Część mieszkalna Właścicieli to przedpokój z wyjściem na taras i ogródek, 2 pokoje przejściowe, pełniące funkcję sypialni i pokoju dziennego, kuchnia, pomieszczenie gospodarcze z wanną i pomieszczenie z dodatkowym WC. Do tej części może przynależeć 3 pokój lub może pozostać on w części inwestycyjnej, która składa się z osobnego wejścia do mieszkania , wiatrołapu, kuchni, sypialni, łazienki z prysznicem i WC oraz 1 pokoju. Na podłogach w pokojach znajdują się deski i panele; w kuchniach, łazienkach i przedpokojach oraz w pomieszczeniach gospodarczych położona jest terakota. W projektowanej nadbudowie budynku mieszkalnego uwzględniono następujące pomieszczenia: 3 pokoje, przedsionek, komunikacja, spiżarnia, kuchnia, jadalnia, pokój dzienny, garderoba, łazienka. Po realizacji planów rozbudowy możemy uzyskać kolejne 130 m2 powierzchni użytkowej. Działki ogrodzone zostały drewnianym płotem i posadzony został żywopłot – całość dobrze zagospodarowana. Na działce o powierzchni 175 m2 znajduje się wolnostojący garaż (24 m2). Mimo, że Mielno w okresie letnim cieszy się dużą popularnością, to osiedle na którym znajduję się nieruchomość uchodzi za jedno ze spokojniejszych. W okolicy bogata infrastruktura, działająca zarówno w czasie wakacyjnym jak i poza nim. Największą atrakcją Mielna jest czysta, strzeżona i zradiofonizowana plaża, wokół której znajdują się restauracje, bary, smażalnie ryb oraz inne punkty gastronomiczne i handlowe. Udogodnienia dla osób w każdym wieku, singli i rodzin z dziećmi. Zapraszamy na prezentacje i do zakupu :) </t>
  </si>
  <si>
    <t>https://www.otodom.pl/pl/oferta/dom-mielno-ID4j234</t>
  </si>
  <si>
    <t>4j234</t>
  </si>
  <si>
    <t>Dom jednorodzinny w spokojnej okolicy</t>
  </si>
  <si>
    <t xml:space="preserve">Cianowice – Aleja Parkowa 
DOM WOLNOSTOJĄCY Z DUŻĄ DZIAŁKĄ i ZAARANŻOWANYM OGRODEM! DOSTĘPNY W CIĄGU 3 MIESIĘCY OD PODPISANIA UMOWY. 
Nieruchomość o powierzchni całkowitej 277m2 (powierzchnia użytkowa 207m2) składa się z trzech kondygnacji oraz strychu:- POZIOM 0 (parter) - wiatrołap, przedpokój, salon, kuchnia ze spiżarnią oraz łazienka- POZIOM 1 (piętro) - antresola, przedpokój, trzy sypialnie, łazienka- POZIOM -1 (piwnice i garaże) -  drewutnia, garaż dwustanowiskowy, spiżarnia, kotłownia, WC, suszarnia i siłownia
CENA: 1 980 000 zł KOSZTY EKSPLOATACYJNE:- woda, gaz, prąd według zużycia
DOM W BARDZO DOBRYM STANIE:Dom wolnostojący z 2008 roku, wybudowany w technologii tradycyjnej, na przestronnej działce. Część z aneksem kuchennym (płytki), salon i pokoje (panele), łazienka i WC (płytki). - W całym domu okna PCV- Umeblowany, gotowy do zamieszkania- Wokół luźna zabudowa domów jednorodzinnychDOJAZD:- 3 minuty pieszo od przystanku autobusowego – Cianowice Szczodrkowice- 19 kilometrów od Rynku Głównego, 8.5 km od Ojcowa                                                                 
DODATKOWO:
- ogrzewanie gazowe- udogodnienia takie jak: kanalizacja, internet światłowodowy, alarm - garaż dwustanowiskowy w bryle budynku - dobra infrastruktura handlowo-usługowa i komunikacyjna- rodzaj własności: wyodrębniona nieruchomość- bez zadłużeń
KONTAKT:Adrian GawlikBiuro Nieruchomości MHOUSETel: 604 183 520  
Zgodnie z ustawą o gospodarce nieruchomościami Rozdział2, ART.180, pkt3. Przed oglądnięciem nieruchomości należy podpisać standardową umowę pośrednictwa w kupnie. (USTAWA z dnia 21 sierpnia 1997r. o gospodarce nieruchomościami)
</t>
  </si>
  <si>
    <t>https://www.otodom.pl/pl/oferta/dom-jednorodzinny-w-spokojnej-okolicy-ID4m0dM</t>
  </si>
  <si>
    <t>4m0dM</t>
  </si>
  <si>
    <t>Dom do aranżacji Jastrowie Liszyka BEZ PROWIZJI</t>
  </si>
  <si>
    <t>Mamy przyjemność zaprezentować Państwu ofertę sprzedaży nieruchomości w miejscowości Jastrowie przy ul. Jana Liszyka 6
Nieruchomość znajduje się na działce w kształcie prostokąta o metrażu 795 m kw będącej w posiadaniu na podstawie prawa użytkowania wieczystego. Sam budynek o metrażu 129 m kw, wykorzystywany jako sala wykładowa.Składa się z :* sali głównej, * antresoli o metrażu 30 m kw, * korytarzy, * szatni, * sanitariatów * kotłowni.Dostępne wszelkie media
Obecny układ pomieszczeń pozwala na wyodrębnienie 5 osobnych pomieszczeń.
Budynek swoim wyglądem stanowi ciekawą formę architektury co pozwala na wiele aranżacji i nietuzinkowych zastosowań.
Świetna lokalizacja - osiedle domków jednorodzinnych, doskonały dojazd drogą asfaltową. Doskonały dojazd do Piły - 32 km, Wałcza - 30 km, Złotowa - 17 km, Szczecinka - 37 km.
Dla nieruchomości będącej przedmiotem sprzedaży nie zachodzi konieczność sporządzenia świadectwa charakterystyki energetycznej (Art. 3 ust. 4 pkt 2 ustawy z dnia 29 sierpnia 2014 roku o charakterystyce energetycznej budynków).
Zapraszamy do kontaktu i obejrzenia obiektu.
Kontakt: +4█████████2</t>
  </si>
  <si>
    <t>https://www.otodom.pl/pl/oferta/dom-do-aranzacji-jastrowie-liszyka-bez-prowizji-ID4enhf</t>
  </si>
  <si>
    <t>4enhf</t>
  </si>
  <si>
    <t>mieszkanie w bloku</t>
  </si>
  <si>
    <t xml:space="preserve">Proponujemy Państwu na sprzedaż przepiękne mieszkanie w nowym dwupiętrowym bloku w centrum Pobiedzisk blisko Galerii Różanej. Przy bloku plac zabaw dla dzieci, market, sklepiki pizzernie, przychodnie lekarskie, przedszkole, szkoła zabudowa szeregowa i wielorodzinna. Mieszkanie znajduje się na drugim ostatnim piętrze i składa się z trzech pokoi ( 24 m2 (z aneksem kuchennym), 15 m2, 9,5 m2), kuchni w aneksie, łazienki (5,25 m2), korytarza (8,36 m2). Do mieszkania przynależą dwa balkony (5,76 m2 i 7,26 m2) oraz dwa miejsca postojowe. Stan mieszkania: - ściany wyszpachlowane, pomalowane w modnych kolorach, - na podłodze w pokojach i korytarzu panele, - w kuchni i łazience na podłodze płytki ceramiczne, - okna plastikowe, dwuszybowe - w cenie nowe meble kuchenne wraz ze sprzętem (płyta indukcyjna, piekarnik, zmywarka, pochłaniacz, lodówka, mikrofala) - w oknach rolety zewnętrzne elektryczne - w cenie pozostaje szafa przesuwne typu `Komandor - oświetlenie ledowe, podwieszane ozdobne sufity   Generalnie w cenie praktycznie wszystkie meble i sprzęty AGD  widoczne na zdjęciach poza pralką telewizorem i głośnikami.  Zapraszamy: VIRTUS Nieruchomości Lidia Konieczna z biurem w Pobiedziskach. Ofertę prowadzi: Krzysztof Konieczny tel. +48... pokaż numer </t>
  </si>
  <si>
    <t>https://www.otodom.pl/pl/oferta/mieszkanie-w-bloku-ID4ocUD</t>
  </si>
  <si>
    <t>4ocUD</t>
  </si>
  <si>
    <t>Nowość ! 2 pokoje Osiedle Wiczlino Ogród</t>
  </si>
  <si>
    <t>ul. Stanisława Filipkowskiego, Wiczlino, Gdynia, pomorskie</t>
  </si>
  <si>
    <t>!!! HOT OFERTA DOSTĘPNA TYLKO W PEPPER HOUSE !!!ATUTY:- budynek z windą do hali garażowej,- miejsce postojowe w hali i 2 komórki lokatorskie, - duży kameralny ogród,- pożądana lokalizacja,- cicha i spokojna okolica,- gotowe do zamieszkania,- świetnie skomunikowane.- sąsiedztwo licznych terenów zielonychNIERUCHOMOŚĆ:Mieszkanie znajduję się na bardzo wysokim parterze, dzięki czemu mamy prywatność w ogrodzie. W pokojach zamontowana klimatyzacja. Na powierzchnię 50,7 m2 składa się:- salon połączony z aneksem kuchennym o powierzchni 27,3 m2 z wyjściem na ogród o pow. ok 45,0 m2- pokoju o powierzchni 12,8 m2- łazienki z wanną o powierzchni 4,8 m2- oraz przedpokoju o powierzchni 4,0 m2Do mieszkania przynależy również komórka lokatorska o pow. ok 2,0 m2Gotowe do wprowadzenia bez ponoszenia dodatkowych kosztów!LOKALIZACJA:Osiedle kompleksowo zaprojektowane, zlokalizowane na osiedlu Hossy „Wiczlino Ogród” wraz z całą niezbędną infrastrukturą, w tym teren rekreacyjny z placem zabaw dla dzieci. Jest to spokojna okolica, otoczona Trójmiejskim Parkiem Krajobrazowym, z mnóstwem ścieżek rowerowych. Położenie mieszkania umożliwia sprawne połączenie z każdą częścią Trójmiasta, do centrum Gdyni około 15 minut jazdy samochodem, a do obwodnicy ok. 5 min. Bliskość przystanku (ZKM) ok. 3 min..W pobliżu znajduje się pełna infrastruktura handlowo-usługowa: poczta, dwie piekarnie/cukiernia, gastronomia, sklepy spożywcze, żłobek/ przedszkola, oraz zespół szkolno-przedszkolny nr 1. Druga szkoła podstawowa wraz z liceum oraz przedszkole do której przynależy boisko i basen. Wszędzie można dojść pieszo. Całość wtopiona w ładnie zagospodarowane obszary zieleni. Niska zabudowa, cisza oraz kameralna atmosfera niedużego osiedla sprawia, że to idealne miejsce do zamieszkania.Budynek z 2012 roku, z windą, monitorowany, pięknie wykończony.Dodatkowo zakup opcjonalny, dodatkowo płatny + 60 000 zł - miejsce postojowe w hali garażowej - box ok 10m2, bezpośrednio za miejscem postojowymDo hali garażowej dojeżdża winda.Serdecznie zapraszam na prezentację!Daria DrobPH271706</t>
  </si>
  <si>
    <t>https://www.otodom.pl/pl/oferta/nowosc-2-pokoje-osiedle-wiczlino-ogrod-ID4oCSV</t>
  </si>
  <si>
    <t>4oCSV</t>
  </si>
  <si>
    <t>Na sprzedaży 2 pok. mieszkanie w bloku – Złotoryja</t>
  </si>
  <si>
    <t>ul. Podwale, Złotoryja, złotoryjski, dolnośląskie</t>
  </si>
  <si>
    <t>Polecam Państwa uwadze słoneczne i funkcjonalne mieszkanie na sprzedaż mieszkanie o pow. 37m2 położone na 2 piętrze w Złotoryi przy ul. Podwale.Mieszkanie posiada bardzo duży potencjał, składające się z 2 pokoi, łazienka z wc oraz kuchni.Doskonałe miejsce do zamieszkania przez rodzinę, a także jako inwestycja pod wynajem.Atuty nieruchomości:• Ogrzewanie miejskie• Ogrzewanie miejskie, ciepła woda z junkersa.• Do mieszkania przynależy piwnica.• Duży plac zabaw przy bloku• Czynsz 390złWszystkich dodatkowych informacji nie ujętych w ofercie chętnie udzielę telefonicznie.Nieruchomość nie ma obciążeń w KW .Wszystkich dodatkowych informacji nie ujętych w ofercie chętnie udzielę telefonicznie.Prowizję za pośrednictwo pobieram od strony kupującej.Będę z Państwem na każdym etapie procesu zakupu nieruchomości począwszy od jej prezentacji po finalizację transakcji i przekazanie nieruchomości nowym właścicielom.Pomagamy również we wszelkich formalnościach związanych z uzyskaniem kredytu na zakup i remontem nieruchomości.Opis oferty sporządzany jest na podstawie informacji uzyskanych od właściciela, może podlegać aktualizacji i nie stanowi oferty określonej w art. 66 i następnych K.CDrogi Kliencie,Wybacz, jeśli nie odbieram telefonu - prawdopodobnie jestem w trakcie spotkania lub poza zasięgiem. Oddzwonię najszybciej jak to możliwe.Jestem do Twojej dyspozycji 6 dni w tygodniu! Zapraszamy do kontaktu telefonicznego od poniedziałku do piątku w godzinach 8:00-19:00, a w sobotę w godzinach 9:00-14:00.Goździejewski NieruchomościNr tel: 690904494</t>
  </si>
  <si>
    <t>https://www.otodom.pl/pl/oferta/na-sprzedazy-2-pok-mieszkanie-w-bloku-zlotoryja-ID4o8Cc</t>
  </si>
  <si>
    <t>4o8Cc</t>
  </si>
  <si>
    <t>Do wprowadzenia, piękne 3 pok. 2 balkony, strych</t>
  </si>
  <si>
    <t>Otwock, otwocki, mazowieckie</t>
  </si>
  <si>
    <t>Sprzedam bardzo ładne  3 pokojowe mieszkanie o powierzchni 80m2 + 13,5m2 strychMieszkanie mieści się na 2 piętrze 2-piętrowego bloku z 2008 rokuLokal składa się z:-przestronnego salonu ~20m2-pokoju ~15m2-sypialni ~13m2-oddzielnej widnej kuchni ~10m2-łazienki z prysznicem ~3m2-łazienki z wanną ~7m2-garderoby ~5m2Dodatkowo do mieszkania przynależy zaadaptowany strych o powierzchni ~13,5m2 (istnieje możliwość przekształcenia pomieszczenia na kolejny pokój)Do mieszkania przynależą również dwa duże balkony.Nieruchomość w pełni wyposażona i gotowa do wprowadzenia!Olbrzymim plusem nieruchomości jest jej wysokość, w najwyższych miejscach zbliżona jest 4m. Tak duża wysokość, daje wiele możliwości aranżacyjnych oraz tworzy wrażenie przestrzeni i otwartości, nadając wnętrzu unikalny charakter.Do mieszkania przypisane jest miejsce postojowe w garażu podziemnym, płatne dodatkowo 30 000złCzynsz ~1240złŚwietna lokalizacja!W pobliżu:~400m do dworca PKP (świetne połączenie z Warszawą) -sklepy-las-szkoła-lokale gastronomiczne-przedszkola-żłobekSerdecznie zapraszam do kontaktu oraz oglądania nieruchomości.GWARANTUJEMY PROFESJONALNĄ I BEZPIECZNĄ TRANSAKCJĘ!OFERUJEMY BEZPŁATNĄ OPIEKĘ DORADCY KREDYTOWEGO!Dodatkowych informacji udzielę telefonicznie.Rafał BerusSkyline NieruchomościTel. 666-194-639e-mail: Oferta wysłana z programu dla biur nieruchomości ASARI CRM ()</t>
  </si>
  <si>
    <t>https://www.otodom.pl/pl/oferta/do-wprowadzenia-piekne-3-pok-2-balkony-strych-ID4oBjS</t>
  </si>
  <si>
    <t>4oBjS</t>
  </si>
  <si>
    <t>Gdańsk Siedlce - 2 pokojowe mieszkanie</t>
  </si>
  <si>
    <t>Nie jestem zainteresowana ofertą pośredników w handlu nieruchomościami i agencji nieruchomości.Sprzedam mieszkanie 2 pokojowe – 44 m2, na 1 piętrze w Gdańsku (Siedlce) przy ulicy Zagórnej.Mieszkanie składa się z 2 niezależnych pokoi, kuchni, łazienki, wc i przedpokoju.Do mieszkania przynależny piwnica o powierzchni 9,97 m2.Miejsce parkingowe na terenie posesji.Mieszkanie własnościowe - Księga Wieczysta bez wpisów w dziale III i IV.Mieszkanie jest w pełni umeblowane i wyposażone (piekarnik, płyta gazowa, zmywarka, lodówka, pralka). Gotowe do zamieszkania.Mieszkanie dwustronne, słoneczne. Niskie opłaty eksploatacyjne.Bardzo blisko do Gdańska głównego a sąsiedztwo pętli tramwajowo - autobusowej Siedlce umożliwia swobodne i szybkie przemieszczanie.</t>
  </si>
  <si>
    <t>https://www.otodom.pl/pl/oferta/gdansk-siedlce-2-pokojowe-mieszkanie-ID4oC8W</t>
  </si>
  <si>
    <t>4oC8W</t>
  </si>
  <si>
    <t>Sosnowiec - Milowice ul. Szosowa 37m2 +Duży balkon</t>
  </si>
  <si>
    <t>ul. Szosowa, Milowice, Sosnowiec, śląskie</t>
  </si>
  <si>
    <t>SOSNOWIEC - MILOWICE ul. Szosowa 37m2 +Duży balkonMamy przyjemność zaprezentować Państwu bardzo słoneczne i ustawne mieszkanie o powierzchni 37m2 .zlokalizowane w Sosnowcu dzielnica MILOWICE.Nieruchomość mieści się na parterze 4 piętrowego bloku.W skład mieszkania wchodzą:- salon - sypialnia- kuchnia- łazienka z wc- przedpokój- duży balkonSTANDARD/INFORMACJE DODATKOWEMieszkanie bardzo przestronne i ustawne.Mieszkanie po generalnym remoncie łazienki i pokoi przeprowadzonym w 2019 roku .Instalacje wodno- kanalizacyjne w plastiku, instalacje elektryczne w miedzi. Duży balkon z wyjściem z kuchni i salonu. Lokal gotowy do zamieszkania.Ponadto:- Księga wieczysta- domofon w budynku- blok po termomodernizacjiUWAGA: Dodatkowo dla wszystkich naszych klientów którzy zdecydują się na zakup nieruchomości mamy prezent w postaci karty rabatowej do salonów firmy Bel-Pol Podłogi DrzwiLOKALIZACJA Bardzo dobra i cicha lokalizacja, blisko sklepy, przystanek autobusowy , tramwajowy , do centrum Sosnowca (10 minut), do centrum Katowic (20 minut), bardzo blisko przedszkole i szkoła podstawowa . Na terenie dzielnicy bardzo dużo zieleni i również wokoło blokuW razie potrzeby nasi doradcy pomogą Państwu w wyborze i uzyskaniu najatrakcyjniejszego kredytu na rynku. Zapraszamy do kontaktu w celu umówienia spotkania oraz prezentacji nieruchomości.Treść niniejszego ogłoszenia nie stanowi oferty handlowej w rozumieniu Kodeksu Cywilnego.</t>
  </si>
  <si>
    <t>https://www.otodom.pl/pl/oferta/sosnowiec-milowice-ul-szosowa-37m2-duzy-balkon-ID4oEBe</t>
  </si>
  <si>
    <t>4oEBe</t>
  </si>
  <si>
    <t>Mieszkanie Łódź Stoki</t>
  </si>
  <si>
    <t>ul. Pieniny, Stoki, Widzew, Łódź, łódzkie</t>
  </si>
  <si>
    <t>Mieszkanie w kamienicy/bloku z lat 40. Ulica Pieniny. Po kapitalnym remoncie robionym "dla siebie" - nie było planów sprzedaży. I tak np. na podłogach lite deski drewniane, olejowane, armatura Grohe, płytki Villeroy, farby Flugger, gładzie bez karton gipsu. Dom zbudowany z cegły, ciepły i cichy. Pierwsze piętro. Ekspozycja W/E, od strony zachodniej widok na zieleń i dalej ogródki działkowe (wiosną słychać śpiew ptaków, przed oknem w kuchni kwitnie bez).Układ mieszkania: bardzo duża przestrzeń otwarta, salon z kuchnią i otwarty gabinet (można go oddzielić), sypialnia i łazienka z oddzielnym schowkiem/pralnią, w łazience okno. Do mieszkania przynależy bardzo duża piwnica.Ogrzewanie miejskie.Mieszkanie posiada KW, bez obciążeń.Okolica cicha i bardzo spokojna. Do przystanku tramwajowego ok. 150 m. Podstawowa infrastruktura w zasięgu spaceru. Jest gdzie wyjść z psem, jest gdzie pójść na spacer. Bezproblemowe parkowanie przed domem.</t>
  </si>
  <si>
    <t>https://www.otodom.pl/pl/oferta/mieszkanie-lodz-stoki-ID4ogWp</t>
  </si>
  <si>
    <t>4ogWp</t>
  </si>
  <si>
    <t>Ostatnie trójki z ogródkiem | Zadzwoń już DZIŚ!</t>
  </si>
  <si>
    <t>Świdnica, świdnicki, dolnośląskie</t>
  </si>
  <si>
    <t>Dzięki dobrej lokalizacji inwestycji można szybko dojechać do terenów przemysłowych w Świdnicy.Rewelacyjne skomunikowanie z drogami przełoży się na szybki i wygodny dojazd również do Wrocławia.Dużym atutem jest bliskość sklepów, przystanków komunikacji miejskiej oraz placówek edukacyjnych.W sąsiedztwie apartamentowców znajduje się kompleks boisk sportowych oraz dwa parki – Saperów i Ułanów. Nieco dalej znajdziemy malowniczy Zalew Witoszówka, gdzie można popływać na kajakach, rowerkach wodnych i żaglówkach.
Zadzwoń tel. 690 057 525
Brak prowizji, mieszkanie prosto od Dewelopera. A co oprócz tego? Brak podatku PCC.
Masz więcej pytań? Zadzwoń. Chętnie na nie odpowiem.
Paweł Krowicki 
tel. 690 057 525
SŁUŻĘ POMOCĄ PRZY ZAKUPIE NIERUCHOMOŚCI.Zaczynając od wyboru idealnej dla Państwa nieruchomości poprzez obsługę finansową w banku, a także aranżację wnętrza.</t>
  </si>
  <si>
    <t>https://www.otodom.pl/pl/oferta/ostatnie-trojki-z-ogrodkiem-zadzwon-juz-dzis-ID4oF9O</t>
  </si>
  <si>
    <t>4oF9O</t>
  </si>
  <si>
    <t>Okazja! Ciche, słoneczne mieszkanie w Centrum</t>
  </si>
  <si>
    <t>pl. Plac Jana Henryka Dąbrowskiego, Śródmieście Północne, Śródmieście, Warszawa, mazowieckie</t>
  </si>
  <si>
    <t>Najważniejsze informacje:
- lokalizacja w ścisłym centrum Warszawy
- obok parków oraz licznych punktów usługowych i kulturalnych
- 200 m do metra Świętokrzyska (2 linie metra)
- idealne zarówno pod wynajem (krótko/długoterminowy) jak i na potrzeby własne
- możliwość łatwej re-aranżacji na 2 pokoje
- ciche i słoneczne
- atrakcyjny widok z okien
- budynek z cegły
Mieszkanie:
Prezentowana nieruchomość znajduje się na trzecim piętrze w kamienicy z 1958 roku.
Mieszkanie ma wysokość 2,75 m i składa się z następujących pomieszczeń:
- duży pokój z balkonem
- kuchnia (o powierzchni ok. 9 m2 z możliwością przerobienia na sypialnię)
- łazienka
- przedpokój z szafą wnękową
Mieszkanie własnościowe z Księgą Wieczystą bez obciążeń. Jasny stan prawny. 
Mieszkanie do własnej aranżacji.
Usytuowanie od wschodu.
Do mieszkania przynależy piwnica.
Lokalizacja:
Prezentowana nieruchomość znajduje się przy Placu Dąbrowskiego 5 w ścisłym centrum Warszawy. Pomimo centralnej lokalizacji mieszkanie jest ciche. Z okien rozpościera się widok na Ambasadę Republiki Włoch oraz na zielony skwer usytuowany na placu.
Tuż obok znajduje się Ogród Saski, który jest idealnym miejscem na spacery i odpoczynek wśród zieleni.
W najbliższym otoczeniu znajdują się wszystkie potrzebne placówki usługowe (sklepy spożywcze, apteki, domy handlowe, salony urody, kina, teatry, itd.), a także atrakcje turystyczne takie jak Pałac Kultury, Pałac Prezydencki, Opera Narodowa, Filharmonia, muzea, itd.
Komunikacja:
Do najbliższej stacji metra jest zaledwie 200m (Metro Świętokrzyska – I i II linia).
W pobliżu znajdują się liczne przystanki autobusowe oraz tramwajowe.
Na Dworzec Centralny można dojść piechotą w 15 minut.
Serdecznie zapraszam do oglądania!
Preferowana sprzedaż gotówkowa. 
Sprzedaż bezpośrednia.
„Niniejsze ogłoszenie nie stanowi oferty w rozumieniu Kodeksu Cywilnego, lecz ma charakter informacyjny."</t>
  </si>
  <si>
    <t>https://www.otodom.pl/pl/oferta/okazja-ciche-sloneczne-mieszkanie-w-centrum-ID4ohh1</t>
  </si>
  <si>
    <t>4ohh1</t>
  </si>
  <si>
    <t>Apartament 2 pok.+K / TARAS, Mokotów Merliniego</t>
  </si>
  <si>
    <t>ul. Dominika Merliniego, Wierzbno, Mokotów, Warszawa, mazowieckie</t>
  </si>
  <si>
    <t>Posiadamy w ofercie pulę mieszkań bez wkładu własnego, ilość mieszkań ograniczona. 
Skontaktuj się z nami aby poznać szczegóły.
Gwarancja stałej ceny. Rezerwując swoje mieszkanie u nas masz pewność że cena się nie zmieni. 
W umowie rezerwacyjnej zawieramy taką gwarancję.
Oferta 
Przedmiotem ogłoszenia jest 2-pokojowe mieszkanie położone na 1 piętrze w inwestycji Apartamenty Merliniego Suites. To ustawny lokal o powierzchni 47,63 m kw. Cechą inwestycji jest wysoki standard i świetna lokalizacja. Zapraszamy do zapoznania się z ofertą i do kontaktu.
Inwestycja
Inwestycja Apartamenty Merliniego Suites obejmuje 161 apartamentów w trzykondygnacyjnym nowoczesnym budynku z recepcją, częścią usługową, w tym restauracją i salami konferencyjnymi, oraz garażem podziemnym.
Atuty Inwestycji:
prestiżowa lokalizacja
elegancka, ponadczasowa architektura
bliskość terenów zielonych i rekreacyjnych
nowoczesna technologia budowy
doskonała komunikacja z innymi dzielnicami Warszawy
atrakcyjne apartamenty inwestycyjne
Apartamenty Merliniego to funkcjonalny trzykondygnacyjny budynek o współczesnej formie, z reprezentacyjnym wejściem, recepcją i częścią usługową na parterze. Ponadto do dyspozycji mieszkańców pozostaje obszerny, jednokondygnacyjny parking podziemny z zadaszoną rampą wjazdową.
Inwestycja położona na działce o powierzchni 7 000 m kw. składa się z trzech optycznie rozsuniętych brył, tworzących dwa atria wewnętrzne. Jednym z najważniejszych założeń projektu Apartamentów Merliniego było integrowanie nowoczesnej zabudowy z parkowym otoczeniem przyległych terenów poprzez stworzenie wewnętrznych przestrzeni zielonych, przenikających się z istniejącą w sąsiedztwie zielenią.
Lokalizacja
Inwestycja Apartamenty Merliniego zlokalizowana jest w Warszawie w zacisznej części Mokotowa, w sąsiedztwie kompleksu sportowo-rekreacyjnego "Warszawianka i  terenów zielonych - Parku Dreszera, Królikarni, a także w pobliżu Łazienek Królewskich. 
Lokalizacja Inwestycji, w bliskiej odległości od ulicy Puławskiej łatwy i sprawny dojazd zarówno do centrum miasta, jak i do najważniejszych ośrodków biznesowo-usługowych w stolicy.
Mokotów jest pod względem mieszkańców największą dzielnicą Warszawy. Przez Mokotów przebiega I linia metra, a z prawobrzeżną Warszawą łączy go oddanych do użytku w 2002 roku Most Siekierkowski. Dzielnica słynie z luksusowych apartamentów i zabytkowych zatopionych w zieleni villi. Ta część stolicy obfituje w eleganckie restauracje, prestiżowe sklepy czy nastrojowe kawiarnie Funkcję rekreacyjną pełnią liczne parki, skwery i zieleńce. Niezwykle bogata jest również oferta kultralna w postaci teatrów, kin, licznych muzeów i galerii sztuki.
O nas
HREIT powstał na bazie naszych wieloletnich doświadczeń oraz analiz, jako platforma łącząca firmy deweloperskie z całej Polski i Europy z funduszami inwestycyjnymi w celu wytworzenia optymalnego środowiska dla koegzystencji i rozwoju branży.
Uważamy, że przyszłość budownictwa mieszkaniowego na najwyższym poziomie leży w transferze najnowocześniejszych technologii budowlanych i materiałowych do jak najszerszej grupy firm i stosowaniu ich na masową skalę. Wysokie standardy budowlane w zakresie jakości, oszczędności energetycznej to potężne wyzwania na najbliższe lata. Wprowadzenie ich pozwoli na stworzenie optymalnych warunków do życia dla obywateli naszego kraju.
Zapraszamy do kontaktu!</t>
  </si>
  <si>
    <t>https://www.otodom.pl/pl/oferta/apartament-2-pok-k-taras-mokotow-merliniego-ID49SQQ</t>
  </si>
  <si>
    <t>49SQQ</t>
  </si>
  <si>
    <t>4 pokojowe mieszkanie 2 piętro ul. Saperów 65m2</t>
  </si>
  <si>
    <t>ul. Saperów, Elbląg, warmińsko-mazurskie</t>
  </si>
  <si>
    <t>WGN Nieruchomości oddział Elbląg przedstawiają mieszkanie przy ul. Saperów o powierzchni 64,5m2 wraz z dwoma piwnicami o powierzchni 11,90m2 oraz ogródkiem przynależnym do mieszkania.
Lokalizacja :Mieszkanie zlokalizowane w dzielnicy Winnica przy ul. Saperów. Jest to górna część ul. Saperów od strony ul. Podchorążych. Dzięki temu w tej części dzielnicy mamy ciszę i spokój, gdyż nasza kamienica graniczy z ogródkami działkowymi, domami przy ul. Czarnieckiego i Artyleryjską. Na przeciwko bloku szkoła katolicka dla dzieci. Ta lokalizacja to idealne rozwiązanie dla osób pracujących w jednostkach wojskowych przy ul. Podchorążych, czy ul. Łęczyckiej. Dodatkowym atutem jest bliskość komunikacji miejskiej ( tramwaj pętla - 400metrów, autobus-600metrów). W pobliżu także Starostwo, Centrum Usług Społecznych, PUP, ale także niepubliczne przedszkole Mieszko, szkoła podstawowa nr 25, czy przedszkole Katolickie. Dla osób aktywnych stąd blisko na bieżnie znajdującą się na tzw. ,,Miasteczku" ok 200 metrów, czy na Tor Kalbar. W pobliżu sklep Lidl, Biedronka, oraz E" Leclerc oraz inne sklepy osiedlowe.
Budynek : Kamienica w bardzo dobrym stanie, bardzo ładna klatka, czysta i schludna po wykonaniu renowacji schodów, położeniu płytek i odmalowaniu ścian, zabezpieczona domofonem. Na dachu położona nowa dachówka ceramiczna. Pod kamienicą miejsca parkingowe dla mieszkańców, a z tyłu budynku ogródki należące do właścicieli nieruchomości. Kamienica z ładną nową elewacją, oddzielona od ul. Saperów szpalerem drzew, dzięki czemu nie słyszymy jadących tam samochodów, czy jesteśmy odcięci od ewentualnego kurzu. Całość utrzymana w należytym porządku.
Mieszkanie :Mieszkanie 4 pokojowe, nadające się do zamieszkania o powierzchni 64,5m2, ogólna powierzchnia większa w związku z tym iż występują skosy ( ponad 70m2). Osobna kuchnia i łazienki z wc. Mieszaknie zlokalizowane na 2 piętrze budynku, sąsiaduje z innym mieszkaniem oraz wejściem na strych, który można zaadoptować w części nad mieszkaniem do własnego użytku i powiększenia mieszkania przy okazji robiąc z niego mieszkanie dwupoziomowe. Mieszkanie ogrzewane wraz z podgrzaniem wody z piecyka gazowego (piec na gwarancji, nowy). Instalacja elektryczna miedziana. Wymienione okna pcv w całym mieszkaniu. Do mieszkania przynależą dwie piwnice o wielkości 11,90m2 oraz dużego ogródka zlokalizowanego za budynkiem do wyłącznej dyspozycji właściciela. Łazienka z prysznicem została wyremontowana w poprzednim roku. Większość mebli w mieszkaniu może pozostać.
To mieszkanie jest położone w bardzo dobrej lokalizacji, idealnie nadające się dla osób ceniących sobie ciszę i spokój, a z drugiej strony chcą mieć wszędzie blisko. Idealne rozwiązanie dla osób pracujących w jednostkach wojskowych, Starostwie czy w pobliskich urzędach. Zachęcamy w szczególności osoby szukające nieruchomości z kredytem 2%. Nasz doradca kredytowy przeprowadzi całą transakcję. Do kosztów należy doliczyć koszty notarialne i koszty biura wysokości 1,5% brutto.</t>
  </si>
  <si>
    <t>https://www.otodom.pl/pl/oferta/4-pokojowe-mieszkanie-2-pietro-ul-saperow-65m2-ID4mfDU</t>
  </si>
  <si>
    <t>4mfDU</t>
  </si>
  <si>
    <t>Apartament z widokiem na Latarnię Morską 50m morze</t>
  </si>
  <si>
    <t>ul. Cicha, Kołobrzeg, kołobrzeski, zachodniopomorskie</t>
  </si>
  <si>
    <t xml:space="preserve">
Idealna lokalizacja, jedyne 50 m od Latarni Morskiej, 100 m od plaży!!! 
Z pięknym widokiem na Latarnię.  
Apartament 3 pokojowy, położony na 1 piętrze, w budynku 5 piętrowym wraz z pomieszczeniem przynależnym - komórką lokatorską.
Składa się z 3 pokoi, w tym: 1 pokój dzienny z aneksem kuchennym i balkonem z widokiem na latarnię morską i port od strony północnej; 2 sypialnie, obie połączone balkonem od strony południowej, łazienka z prysznicem i przedpokój.
Standard wykończenia: dobry
Mieszanie wymaga odświeżenia.
W cenie apartamentu pozostaje kompletne wyposażenie!!!
Do apartamentu można dokupić garaż w hali garażowej, w cenie 90.000,00 zł
Oferowana cena jest ceną brutto - sprzedaż zwolniona z VAT  Cena do negocjacji!!!
POLECAM!!!</t>
  </si>
  <si>
    <t>https://www.otodom.pl/pl/oferta/apartament-z-widokiem-na-latarnie-morska-50m-morze-ID4m2x5</t>
  </si>
  <si>
    <t>4m2x5</t>
  </si>
  <si>
    <t>4 pokoje w Goleniowie - 599 000 Pln</t>
  </si>
  <si>
    <t>Na sprzedaż!Mieszkanie 4 pokojowe zlokalizowane na parterze w wielorodzinnym budynku w cichej i spokojnej dzielnicy Goleniowa. Cena ofertowa: 599 000 PLN Powierzchnia mieszkania: 83,40 m2 Na którą składają się: - salon - 3 sypialnie- kuchnia - łazienka - spiżarnia MIeszkanie po remoncie, gotowe do zamieszkania.  Czynsz i media: Czynsz: 400 zł/ msc.Orzewanie: kominek z płaszczem wodnym. Podgrzewanie wody: bojler elektryczny.Możliwe podlaczenie do sieci gazwej. Do nieruchomości przynależą dwa ogródki o pow.: 100 m2 i 150 m2, piwnica oraz pomieszczenie gospodarcze. Lokalziacja: dobrze skomunikowana część Goleniowa, w pobliżu przystanek autobusowy  dla praconików GPP, przystanek bus SZCZECIN = ŚWINOUJŚCIE, sklepy.Zapraszam na prezentację! marketnieruchomoś - 20 lat doświadczeniaNIERUCHOMOŚCI, UBEZPIECZENIA, KREDYTYU nas znajdziesz: mieszkania Goleniów, mieszkania Szczecin, domy Goleniów, domy Szczecin, nieruchomości Goleniów, nieruchomości Szczecin, kredyty Goleniów, kredyty Szczecin, ubezpieczenia GoleniówOferta wysłana z programu dla biur nieruchomości ASARI CRM ()</t>
  </si>
  <si>
    <t>https://www.otodom.pl/pl/oferta/4-pokoje-w-goleniowie-599-000-pln-ID4iEfN</t>
  </si>
  <si>
    <t>4iEfN</t>
  </si>
  <si>
    <t>Agroturystyka na Pogórzu Izerskim | Gotowy biznes</t>
  </si>
  <si>
    <t>Giebułtów, Mirsk, lwówecki, dolnośląskie</t>
  </si>
  <si>
    <t>Łowejko Nieruchomości prezentuje rozwojową działalność agroturystyczną, zlokalizowaną w centralnej części Pogórza Izerskiego – w malowniczej miejscowości Giebułtów.     ✅Prosperujący biznes w górach ✅Turystyczna lokalizacja ✅Zadbane wnętrza ✅Klimatyczny ogród  ✅Cicha, spokojna okolica     Nieruchomość   Przedmiotowa nieruchomość stanowi trzy działki gruntu o numerach geodezyjnych 461/2, 460/1, 460/2, których łączna powierzchnia wynosi 77,47 arów.
 Działka o numerze 460/2 zabudowana jest budynkiem o powierzchni ok. 500 m², pełniącym funkcje działalności agroturystycznej. Całość składa się z: 8 pokoi, przynależnych łazienek i kuchni, komunikacji, dużej sali bankietowej z pełnym zapleczem gastronomiczno-gospodarczym oraz osobnego, niezależnego mieszkania na parterze. Aktualnie prowadzona jest w tym miejscu działalność z zakresu wynajmu sali bankietowej na różne okoliczności (m.in. chrzciny, przyjęcia, stypy) oraz wynajmu pokoi dla osób, chcących wypocząć w otoczeniu przyrody.
 Na działce 460/1 posadowiony jest budynek gospodarczy o powierzchni ok. 200 m², który może zostać dowolnie zaadaptowany, na przykład na osobną, niezależną salę weselną. Działka 461/2 jest niezabudowana.
 Miejsce to obecnie użytkowane jest w sposób spójny z naturą. Źródłem energii są panele fotowoltaiczne, woda pobierana jest ze studni głębinowej, a na części działek zagospodarowany został ogródek ekologiczny wraz ze szklarnią. Przyszli właściciele będą mogli korzystać także z drewnianej altanki oraz miejsca na ognisko.   Lokalizacja   Niewątpliwym atutem prezentowanej nieruchomości jest atrakcyjna lokalizacja na Pogórzu Izerskim. Piękne widoki, bliskość Gór Izerskich i dużych miast turystycznych będzie sprzyjała pozyskiwaniu klientów dla Państwa działalności.    W okolicy znajdują się m.in. :
 ·         Świeradów Zdrój (15 min.) ·         Szklarska Poręba (30 min.) ·         Jezioro Złotnickie (10 min.) ·         Jezioro Leśniańskie (10 min.) ·         Frydlant (CZECHY) (30 min.)     CENA: 2 200 000 PLN     Jeśli zainteresowała Cię ta oferta, koniecznie zadzwoń i umów się na prezentację! Aleksandra Dróżdż Starszy Specjalista ds. Nieruchomości  +4████████████7     KREDYT HIPOTECZNY Z ŁOWEJKO NIERUCHOMOŚCI  Nasi eksperci pomogą Ci wybrać najlepszą spośród prawie 25 ofert kredytów hipotecznych. Umów się z nami na bezpłatną konsultacje.
 Na jednym spotkaniu porównamy dla Ciebie wszystkie warianty, omówimy je i poinformujemy o niezbędnej dokumentacji.
 Przez całą procedurę kredytu hipotecznego możesz przejść sprawnie i spokojnie. Wystarczy, że skorzystasz ze wsparcia naszych ekspertów kredytowych – to nic nie kosztuje! Zapraszamy do kontaktu z naszym doradcą pod numerem telefonu 720 700 010.</t>
  </si>
  <si>
    <t>https://www.otodom.pl/pl/oferta/agroturystyka-na-pogorzu-izerskim-gotowy-biznes-ID4j2Bt</t>
  </si>
  <si>
    <t>4j2Bt</t>
  </si>
  <si>
    <t>Osiedle Sterowców | mieszkanie 39/S18</t>
  </si>
  <si>
    <t>ul. Franciszka Hynka, Dywity, Dywity, olsztyński, warmińsko-mazurskie</t>
  </si>
  <si>
    <t>Przedmiotem ogłoszenia jest 1-pokojowe mieszkanie położone na 2 piętrze w inwestycji Osiedle Sterowców. To wyjątkowy lokal o powierzchni 38,33 m kw. Cechą inwestycji jest wysoki standard i świetna lokalizacja. Zapraszamy do zapoznania się z ofertą i do kontaktu.
O inwestycji:
Wyjątkowa lokalizacja Osiedla Sterowców, to nie tylko sąsiedztwo natury. Na terenie inwestycji, na początku XX wieku, funkcjonowała baza lotnicza z lądowiskiem i halą dla sterowców wojskowych. Aby utrwalić pamięć o historii tego miejsca, nadaliśmy naszej inwestycji nazwę Osiedle Sterowców, a główna droga nosi imię pilota balonowego Wojska Polskiego Franciszka Hynka, którego tablicę pamiątkową umieściliśmy na terenie osiedla. W pobliżu znajduje się również ścieżka historyczna-dydaktyczna, gdzie zainteresowani mogą zapoznać się z historią bazy sterowców w Dywitach.
Osiedle Sterowców to wyjątkowa propozycja dla miłośników natury. Płynąca wokół osiedla rzeka Wadąg, sąsiedztwo Lasu Miejskiego oraz osiedlowa zieleń urządzona i naturalna o powierzchni ponad 8 hektarów powodują, że projekt nie ma sobie równych w całym regionie.
Sąsiedztwo liczącego niemal 1,5 tysiąca hektarów powierzchni Lasu Miejskiego, z dziesiątkami kilometrów ścieżek rowerowych i spacerowych, a także niewielka odległość do zagospodarowanego na cele rekreacyjne jeziora Dywickiego, dają wiele możliwości wyboru formy spędzania wolnego czasu. Projektowany w centralnej części inwestycji park wzbogaci osiedle o dodatkowe atrakcje dla całej rodziny, takie jak altany piknikowe, urządzenia fitness, atrakcyjne ścieżki pieszo-rowerowe i inne, dostępne bez oddalania się od miejsca zamieszkania.
Realizacja projektu rozpoczęła się w 2015 roku, natomiast obecnie tworzy je zespół kilkunastu budynków cztero- i pięciokondygnacyjnych. Osiedle Sterowców nie sąsiaduje z żadną inną zabudową, dlatego cała infrastuktura drogowa i zaplecze parkingowe dostępne jest na wyłączny użytek mieszkańców osiedla. Brak innych budynków w otoczeniu, a zamiast tego widok na Las Miejski i rzekę Wadąg powodują, że mimo swoich rozmiarów, Osiedle Sterowców gwarantuje mieszkańcom kameralny charakter i podmiejski spokój.</t>
  </si>
  <si>
    <t>https://www.otodom.pl/pl/oferta/osiedle-sterowcow-mieszkanie-39-s18-ID4f0xJ</t>
  </si>
  <si>
    <t>4f0xJ</t>
  </si>
  <si>
    <t>Duże, Słoneczne 2 Pokoje</t>
  </si>
  <si>
    <t>Oferuję do sprzedaży mieszkanie położone przy ul. Kuncewiczowej.Nieruchomość o powierzchni 50,2mkw na którą składają się dwa duże pokoje, duża kuchnia, duża łazienka i przedpokój.Okna PCV, na podłodze panele, ściany malowane, łazienka do remontu.Blok położony w pobliżu szkoły, linii tramwajowej, dużo zieleni dookoła budynku, plac zabaw i siłownia.Blok ocieplony, ładny balkon.Zapraszam do zapoznania się z ofertą.</t>
  </si>
  <si>
    <t>https://www.otodom.pl/pl/oferta/duze-sloneczne-2-pokoje-ID4njae</t>
  </si>
  <si>
    <t>4njae</t>
  </si>
  <si>
    <t>Urzekająca inwestycja w Centrum miasta!!</t>
  </si>
  <si>
    <t xml:space="preserve">Biuro Makler poleca: Szukasz NOWEGO DEVELOPERSKIEGO mieszkania?Zależy Ci na cichej okolicy i bliskości terenów zielonych?Potrzebujesz bezpieczeństwa w postaci zamkniętego osiedla?Jeśli TAK to ta oferta jest właśnie dla Ciebie !!Nowa inwestycja w Centrum Bydgoszczy!!Kupujący nie płaci podatku PCC!! oraz prowizji do biura!!Mieszkanie 2 pokojowe o powierzchni 44,06m2, na 5 piętrze nowo powstałego budynku. Opis NieruchomościW sercu Bydgoszczy pojawiła się urzekająca przystań. Dosłownie i w przenośni. Tu miasto, rzeka i zieleń spotykają się na wyciągnięcie ręki. Położone bezpośrednio nad Brdą nowe apartamenty zapewniają spokój, wytchnienie i wszelkie udogodnienia ułatwiające życie w mieście. Łącznie z własną przystanią. Jeśli ktoś chce zaszyć się między miastem a rzeką, to tylko tutaj. Będziesz urzeczony.Naturalny dostęp do rzeki to &amp;ldquo;znak firmowy&amp;rdquo; osiedla Urzecze. Po wyjściu z budynku już po kilku krokach znajdujesz się na urokliwym zielonym cyplu nad Brdą i wybierasz swoją ulubioną formę relaksu: kajak, spacer, karmienie kaczek z dzieckiem, zabawę z psem, podziwianie wschodu lub zachodu słońca albo lekturę książki na leżaku.LokalizacjaNa Urzeczu możesz się wyciszyć, a jednocześnie masz pod ręką wszystko, co potrzebne do życia: przedszkola i szkoły, placówki kulturalne, centrum handlowe, komunikację miejską, stacje miejskich rowerów i hulajnóg. Z osiedla łatwo dotrzesz w każdy zakątek miasta bez samochodu, a do centrum możesz się wybrać krótkim spacerkiem.OkolicaWśród wielu zalet Urzecza jest i taka: apartamenty nad Brdą zdecydowanie ułatwiają dostęp do kultury i rozrywki. Na spektakl do opery, film w multikinie czy kolację na Wyspie Młyńskiej możesz się wybrać po prostu pieszo &amp;ndash; taki spacer nie zajmie więcej niż 10-12 minut. Mieszkając poza centrum miasta jesteś cały czas w centrum wydarzeń kulturalnych &amp;ndash; i z przyjemnością wychodzisz im na spotkanie.UdogodnieniaNa Urzeczu spokój można czerpać nie tylko z rzeki i zieleni. Jeśli tu zamieszkasz, czeka na Ciebie wiele praktycznych udogodnień. Podgrzewane wjazdy nie pozwolą na poślizg w zimie, strefa pocztowa ułatwi odbiór przesyłek kurierskich o wygodnej porze. Windę możesz przywołać już z apartamentu, zużycie wody i ciepła będziesz kontrolować na bieżąco dzięki specjalnej aplikacji. Pomyśleliśmy też o miłośnikach wioseł - Urzecze ma nie tylko osiedlową przystań dla kajaków, ale i specjalne, indywidualne stanowiska do ich przechowywaniaNic dodać, nic ująć!! To mieszkanie właśnie dla Ciebie!!Zapraszam na prezentację!! </t>
  </si>
  <si>
    <t>https://www.otodom.pl/pl/oferta/urzekajaca-inwestycja-w-centrum-miasta-ID4ogtm</t>
  </si>
  <si>
    <t>4ogtm</t>
  </si>
  <si>
    <t>Unikalna oferta dla inwestora przy Rogowskiej</t>
  </si>
  <si>
    <t>ul. Rogowska, Nowy Dwór, Fabryczna, Wrocław, dolnośląskie</t>
  </si>
  <si>
    <t>Unikalna oferta dla inwestora!
Oferta na wyłączność. Zapraszamy biura do współpracy.
Oferujemy Państwu wyjątkowy lokal wraz z jednym, naziemnym miejscem postojowym w cenie 417.000,00 złotych. Położony jest w doskonałej lokalizacji we Wrocławiu, przy ul. Rogowskiej 129a. To idealna propozycja dla inwestora szukającego okazji pod wynajem krótkoterminowy (booking),jak i długoterminowy, atrakcyjność nieruchomości oraz doskonała lokalizacja to gwarancja sukcesu. Nieruchomość stale przynosi zysk i jest aktualnie wynajmowana - umowa obowiązuje do lipca 2024r.. Potencjalny inwestor ma zapewniony przychód na pierwsze 6 mc. po zakupie lokalu.
Mieszkanie zlokalizowane jest na 4 piętrze (5 kondygnacji budynku hotelowego) przy ul. Rogowskiej 129a we Wrocławiu. Składa się z pokoju wraz z aneksem kuchennym oraz łazienki. Należy również pamiętać o balkonie oraz miejscu postojowym, które są nieodłącznymi elementami tej wyjątkowej oferty.
Zapraszam do kontaktu celem poznania szczegółów oferty i umówienia się na prezentację.
Aleksandra Temler 
667206973</t>
  </si>
  <si>
    <t>https://www.otodom.pl/pl/oferta/unikalna-oferta-dla-inwestora-przy-rogowskiej-ID4olnq</t>
  </si>
  <si>
    <t>4olnq</t>
  </si>
  <si>
    <t>Mieszkanie 3-pok. Osiedle Komandorskie Wzgórze -</t>
  </si>
  <si>
    <t>ul. gen. Stanisława Karpińskiego, Oksywie, Gdynia, pomorskie</t>
  </si>
  <si>
    <t>Oferta Świąteczna!!!Nowa niższa cena!!! 
Charakterystyka osiedla i lokalizacja
Osiedle Komandorskie Wzgórze powstało w 2007 – 2012 i składa się z domów szeregowych oraz wielorodzinnych budynków. Na terenie osiedla usytuowane są sklepy, apteka, punkty usługowe oraz supermarket Lidl.
Do dyspozycji mieszkańców osiedla jest kort tenisowy, boisko do koszykówki a dla najmłodszych duży, ogrodzony plac zabaw, przy kaskadzie wodnej.
Komandorskie Wzgórze usytułowane jest w dzielnicy Obłuże, oferującej liczne atrakcje, jak basen na AMW, siłownia JustGym i wiele innych. W okolicy znajdują się również ośrodek zdrowia, przedszkola i szkoła podstawowa.
Do centrum dojedziemy w 10 min, 8 liniami dziennymi i 1 linią nocną. Droga nad morze zajmie nam tyle samo. Możemy pojechać na molo w Mechelinkach lub nad zatokę do Rewy gdzie zjemy pyszną rybkę, skorzystać z windsurfingu, kitesurfingu lub po prostu odpocząć nad morzem.
Przez Estakadę Kwiatkowskiej łatwo wydostaniemy się na Obwodnice Trójmiasta a stąd już łatwo można dostać się na drogę ekspresową S6, S7 albo autostradę A1.
Charakterystyka apartamentu:
Budynek oddany do użytku w 2009 roku. Osiedle chronione z ogrodnikiem. Budynek wyposażony jest w windę, wózkarnię oraz duże przestronne klatki.  
Mieszkanie 3 pokojowe 82,10 m² znajdujące się na drugim piętrze, składa się z kuchni (8,2 m²) otwartej na salon (24,9 m²), dwóch sypialni (14,4 m² i 14,6 m²), łazienki (5,9 m²), wc/pralni (3,8 m²), korytarza (10,1 m²) i balkonu. Jest to mieszkanie narożne, ekspozycja wschodnio – południowo – zachodnia, co sprawia że jest jasne i ciepłe.  
W kuchni meble na wymiar, sprzęty AGD firmy Bosch (piekarnik, płyta indukcyjna, zmywarka i ekspres do kawy w zabudowie), lodówka Liebherr i okap Fabera ładnie wpisujący się w górne wiszące szafki.
Włoskie kafle na podłogach w kuchni, korytarzu i łazience, a w sypialniach i salonie podłoga drewniana Merbau. Drzwi drewniane pod kolor podłogi.
W łazienkach baterie Kludi z prysznicem typu walk-in i odpływem liniowy.
W korytarzu i sypialni zabudowa typu komandor.
Do mieszkania przynależy miejsce postojowe i komórka lokatorska w hali garażowej dodatkowo płatne 50 tyś zł.
Opłaty miesięczna na poziomie 1200 zł.
Zapraszam do oglądania na żywo. Mieszkanie do wydania Styczeń 2024.
Ogłoszenie prywatne. Pośrednikom DZIĘKUJEMY.</t>
  </si>
  <si>
    <t>https://www.otodom.pl/pl/oferta/mieszkanie-3-pok-osiedle-komandorskie-wzgorze-ID4mBs0</t>
  </si>
  <si>
    <t>4mBs0</t>
  </si>
  <si>
    <t>Mieszkanie blisko centrum miasta.</t>
  </si>
  <si>
    <t>ul. Władysława Broniewskiego, Wejherowo, wejherowski, pomorskie</t>
  </si>
  <si>
    <t>Na sprzedaż mieszkanie w domu wielorodzinnym, do remontu.Jest to także doskonała propozycja dla inwestora szukającego mieszkania inwestycyjnego.Nieruchomość mieści się w znakomitej lokalizacji pod względem dostępności niezbędnej infrastruktury. W pobliżu znajduje się pełne zaplecze handlowo - usługowe: sklepy spożywcze, Lidl, apteka, piekarnia, przedszkole oraz szkoła. W odległości zaledwie kilku minut pieszo przystanek komunikacji miejskiej i stacja Szybkiej Kolei Miejskiej. Idealne miejsce dla osób ceniących spokój, a zarazem chcących mieszkać blisko centrum miasta. Nieruchomość o powierzchni użytkowej 80m2, całkowitej około 100m2, usytuowana na poddaszu domu wielorodzinnego (2 piętro).Lokal składa się z przedpokoju, kuchni z jadalnią, 3 odrębnych pokoi, łazienki oraz pomieszczenia gospodarczego.Pomieszczenia ustawne, ze skosami - wysokość pomieszczeń od 250 cm do 300 cm.Mieszkanie jest zadbane, ale do remont  zarówno lokal oraz dach.Opłaty wg zużycia: gaz w okresie zimowym około 300zł, fundusz remontowy 180zł, plus prąd.Zapraszam do kontaktu, w celu umówienia się na prezentację.</t>
  </si>
  <si>
    <t>https://www.otodom.pl/pl/oferta/mieszkanie-blisko-centrum-miasta-ID4no9u</t>
  </si>
  <si>
    <t>4no9u</t>
  </si>
  <si>
    <t>Mieszkanie, 108,10 m², Opole</t>
  </si>
  <si>
    <t>TYLKO W NASZYM BIURZE MIESZKANIE 4 POKOJOWE W CENTRUMISTNIEJE MOŻLIWOŚĆ ZAKUPU GARAŻU MIESZCZĄCEGO SIĘ W OKOLICYPrzedstawiamy Państwu do zakupu atrakcyjne mieszkanie czteropokojowe zlokalizowane przy ulicy Kośnego w Opolu. Lokal ma powierzchnię użytkową 108,10 m2 i składa się z salonu z wyjściem na balkon, trzech niezależnych sypialni, kuchni z jadalnią, łazienki z WC (pralka, suszarka), przedpokoju.Mieszkanie znajduje się na 2 piętrze wyremontowanej kamienicy (wymieniono dach, nowa inst. elektryczna na klatce, odnowiona elewacja, wyremontowana klatka schodowa).Mieszkanie przeszło gruntowny remont w 2013 roku podczasu którego wymieniono m.in. wszystkie instalacje  + instalacja alarmowa.Okna drewniane, parapety granitowe (River gold). Do mieszkania przynależy piwnica. Mieszkanie jest umeblowane, gotowe do zamieszkania.Wyposażenie której pozostaje w mieszkaniu: zabudowane szafy w pokojach, meble kuchnine z Agd (lodówką z zamrażarką, piekarnik, płyta indukcyjna, zmywarka, mikroflaówka).Blaty w kuchni oraz stół wykonane z granitu (River gold). W łazience zastosowano marmur.Ogrzewania i ciepła z sieci miejskiej.Opłaty czynszowe do zarządcy to ok. 1200 zł przy 3 osobach (zawiera zalicznki na ogrzewanie, wodę ciepłą i zimną, itp).Termin wydania mieszkania do uzgodnienia.CENA DO NEGOCJACJISzczegóły oferty: Łukasz Morzyk - tel. 606 449 844mail: , INVESTHOUSE NIERUCHOMOŚCI OPOLE ul. Chabrów 1b, tel. 77 546 10 30Nota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 Pośrednik odpowiedzialny zawodowo za wykonanie umowy pośrednictwa: Łukasz Morzyk (licencja nr: 15530, polisa ubezp. PZU)</t>
  </si>
  <si>
    <t>https://www.otodom.pl/pl/oferta/mieszkanie-108-10-m-opole-ID4na9Y</t>
  </si>
  <si>
    <t>4na9Y</t>
  </si>
  <si>
    <t>2-Pokojowe Mieszkanie Z Potencjałem, Do Remontu</t>
  </si>
  <si>
    <t>ul. Piekarska, Śródmieście, Bytom, śląskie</t>
  </si>
  <si>
    <t>Wyłącznie u Nas!! Zapraszamy do zakupu urokliwego 2-pokojowego mieszkania, idealnego dla tych, którzy marzą o stworzeniu własnej przestrzeni według własnych upodobań. Nieruchomość położona jest niemal w Centrum miasta Bytomia przy ulicy Piekarskiej na 3 piętrze 4 piętrowej kamienicy, z dogodnym dostępem do wszelkich udogodnień miejskich. Lokal mieszkalny składa się z 2 pokoi - salonu oraz sypialni, widnej kuchni, przedpokoju oraz łazienki z WC. Mieszkanie w stanie do remontu. Kwestia wyposażenia pozostaje do negocjacji. Ogrzewanie oraz ciepłą wodę zapewnia piecyk gazowy. Klatka schodowa czysta, zabezpieczona domofonem. Do mieszkania przynależy piwnica, a miejsca parkingowe znajdują się na dziedzińcu kamienicy lub przy drodze. Lokal mieszkalny składa się z:- Jasnego salonu- Sypialni - Widnej kuchni- Łazienki z WC- PrzedpokojuInformacje:- Cena: 160 tys zł- Powierzchnia: 48,53 m2- Piętro: 3/4- Opłaty miesięczne: 350 złZawierają: opłatę eksploatacyjną, fundusz remontowy, śmieci / 4 osoby - Okna: PCV- Ogrzewanie z piecyka gazowego- Ciepła woda z piecyka gazowego- Miejsca parkingowe: miejsca postojowe na dziedzińcu kamienicy oraz przy drodze- Instalacja elektryczna sprawna, zalecany przegląd i wymiana- Balkon: Nie- Piwnica: TakLokalizacja:Niewątpliwym atutem nieruchomości jest jego lokalizacja. Mieszkanie znajduje się niemal w Centrum miasta. W bezpośredniej okolicy znajdują się sklepy spożywcze, poczta, piekarnia, kościół, przedszkole, żłobek i szkoła. Miejsce bardzo dobrze skomunikowane z miastami ościennymi oraz bardzo dobry dojazd do Autostrady A1, Drogi Wojewódzkiej 911 oraz Drogi Krajowej 94.Zapraszamy na prezentację!Karolina WieczorekTel: 602 108 609e-mail: LukHouse-Nieruchomości&amp;quot;BiuroDlaWymagających&amp;quot;DODATKOWE INFORMACJE:Typ własności: własnośćTyp podłogi: paneleRodzaj okien: PCVŁącze internetowe: takLiczba sypialni: 1Liczba pokoi: 2Ogrzewanie: gazowePiwnica: takTyp balkonu: brakTyp kuchni: widnaCzynsz: 350Typ łazienki: z wcTyp budynku: kamienicaGłośność: cicheKlatka schodowa: czystaTyp parkingu: miejsce postojoweStan lokalu: do remontuDomofon: takPiecyk gazowy: takGaz w budynku: takTreść niniejszego ogłoszenia nie stanowi oferty handlowej w rozumieniu Kodeksu Cywilnego.</t>
  </si>
  <si>
    <t>https://www.otodom.pl/pl/oferta/2-pokojowe-mieszkanie-z-potencjalem-do-remontu-ID4ofOJ</t>
  </si>
  <si>
    <t>4ofOJ</t>
  </si>
  <si>
    <t>Mieszkanie, 48,91 m², Chrzanów</t>
  </si>
  <si>
    <t>Chrzan&amp;oacute;w, ul. Kolonia Stella - 2 pokojowe mieszkanie - 48,91  m2, w stanie developerskim, z miejscem postojowym i kom&amp;oacute;rką lokatorską.Mieszkanie zlokalizowane na parterze w 3 piętrowym budynku, zlokalizowanym w enklawie, w bezpośrednim sąsiedztwie lasu. Budynek posiada 44 mieszkania. Do każdego z mieszkań przynależy zewnętrzne miejsce postojowe oraz kom&amp;oacute;rka lokatorska na poziomie piwnicy. Działka na kt&amp;oacute;rym posadowiony jest budynek ma pow. 0,60 ha i jest ogrodzona. Budynek wybudowany w technologii tradycyjnej, gruntownie zmodernizowany. Ściany zewnętrzne z pustak&amp;oacute;w, ocieplone styropianem, okna pcv, ogrzewanie z sieci miejskiej, system ciepłej wody do indywidulanego montażu (bojler elektryczny lub przepływowy podgrzewacz wody), brak gazu. Modernizacja zakończona w 2022 r.Oferta dotyczy mieszkania o pow. 48,91 m2. Mieszkanie na parterze, narożne, składa się z pokoju dziennego (20,62 m2), sypialni (10,88 m2), kuchni z jadalnią (12,13 m2), łazienki (5,28 m2).Powierzchnia przynależnej piwnicy: 4,37 m2.WYKAZ dostępnych mieszkań Kolonia STELLASzczeg&amp;oacute;ły oferty:+4████████████3 ::DODATKOWE INFORMACJE Rodzaj budynku: blokGłośność: cicheWidok: lasGaz: brakWoda: ciepła - bojler elektrycznyDojazd: asfaltOtoczenie: lasOgrzewanie: C.O. miejskieWinda: NIERozkład: jednostronne rozkładoweUsytuowanie: dwustronneOpłaty w czynszu: wywóz śmieci, woda/ryczałt na wodę, sprzątanie, ogrzewanie, Części wspólne, administracjaOpłaty wg liczników: Woda zimnaRodzaj mieszkania: jednopoziomowePiwnica: TAKStan lokalu: deweloperskiOkna: PCVInstalacje: nowePowierzchnia użytkowa [m2]: 48,9100Rok budowy: 2022Liczba pokoi: 2Wysokość pomieszczeń [m]: 2,6000Liczba sypialni: 1Powierzchnia pokoi [m2]: 21,11,12Podłogi pokoi: wylewkaŚciany pokoi: tynk gipsowyTyp kuchni: oddzielnaRodzaj kuchni: oddzielnaPowierzchnia kuchni [m2]: 12,13Podłoga kuchni: wylewkaTyp łazienki: razem z wcLiczba łazienek: 1Powierzchnia łazienki [m2]: 5,28Glazura łazienki: nowego typuPodłoga łazienki: terakotaŚciany łazienki: glazura::KONTAKT DO AGENTA Robert Tendera+48 730-370-993::DANE BIURA Oddział BS5, Nowa HutaBracia Sadurscy Dariusz SadurskiOs. Kazimierzowskie 3631-844 Kraków12 265 10 29</t>
  </si>
  <si>
    <t>https://www.otodom.pl/pl/oferta/mieszkanie-48-91-m-chrzanow-ID4o85a</t>
  </si>
  <si>
    <t>4o85a</t>
  </si>
  <si>
    <t>Słoneczne mieszkanie. Bolszewo ul. Nagietkowa 2/22</t>
  </si>
  <si>
    <t>Wspólna, Bolszewo, Wejherowo, wejherowski, pomorskie</t>
  </si>
  <si>
    <t xml:space="preserve">Przestronne mieszkania oraz domki w Bolszewie, które przedstawiamy Państwu w naszej ofercie, zostały stworzone z myślą o każdym, kto chciałby zamieszkać w pięknej kaszubskiej okolicy, jednocześnie pozostając blisko najważniejszej pomorskiej aglomeracji - Trójmiasta. Proponujemy lokale, które wyróżniają się funkcjonalnością, solidnym wykonaniem oraz wygodnym rozplanowaniem pomieszczeń.
Dzięki temu, że nasze mieszkania w Bolszewie posiadają balkony oraz przydomowe ogródki, każdy z mieszkańców będzie miał swój własny kawałek natury dostępny na wyciągnięcie ręki. Dołożyliśmy wszelkich starań, aby zarówno lokalizacja nowego osiedla, jak i jego projekt były korzystne oraz ułatwiały życie wszystkim jego mieszkańcom. Budynki powstają w zgodzie z nowoczesnymi, sprawdzonymi technologiami.
Mieszkania i Domy w Bolszewie to:
Funkcjonalne wnętrza
Przydomowe parterowe ogródki
Budynki wykonane wg nowoczesnych, sprawdzonych technologii
Bezpłatne doradztwo kredytowe
Pomoc w załatwieniu formalności
Dynamicznie rozwijający się region
Dobra komunikacja miejska (autobusy MZK i PKS)
Lokalizacja
Osiedle zlokalizowane przy ulicy Nagietkowej będzie świetnym wyborem zarówno dla singli, młodych rodzin z dziećmi, jak i seniorów, którzy chcieliby rozpocząć przyjemne życie poza wielkim miastem, ale jednocześnie mieć do niego dostęp.
W pobliżu:
Galeria Bolszewo (NETTO)
Biedronka
Przedszkole
Szkoła podstawowa
Gimnazjum
Przychodnia medyczna
Przystanek lini 1, 5, 4
Planowana trasa SKM
Nowo wybudowany ART PARK 
O inwestorze
Orlex jest firmą w pełni samodzielną, posiadającą zarówno szeroką bazę sprzętu budowlanego zmechanizowanego jak i własne, wykwalifikowane ekipy budowlane. Dzięki temu prace prowadzone są sumiennie i systematycznie, co bezpośrednio wpływa na terminowość inwestycji, a kłopoty z nierzetelnymi podwykonawcami znane są jedynie z opowiadań.
Pełne zorganizowanie firmy oraz wynikające z tego oszczędności powodują, iż oferta cenowa sprzedawanych lokali jest ciągle atrakcyjna dzięki czemu każdy klient może zrealizować marzenia o własnym, bezpiecznym miejscu na ziemi. Wybudowane budynki charakteryzują się bardzo niskimi kosztami eksploatacji, które wynikają z zastosowanych rozwiązań technicznych oraz indywidualnych nowoczesnych systemów oprogramowań mieszkań.
</t>
  </si>
  <si>
    <t>https://www.otodom.pl/pl/oferta/sloneczne-mieszkanie-bolszewo-ul-nagietkowa-2-22-ID4nVDm</t>
  </si>
  <si>
    <t>4nVDm</t>
  </si>
  <si>
    <t>OKAZYJNE CENY rabaty do 120tys tylko do soboty!!</t>
  </si>
  <si>
    <t>WIELKA NOWOROCZNA PROMOCJA - kilkadziesiąt mieszkań w specjalnej ofercie PROMOCYJNEJ - zadzwoń i zarezerwuj swoje wymarzone lokum już dzisiaj!
+BEZPŁATNA pomoc dedykowanego DORADCY KREDYTOWEGO w załatwieniu formalności kredytowych!
*Gwarancja wpłaconych środków na poczet ceny nieruchomości!
Kontakt telefoniczny możliwy 6 dni w tygodniu od 8 do 20.
Cenę rezerwuje już sama umowa rezerwacyjna, bez potrzeby notariusza!! Bez stresu !!
0zł PCC + 0zł Prowizja = ATUTY WYBORU RYNKU PIERWOTNEGO
 + 0 zł za akt notarialny! (szczegóły pod telefonem)
LOKALIZACJA: Orunia Górna-Gdańsk Południe
·       Osiedle świetnie skomunikowane z trójmiejską obwodnicą oraz traktem św. Wojciecha – ułatwiony wyjazd z Gdańska, jak i sprawny dojazd do najważniejszych miejsc aglomeracji
·       Dojazd do Centrum samochodem – ok. 15minut
·       Przystanek autobusowy 5minut spacerem od osiedla;
·       Niedaleka odległość od stacji kolejowej Gdańsk Lipce – dojazd do Gdańska Głównego zajmuje 6minut!
·       Najbliższy supermarket: 650m;
·       Usługi w okolicy: 400m od najbliższej restauracji, 800m – kawiarnia; 900m – piekarnia; 750m – salon kosmetyczny;
·       10 minut jazdy samochodem do centrum handlowego Kowale, 12 minut do Designer Outlet Gdańsk;
·       Bliskość terenów zielonych, m.in. Park Ferberów (10minut rowerem), akwen do spacerowania (1km), plaża w Stogach nad Zatoką Gdańską (20minut samochodem);
·       Dla aktywnych 6minut jazdy autem (3km) od osiedla oddalone jest centrum sportowo-rekreacyjne dla dzieci i dorosłych oraz klub fitness;
·       EDUKACJA: 3 żłobki w odległości 2km od osiedla, 6 przedszkoli w promieniu 3 km, 900m od najbliższej szkoły podstawowej, 12minut samochodem do liceum ogólnokształcącego;
·       UNIWERSYTETY: 12min jazdy samochodem od ASP i Akademii Muzycznej; 16 minut – GUM; 22 minuty – Uniwersytet Gdański oraz AWF.
Atuty osiedla:
·       Kameralne osiedle niskich 3-piętrowych budynków;zen311
·       Miejsca postojowe w halach podziemnych, jak i na terenie osiedla;
·       Do wyboru: przestronne balkony lub duże ogródki &amp;gt;90m2 – przynależne do każdego z mieszkań!;
·       komórki lokatorskie;
·       Stacja ładowania samochodów elektrycznych na terenie inwestycji;
·       Stojaki rowerowe;
Kupując na wczesnym etapie – wybierasz idealnie odpowiadającą Ci ofertę!
Ulokuj swój kapitał i zabezpiecz się przed utratą wartości pieniądza w czasie!</t>
  </si>
  <si>
    <t>https://www.otodom.pl/pl/oferta/okazyjne-ceny-rabaty-do-120tys-tylko-do-soboty-ID4oC6Y</t>
  </si>
  <si>
    <t>4oC6Y</t>
  </si>
  <si>
    <t>Gotowy apartament w kamienicy obok Nowego Rynku</t>
  </si>
  <si>
    <t>Szukasz nietuzinkowego mieszkania parę kroków od ścisłego centrum. Gotowego do wejścia od zaraz. W kamienicy z historią, ale w pełni zrewitalizowanej, o wysokim standardzie wykończenia. Przy reprezentacyjnej ulicy, ale z dala od zgiełku samochodów i tramwajów. Słonecznej przestrzeni, w której znajdzie się miejsce do relaksu, spotkań towarzyskich i pracy. A może chcesz zainwestować w nieruchomość, której wartość będzie rosła szybciej niż średnia rynkowa? Ta oferta jest dla Ciebie!Polecam na sprzedaż funkcjonalne mieszkanie zlokalizowane na pierwszym piętrze frontowej części kamienicy Wierzbięcice 31.  W pełni zrewitalizowany budynek pod okiem konserwatora zabytów, zapewni komfort podwyższonego standardu z zachowaniem charakteru architektury początków XX w. Południowo-zachodnia ekspozycja okien od spokojnego podwórza, gwarantuje ciszę z dala od ulicznego zgiełku i dużo naturalnego światła przez cały dzień. Dobrze przemyślany układ pomieszczeń, wysokie na 3m stropy, tworzą wygodną przestrzeń do życia zarówno dla singla, jak i aktywnej zawodowo pary. W przeciwieństwie do innych mieszkań o podobnym metrażu, wejście do lokalu nie prowadzi wprost do salonu, ale wygodnego korytarza, w którym znajdzie się miejsce na garderobę i komfortowe siedzisko. Dopiero po przejściu paru kroków, trafiamy do serca domu: salonu z otwartą, w pełni wyposażoną w sprzęt AGD kuchnią (lodówka retro, piekarnik, zmywarka, płyta indukcyjna, pochłaniacz). Stąd kilka stopni prowadzi do wydzielonej, widnej przestrzeni mogącej pełnić funkcję jadalni, pracowni, albo miejsca codziennego działania w trybie home-office. Przy kuchni znajdziemy również osobną spiżarnię z opcją pralni. Po przeciwległej stronie lokalu znajduje się przestronna sypialnia oraz jasna, elegancka łazienka z prysznicem. Ciepło w mieszkaniu zapewniają stylowe grzejniki zasilane nowoczesnym, energooszczędnym piecem dwufunkcyjnym oraz drewniany, dębowy parkiet na podłogach.W budynku działa prężnie wspólnota mieszkaniowa. Lokal posiada własną księgę wieczystą. Opłaty czynszowe wynoszą ok. 400 PLN/msc. Niewątpliwym atutem nieruchomości jest lokalizacja - jedna z najbardziej pożądanych, zwłaszcza wśród młodych profesjonalistów. W promieniu zaledwie dziesięciominutowego spaceru znajduje się zarówno ścisłe centrum i dworzec kolejowy, jak i park, pływania, Łęgi Dębińskie i Wartostrada. W bliskim sąsiedztwie budynku znajdziemy sklepy, uczelnie, kultowe restauracje i kafejki, przystanek tramwajowy i  Rynek Wildecki. To idealne miejsce do życia dla miłośników zdrowego balansu: lubiących trzymać rękę na pulsie miasta i aktywność fizyczną na łonie natury.Chcesz wiedzieć więcej? Już teraz zadzwoń i zarezerwuj możliwość prezentacji!Opiekun oferty:Hanna Morawskatel. kom.: 608 632 262e-mail: Zachęcamy również do odwiedzin naszego biura, które znajduje się w Poznaniu przy ul. Naramowickiej 47/117."Właścicielem ogłoszenia wraz z jego elementami jest Freedom Nieruchomości Sp. z o.o. lub podmioty współpracujące.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Freedom Nieruchomości Sp. z o.o. lub podmiotów współpracujących jest zabronione i może stanowić podstawę odpowiedzialności cywilnej oraz karnej.Ponadto niniejsze materiały stanowią tajemnicę przedsiębiorstwa Freedom Nieruchomości Sp. z o.o. lub podmiotów współpracujących w rozumieniu ustawy z dnia 16 kwietnia 1993 r. o zwalczaniu nieuczciwej konkurencji (Dz. U. z 2003 r., Nr 153, poz. 1503 z późn. zm.). Niniejsze ogłoszenie nie stanowi oferty w rozumieniu Kodeksu Cywilnego, lecz ma charakter informacyjny."</t>
  </si>
  <si>
    <t>https://www.otodom.pl/pl/oferta/gotowy-apartament-w-kamienicy-obok-nowego-rynku-ID4o6km</t>
  </si>
  <si>
    <t>4o6km</t>
  </si>
  <si>
    <t>Adres Rynek</t>
  </si>
  <si>
    <t>rynek Rynek, Stare Miasto, Stare Miasto, Wrocław, dolnośląskie</t>
  </si>
  <si>
    <t>RYNEK ŚCIANA POŁUDNIOWA.Przytulne, klimatyzowane mieszkanie przy Wrocławskim Rynku.Nieruchomość znajduje się na I piętrze zadbanej kamienicy i jest po całkowitym remoncie.Okna usytułowane są od ul. Więziennej, co pomimo położenia mieszkania w centrum miasta pozwala mieszkańcom cieszyć się ciszą ,zielenią i spokojem oraz klimatyzacją kiedy jest gorąco.Lokalizacja: RynekPołożenie lokalu zapewnia bliskość tętniącego życiem Wrocławia, a także doskonały dojazd do każdej części miasta. W najbliższym sąsiedztwie znajdują się renomowane restauracje, kawiarnie. W odległości kilku minut również kina, teatry, muzea, liczne centra biznesowe i rozrywkowe, a zarazem tereny spacerowe w zabytkowej części miasta (Wyspa Słodowa, Wyspa Piaskowa, Ostrów Tumski).Na powierzchni 45 m2 znajdują się:- część dzienna: salon z częścią kuchenną,- sypialnia, która zostanie wyposażona w podwójne łóżko,- łazienka z toaletą,- przedpokój z szafą w zabudowie.W mieszkaniu znajdują się wszystkie niezbędne sprzęty, tj. zmywarka, pralka, piekarnik oraz podstawowe wyposażenie kuchni.Opłaty: 2800+ ok.600 zł czynsz + prądZapraszamDODATKOWE INFORMACJE:Typ własności: własnośćStandard: bardzo dobryLiczba sypialni: 1Liczba pokoi: 2Piętro: 1Ogrzewanie: miejskiePiwnica: takNa biuro: takTyp kuchni: aneksCzynsz: 650Typ łazienki: z wcTyp budynku: kamienicaKlatka schodowa: czystaDomofon: takWyposażenie kuchni: takKlimatyzacja: takGaz w budynku: takKaucja: 3500 PLNDANE KONTAKTOWE:Małgosia Kelar730 30 77 77LINK DO OFERTY: Powyższe informacje dotyczące nieruchomości zostały sporządzone na podstawie oświadczeń i nie są ofertą w rozumieniu przepisów prawa, mają charakter wyłącznie informacyjny i mogą podlegać aktualizacji, zalecamy ich osobistą weryfikację.Wszystkie teksty, rysunki, zdjęcia oraz wszystkie inne informacje opublikowane w naszych ofertach podlegają prawom autorskim. Wszelkie kopiowanie, dystrybucja, elektroniczne przetwarzanie oraz przesyłanie zawartości bez zezwolenia zabronione.Treść niniejszego ogłoszenia nie stanowi oferty handlowej w rozumieniu Kodeksu Cywilnego.</t>
  </si>
  <si>
    <t>https://www.otodom.pl/pl/oferta/adres-rynek-ID4lEoh</t>
  </si>
  <si>
    <t>4lEoh</t>
  </si>
  <si>
    <t>Apartament z sauną i klimatyzacją 100 M do plaży!</t>
  </si>
  <si>
    <t>ul. Spokojna, Ustronie Morskie, Ustronie Morskie, kołobrzeski, zachodniopomorskie</t>
  </si>
  <si>
    <t>Ustronie Supreme Apartaments położone zaledwie 100 m do plaży, w części wschodniej miejscowości Ustronie Morskie. Komfortowy apartament nr 0.04 z własną sauną i klimatyzacjąPowierzchnia użytkowa lokalu: 34,66 m2Cena lokalu w wyższym standardzie deweloperskim wynosi: 532 900,00 zł brutto (w tym 23% VAT)Apartament z własną sauną, klimatyzacją i balkonem, jest umiejscowiony na parterze.Apartament posiada: salon z aneksem kuchennym o łącznej powierzchni 16,35 m2, sypialnię o powierzchni 9,24 m2, łazienkę oraz balkon. Duże drzwi balkonowe, znajdujące się zarówno w sypialni jak i w salonie, zapewniają idealne nasłonecznienie lokalu w ciągu całego dnia.Do dyspozycji gości zostaną oddane 43 apartamenty (1-o, 2-u i 3-y pokojowe) o metrażu od 34,00 m2 do 70,00 m2 oraz miejsca postojowe naziemne i w garażu. OPIS LOKALIZACJI INWESTYCJI:Ustronie Supreme Apartments jest zlokalizowane wprost idealnie, zaledwie 100 m od urokliwej, szerokiej i czystej plaży, u zbiegu ulic Spokojnej i Granicznej w Ustroniu Morskim. Komfortowy kompleks apartamentowy, otoczony zacisznym parkiem, jest miejscem stworzonym do relaksu i złapania oddechu od miastowego zgiełku. Obecność różnorodnych sklepów w okolicy zapewni pełną swobodę w codziennym życiu, a liczne atrakcje nadadzą wypoczynkowi zupełnie nowego znaczenia. Gdy to okaże się być niewystarczające, zaledwie 12 km przepięknej trasy rowerowej dzieli głodnych wrażeń od dużego kurortu nadmorskiego Kołobrzegu. Samo Ustronie Morskie, będąc malowniczą miejscowością jest od lat chętnie odwiedzane przez turystów. Oznacza to, że każdy będzie mógł tutaj odnaleźć swoje miejsce na ziemi.OPIS INWESTYCJI:Inwestycja Ustronie Supreme Apartments łączy w sobie klasę i nowoczesność z bliskością przyrody. Kompleks spełni oczekiwania nawet najbardziej wymagających gości, dając im zarówno pełną swobodę jak i poczucie prywatności. Apartamenty skąpane w blasku zachodzącego słońca i soczystej zieleni drzew będą idealnym azylem dla każdego. Ciekawych wrażeń dostarczą okoliczne atrakcje, m.in.: amfiteatr, park linowy czy najwyższa w Polsce wieża widokowa. Zwieńczeniem idealnego dnia lub całodniową alternatywą będzie błogi relaks na plaży znajdującej się zaledwie 100 m od obiektu. Zarówno malownicza okolica jak i komfort ekskluzywnego apartamentu w nowoczesnym budynku, będą cieszyć się nieustannym zainteresowaniem, niezależnie od pory roku.Wszystko to sprawia, że Ustronie Supreme Apartments jest idealnym rozwiązaniem dla osób chcących czerpać dodatkowe korzyści z apartamentu w czasie, gdy Właściciel z niego nie korzysta, może go wynająć.Dlaczego Ustronie Supreme Apartments? Nowoczesny kompleks apartamentowy położony 100 m od malowniczej plaży Obiekt znajduje się w bezpośrednim otoczeniu parku nadmorskiego Bliskość różnorodnych sklepów i restauracji Atrakcyjna cena za m2 apartamentu Idealny sposób na zainwestowanie kapitału Zysk przez cały rok, również poza sezonem letnim Mnogość atrakcji turystycznych w okolicy, sprawi, że pobyt w tym wyjątkowym miejscu spełni Państwa najśmielsze oczekiwania, dając możliwość zobaczenia: jednych z najstarszych dębów w Polsce, Amfiteatru, ścieżek rowerowych, najwyższą w Polsce wieżę widokową, Park linowy GIBON, liczne place zabaw, Skansen chleba, Western Park z Ciuchcią Bryza Express, a w najbiższym sąsiedztwie znajduje się Centrum sportowo rekreacyjne HELIOS oraz Aleja sław polskiej karykatury i uwaga (!) farma fotowoltaniczna. Kupujący nie płaci prowizji.Niniejsza prezentacja nie jest ofertą w rozumieniu Kodeksu Cywilnego i ma charakter wyłącznie informacyjny.Ustronie Supreme Apartments: ul. Spokojna, 78-111 Ustronie MorskieBiuro Sprzedaży:Ul. Okrzei 6, 78-111 Ustronie Morskie, +4████████3 933Treść niniejszego ogłoszenia nie stanowi oferty handlowej w rozumieniu Kodeksu Cywilnego.</t>
  </si>
  <si>
    <t>https://www.otodom.pl/pl/oferta/apartament-z-sauna-i-klimatyzacja-100-m-do-plazy-ID4hXvm</t>
  </si>
  <si>
    <t>4hXvm</t>
  </si>
  <si>
    <t>Apartament na sprzedaż w Mielnie ul. Lechitów</t>
  </si>
  <si>
    <t>ul. Lechitów, Mielno, Mielno, koszaliński, zachodniopomorskie</t>
  </si>
  <si>
    <t>Mielno !!! Wyjątkowa oferta sprzedaży apartamentów w Mielnie przy ul. Lechitów. 
Inwestycja obejmuje 16 apartamentów o pow. od 26,8 m2 do 55,5 m2, z tarasami i ogródkami. Ta oferta obejmuje położony na I piętrze apartament nr 1.2 o pow. 33,50 m2, z tarasem o pow.10,50 m2.
Rozkład lokalu:
pokój z aneksem kuchennym  (23,20 m2)
łazienka (6,90 m2);
korytarz (3,40 m2)
Do apartamentu przynależy pom. gospodarcze o pow. 2,30 m2.
Ofertę sprzedaży stanowią lokale apartamentowe, stanowiące odrębną własność z udziałem w nieruchomości.Sprzedawane apartamenty są w pełni umeblowane i przygotowane do zamieszkania.Posiadają instalację TV i internet, obiekt jest całoroczny z własnym ogrzewaniem gazowym.
Budynek apartamentowy, murowany, 2- piętrowy, położony na działce o pow. 2.259 m2.Budynek funkcjonujący, bezpośrednio do zamieszkania.Teren wokół posesji jest ogrodzony, zagospodarowany z licznymi nasadzeniami i terenem rekreacji.Apartamenty położone w sąsiedztwie willi i pensjonatów pomiędzy morzem a jeziorem Jamno.Do apartamentu należy dokupić miejsce postojowe w cenie 15.000 zł.
Cena sprzedaży brutto z wyposażeniem.Mielno jest znanym nadmorskim kurortem charakteryzującym się pięknymi szerokimi plażami.
 </t>
  </si>
  <si>
    <t>https://www.otodom.pl/pl/oferta/apartament-na-sprzedaz-w-mielnie-ul-lechitow-ID4hJ17</t>
  </si>
  <si>
    <t>4hJ17</t>
  </si>
  <si>
    <t>Apartament w Kłobucku</t>
  </si>
  <si>
    <t>ul. hm. Tadeusza Sobisia, Kłobuck, Kłobuck, kłobucki, śląskie</t>
  </si>
  <si>
    <t>Przedstawiam apartament z rynku pierwotnego o nowoczesnym wykończeniu, znajdujący się w Kłobucku przy ul. Sobisia. Lokal nr 36 z balkonem znajduje się w budynku B na trzecim piętrze.   
Powierzchnia mieszkania wynosi 80,18 m2. 
Apartament składa się z: 
Komunikacji 7,93 m2 
Salonu z kuchnią 36,66 m2
Pokoju nr 1: 9,42 m2
Sypialni 18,92 m2 
Garderoby 2,56 m2
Łazienki 4,69 m2 
Apartament posiada również balkon o powierzchni 9,00 m2. 
Apartamenty Zaciszna Polana są zlokalizowane w spokojnej części Kłobucka. Jest to kompleks dwóch nowoczesnych budynków, które posiadają garaże podziemne. Mieszkańcy mają zapewnioną ochronę w formie terenu zamkniętego oraz domofonów. Szczegółowo przemyślane i rozplanowane apartamenty z balkonami spełnią Państwa wymagania. Dodatkowo w budynku znajduje się winda, która poprawia komfort przemieszczania się. Znajduje się ona w centralnej części klatki schodowej i obsługuje wszystkie poziomy. Lokalizacja Apartamentów pozwala na łatwy dostęp do infrastruktury społecznej oraz komunikacji miejskiej.  
Obok osiedla znajduje się wiele udogodnień takich jak: 
Sklepy spożywcze takie jak: Lewiatan, Biedronka, Polo Market. Niedaleko również znajduje się targowisko. 
Liczne lokale gastronomiczne zapewnią Państwu smaczne posiłki.  
Droga do przedszkola i szkoły podstawowej wynosi niecały kilometr. 
W pobliżu znajdują się apteka oraz przychodnia lekarska.  
Niedaleko jest kościół. 
Dla osób aktywnych fizycznie jest siłownia.  
Niedaleko jest myjnia samochodowa Kärcher.  
Co więcej, w pobliżu jest wiele salonów kosmetycznych i fryzjerskich. 
Dodatkowo niedaleko znajduje się park, gdzie można aktywnie spędzić czas z rodziną.   
W pobliżu znajduje się również pałac w stylu neogotyckim otoczony pięknym parkiem.  
Do lokalu przynależy komórka lokatorska (dodatkowo płatna).
Istnieją dwie możliwości wykupienia miejsca parkingowego: 
W garażu podziemnym, w cenie 30 000 zł 
Na terenie zewnętrznym, w cenie 17 000 zł 
Informacje dotyczące nieruchomości zostały przedstawione zgodnie z należytą wiedzą pośrednika oraz udostępnionymi mu dokumentami. Szczegółowa weryfikacja stanu prawnego oraz technicznego nieruchomości wymaga dokonania niezależnych analiz.</t>
  </si>
  <si>
    <t>https://www.otodom.pl/pl/oferta/apartament-w-klobucku-ID4hOCP</t>
  </si>
  <si>
    <t>4hOCP</t>
  </si>
  <si>
    <t>Apartament Z Widokiem Na Morze</t>
  </si>
  <si>
    <t>ul. Nowy Świat, Puck, pucki, pomorskie</t>
  </si>
  <si>
    <t>NA SPRZEDAŻ NADMORSKI APARTAMENT 41.38 m2 Z WIDOKIEM NA MORZE I DOSTĘPEM DO PRYWATNEJ PLAŻYGłówne atuty nieruchomości: • prestiżowa lokalizacja• cicha i spokojna okolica• piekny widokNieruchomość złożona z: • pokój z aneksem kuchennym 25 m.kw• pokój 8 m.kw• łazienka 6 m.kw• hall 2,38 m.kw W skład nieruchomości wchodzą też:• balkon• miejsce parkingoweTyp ogrzewania: ogrzewanie na gaz miejski. Typ własności: własność. Oferuję Państwu wyjątkowy apartament w NAJLEPSZEJ LOKALIZACJI w nadmorskim Pucku. Zaledwie 40 m od przepięknego klifu z, którego roztacza się niesamowity widok na wodę. Nieruchomość znajduje się na pierwszym piętrze w dwupiętrowym kameralnym apartamentowcu z windą na, którego dachu znajduje się TARAS WIDOKOWY :)W skład nieruchomości wchodzą: salon z aneksem kuchennym i wyjściem na balkon, z którego roztacza się widok na morze, sypialnia, łazienka z WC oraz hol. DO APARTAMENTU PRZYPISANE JEST MIEJSCE POSTOJOWE W HALI GARAŻOWEJ - W CENIE !STAN TECHNICZNY: BARDZO DOBRY: okna PCV z moskitierami, łazienka w glazurze, podłogi wyłożone kaflami. Stary Rynek i Promenada z restauracjami i kawiarniami czeka na Was aby spędzać czas z rodziną i przyjaciółmi.Dzięki rozbudowie MARINY Puck zdecydowanie zyskał na atrakcyjności turystycznej i wielu właścicieli jednostek pływających szuka tu miejsca dla siebie i swoich jednostek pływających.Bardzo dobry dojazd do Trójmiasta i Półwysep.Zatoka i wiatr to idealny duet do uprawiania sportów wodnych, wielu amatorów keatesufingu uwielbia tu spędzać wakacyjny czas i nie tylko.KUP I MIEJ TEN PRZYWILEJ ABY ZAMIESZKAĆ NAD MORZEM I PODZIWIAĆ CODZIENNIE NIESAMOWITY WIDOK NA MORZE.Zapraszam do kameralnego Pucka.ZADZWOŃ: 690 042 873.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</si>
  <si>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https://www.otodom.pl/pl/oferta/apartament-z-widokiem-na-morze-ID4i4Fl</t>
  </si>
  <si>
    <t>4i4Fl</t>
  </si>
  <si>
    <t>Apartament w centrum miasta</t>
  </si>
  <si>
    <t>Nowoczesne, przestronne mieszkanie na wysokim parterze w nowym, kameralnym, dwupiętrowym, chronionym budynku apartamentowym w Centrum Grodziska Mazowieckiego.Mieszkanie o powierzchni 69 m2, składające się z:- przestronnego i jasnego salonu z kuchnią (o powierzchni ponad 35 m2; na wyposażeniu meble kuchenne, rozkładany stół w zabudowie, lodówka, piekarnik, kuchnia indukcyjna w zabudowie), dwóch odrębnych sypialni (12 m2 i 9 m2), łazienki z wanną (5 m2; na wyposażeniu pralka), spiżarni (ok.4 m2), przestronnego korytarza i balkonu (4 m2). W większej sypialni oraz w korytarzu duże szafy w zabudowie. Mieszkanie wykończone i urządzone materiałami bardzo wysokiej jakości. W mieszkaniu klimatyzacja i automatyczne rolety zewnętrzne (we wszystkich pokojach), sufit podwieszany. Czynsz określony dla 2 osób dorosłych i 2 dzieci - 800 złW podanej cenie czynszu również monitoring, ochrona budynku oraz indywidualna ochrona mieszkania.Do mieszkania przynależy 1 miejsce parkingowe w garażu podziemnym. Istnieje także możliwość dokupienia drugiego miejsca postojowego w garażu podziemnym (w cenie 30.000).W bloku znajdują się także dwie wózkarnie (do przechowywania wózków i rowerów).Polecam i zapraszam do obejrzenia.Zmieniasz swoje życie? Przeprowadzasz się, inwestujesz, szukasz swojego miejsca?Sprzedaż czy kupno nieruchomości rodzi tyle samo emocji co obaw czy wybór jest słuszny, cena adekwatna, dokumenty rzetelnie sprawdzone...Wychodząc naprzeciw potrzebom i oczekiwaniom klientów oferujemy kompleksowe przygotowanie transakcji. Wyszukanie nieruchomości na miarę Państwa potrzeb i oczekiwań, przygotowanie i sprawdzenie niezbędnych dokumentów, pomoc w uzyskaniu kredytu - współpracujemy z 20 bankami! Niniejsze ogłoszenie nie stanowi oferty w rozumieniu Kodeksu Cywilnego, lecz ma charakter informacyjny. Niektóre zdjęcia mogą przedstawiać przykładowe możliwości aranżacji wnętrza lub elewacji - nie są odzwierciedleniem rzeczywistego stanu prezentowanej nieruchomości.Zapraszamy!BMNieruchomościOferta wysłana z programu dla biur nieruchomości ASARI CRM ()</t>
  </si>
  <si>
    <t>https://www.otodom.pl/pl/oferta/apartament-w-centrum-miasta-ID4oAsp</t>
  </si>
  <si>
    <t>4oAsp</t>
  </si>
  <si>
    <t>Kredyt 2 % | wysoki RABAT | okazja cenowa</t>
  </si>
  <si>
    <t>GURDNIOWE OKAZJE NA ZAKUP MIESZKANIA – OSTATNIA SZANSA NA KREDYT 2 % - UMÓW WIZYTĘ i zobacz na ŻYWO
UMOWA REZERWACYJNA → GWARANTOWANA NISKA CENA !!!
Bezpośrednia sprzedaż od dewelopera
BEZ PROWIZJI - BRAK PODATKU PCC – 0 zł – RYNEK PIERWOTNY
Wyjątkowe OKAZJE na miejsca postojowe
Oferta dla klientów BEZPIECZNY KREDYT 2 %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2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t>
  </si>
  <si>
    <t>https://www.otodom.pl/pl/oferta/kredyt-2-wysoki-rabat-okazja-cenowa-ID4opCj</t>
  </si>
  <si>
    <t>4opCj</t>
  </si>
  <si>
    <t>Umeblowane przestronne mieszkanie na ul Głębockiej</t>
  </si>
  <si>
    <t>ul. Głębocka, Grodzisk, Białołęka, Warszawa, mazowieckie</t>
  </si>
  <si>
    <t>Mamy Państwu do zaoferowania nieruchomość z wyjątkową sypialnią o powierzchni 56 m.kw.
To 2 pokojowe mieszkanie, o podwyższonym standardzie, zachwyci przede wszystkim swoją przestronnością oraz ilością światła w mieszkaniu. 
Główne atuty nieruchomości:
* gotowe do wprowadzenia
* klimatyzacja
* umeblowane
* ze sprzętem AGD takim jak: płyta indukcyjna, zmywarka, piekarnik, lodówka.
* w odległości 200 m znajduje się przystanek autobusowy
*  szybki wyjazd na trasę S8
* bliskość terenów zielonych
* bliskość szkoły/przedszkola
* cicha i spokojna okolica
W pobliżu znajduje się wiele marketów spożywczych, do najbliższej Biedronki jest 400 m. Obok też liczne mniejsze sklepy typu Żabka, Lewiatan. W bliskiej okolicy tereny zielone takie jak Las Bródnowski, Las Marecki.
Mieszkanie sprosta oczekiwaniom nawet najbardziej wymagających klientów ze względu na korzystny układ pomieszczeń.
W razie jakichkolwiek pytań zapraszamy do kontaktu .
Oferta dostępna tylko w Metrohouse.
Niniejsza prezentacja oferty nie jest ofertą w rozumieniu Kodeksu Cywilnego i ma charakter wyłącznie informacyjny.</t>
  </si>
  <si>
    <t>https://www.otodom.pl/pl/oferta/umeblowane-przestronne-mieszkanie-na-ul-glebockiej-ID4opbE</t>
  </si>
  <si>
    <t>4opbE</t>
  </si>
  <si>
    <t>M4 na Wyżynach na sprzedaż</t>
  </si>
  <si>
    <t>Wyżyny, Bydgoszcz, kujawsko-pomorskie</t>
  </si>
  <si>
    <t xml:space="preserve">Oferuję na sprzedaż 3 pokojowe mieszkanie na Wyżynach. Mieszkanie znajduje się na 4 piętrze bloku przy ulicy Dunikowskiego.Jest to typowy układ szczeciński o powierzchni 55,72 m2 ( w tym piwnica 3,23 m2 ).  Mieszkanie składa się z 3 pokoi , oddzielnej kuchni, przedpokoju , łazienki i WC. Z balkonu mieszkania rozciąga rozległy się widok na panoramę osiedla.Mieszkanie jest częściowo umeblowane. Media w lokalu to gaz, prąd i ogrzewanie miejskie.Aktualny czynsz dla 1 osoby to 570 złotych miesięcznie.Mieszkanie wymaga remontu.Cena oferowanego mieszkania to 310 tysięcy złotych.Zapraszam na prezentację mieszkaniaJerzy SzymańskiPośrednik PFRN licencja nr 23693Powyższy opis ma charakter informacyjny, jest zaproszeniem do negocjacji  i nie stanowi oferty w rozumieniu przepis&amp;oacute;w art. 66 paragraf 1 Kodeksu Cywilnego. Zdjęcia i opisy zawartej w powyższym tekście objęte są ochroną praw autorskich majątkowych.Opis zawarty na stronie internetowej sporządzony jest na podstawie oględzin nieruchomości oraz informacji uzyskanych od właściciela. </t>
  </si>
  <si>
    <t>https://www.otodom.pl/pl/oferta/m4-na-wyzynach-na-sprzedaz-ID4o9bh</t>
  </si>
  <si>
    <t>4o9bh</t>
  </si>
  <si>
    <t>Kameralna zabudowa|zielona okolica|na start</t>
  </si>
  <si>
    <t>Księże, Krzyki, Wrocław, dolnośląskie</t>
  </si>
  <si>
    <t xml:space="preserve">Zapraszam na spotkanie na osiedlu - Ewa tel. 881 474 134Zakup od dewelopera - kupujący nie płaci prowizji oraz podatku 2% PCC!Największe atuty inwestycji: &amp;radic; kameralne budynki&amp;radic; miejsca postojowe oraz komórki lokatorskie&amp;radic; tereny rekreacyjne: Park Wschodni, liczne ścieżki spacerowe i rowerowe&amp;radic; zielona okolica &amp;radic; ogród dla mieszkańców Mieszkanie 2 pokojowe powierzchni 45 m2 usytuowane na parterze z ogródkiem. Wystawa okienna: południeLokal składa się z:pokoju dziennego,oddzielnej kuchni,sypialni,łazienki,przedpokoju. Dodatkowo:ogródek,miejsce postojowe i komórki lokatorskie osobno płatneTermin realizacji: sierpień 2025Lokal oddawany w stanie deweloperskim.Zdjęcia przedstawione w ofercie są wizualizacjami. ✔︎ Zapewniam pomoc w uzyskaniu kredytu oraz wykończeniu mieszkania pod klucz.✔︎ Możliwość bezpłatnej rezerwacji mieszkania.✔︎ Kupując ze mną nieruchomość zyskujesz 10% rabatu na wykończenie lub remont mieszkania* Kontakt do osoby prowadzącej ofertę:Ewa: tel. 881 474 134@-mail: telefon do biura: 71 307 24 00oto-1.2.11.2aOferta została przygotowana na podstawie informacji uzyskanych od dewelopera. Informacje te są przez nas weryfikowane i sprawdzane, mogą jednak ulegać aktualizacji, w związku z czym powyższa oferta nie stanowi oferty handlowej w rozumieniu Kodeksu Cywilnego, a dane w niej zawarte mają jedynie charakter informacyjny.Pośrednik odpowiedzialny zawodowo za wykonanie umowy pośrednictwa: Ewa Kaim (licencja nr: 1440) </t>
  </si>
  <si>
    <t>https://www.otodom.pl/pl/oferta/kameralna-zabudowa-zielona-okolica-na-start-ID4oIEU</t>
  </si>
  <si>
    <t>4oIEU</t>
  </si>
  <si>
    <t>Cztery pokoje na Oporowie. Wszystko, co trzeba!</t>
  </si>
  <si>
    <t>ul. Jordanowska, Oporów, Fabryczna, Wrocław, dolnośląskie</t>
  </si>
  <si>
    <t>CZTERY pokoje z dwoma balkonami i dodatkową łazienką przy terenach zielonych na południowym zachodzie WrocławiaOpiekun oferty: Jacek Mamińskitel. 602 101 6024-pokojowe mieszkanie o powierzchni 68,21 m2 na I piętrze w 3 piętrowym budynku z windą.Układ pomieszczeń:- Salon z aneksem kuchennym 21,4 m2- Pokój 10,8 m2 - Pokój 8,7 m2- Pokój 9,3 m2- Łazienka 4,8 m2- Łazienka 2,0 m2- Przedpokój 11,2 m2- Balkon 8,2 m2- Balkon 6,0 m2Oferta zawiera przykładowe wizualizacje mieszkaniaNajważniejsze informacje:Mieszkanie w stanie deweloperskim - do własnej aranżacjiWystawa okien: wschód-zachódCichobieżne windy z poziomów -1. Na terenie klub fitness dla mieszkańcówMonitoring 24hKażdy budynek ma własną rowerownię i wózkownięPrzystosowane dla osób niepełnosprawnychPlanowane zakończenie budowy: marzec 2025Możliwość zakupu miejsc postojowych (od 18 tys. zł) w garażu podziemnym(od 28 tys. zł) oraz komórek lokatorskich (4 tys. zł/m2) Otoczenie nieruchomości:Inwestycja położona przy planowanym parku.Wokół pełna infrastruktura handlowo-usługowa. W odl. 1 km stacja Wrocław Zachodni (10 min. jazdy do Dworca Głównego)Rekomendacja Eksperta SDP Nieruchomości:Tą nieruchomość polecam osobom ceniącym dostęp do usług i handlu oraz bliskość terenów zielonych.Niedostateczne środki? To nie problem: Pomagamy w uzyskaniu finansowania na tę i inne nieruchomości.Zadzwoń i zapytaj o szczegóły.Opiekun ofertyJacek Mamińskitel. 602 101 602</t>
  </si>
  <si>
    <t>https://www.otodom.pl/pl/oferta/cztery-pokoje-na-oporowie-wszystko-co-trzeba-ID4nZqM</t>
  </si>
  <si>
    <t>4nZqM</t>
  </si>
  <si>
    <t>Pakiet 5 Apartamenów W Sopocie Dolnym</t>
  </si>
  <si>
    <t>ul. Józefa Czyżewskiego, Centrum, Dolny Sopot, Sopot, pomorskie</t>
  </si>
  <si>
    <t>PAKIET 5 APARTAMENTÓW WAKACYJNYCH W SOPOCIE DOLNYM.| Najem krótko-terminowy  | Gotowa baza klientów | Sopot dolny | 200m od Morza | Własne wejście |INFORMACJE O NIERUCHOMOŚCI:Pakiet 5 apartamentów inwestycyjnych stworzonych z myślą  o inwestorach, którzy inwestują w nieruchomości pod kątem generowania dochodu pasywnego z najmu krótko terminowego tuż przy Sopockim Molo w Sopocie. Nieruchomość o łącznej powierzchni 120m2 podzielona na 5  osobnych  kompletnie wyposażone apartamentów wakacyjnych.Znajduje się na w ponadczasowej  odrestaurowanej Sopockiej kamienicy przy ul. Czyżewskiego wybudowanej w 1907 roku. Kamienica została gruntownie odrestaurowana pod czujnym okiem konserwatora zabytków, dzięki czemu goście mogą cieszyć się urokiem, jakością oraz najlepszą możliwą lokalizacją budynku.Parametry techniczne Nieruchomości:Apartament 1:Pokój dzienny z aneksem kuchennym ,2 sypialnie, przedpokój, łazienka z prysznicem.Apartament 2:Pokój  z aneksem kuchennym,  przedpokój, łazienka z prysznicem. Apartament 3:Pokój z aneksem kuchennym, przedpokój, łazienka z prysznicem. Apartament 4:Pokój z aneksem kuchennym, przedpokój, łazienka z prysznicem.ekspozycja.Apartament 5:Pokój dzienny z aneksem kuchennym , sypialnia, przedpokój, łazienka z prysznicemLOKALIZACJA :Sopot to unikatowa lokalizacja doceniana nie tylko w skali Polski ale także w skali Europy. Nieruchomość położna jest w samym sercu miasta, w odległości 400 m od sopockiego molo i plaży. Odległość zaledwie 50 metrów od cieszącej się ogromną popularnością ulicy Monte Cassino oraz Kościoła Św. Jerzego czyni z tego miejsca lokalizację idealną.Liczne kawiarnie, punkty kulturalne ,kina, teatry oraz infrastruktura handlowo-usługowa sprawią że nawet najbardziej wymagający docenią zalety mieszkania na ulicy Czyżewskiego w Sopocie Dolnym.Ulica Czyżewskiego  zlokalizowana jest zaledwie, zaledwie 200 metrów od Sopockiego Molo oraz piaszczystej plaży. Ulica sama w sobie jest pełna uroku, którego nadają ponadczasowe Sopockie kamienice. Kilka minut dzieli nas od głównej tętniącej życiem promenady Bohaterów MonteCassino. Sopot dla niektórych to najbardziej romantyczne miasto w Polsce, dla innych cel zdrowotnych podróży, a jeszcze inni odnajdują tu świetnie miejsce do relaksu i zabawy. To niezwykłe, nadmorskie miasto o bogatej historii, z jednym z najbardziej charakterystycznych symboli Polski - molo.Centrum tego nadmorskiego kurortu to reprezentacyjny deptak przy ul. Bohaterów Monte Cassino. STANDARD:Wszystkie Apartamenty są wykończone w stylu hotelowym, wyposażone oraz pod kątem sprzętu RTV oraz AGD. Nieruchomość przeszła remont generalny łącznie z wymianą instalacji elektrycznej oraz wodno- kanalizacyjnej. Kamienica: Termoizolacja budynku, remont elewacji, wzmocnienie fundamentów, ocieplenie, wymiana dachówki ,remontkominów wraz wentylacją piwnicy, remont klatki schodowej.Atuty:- Gotowy produkt inwestycyjny- Zbudowana od lat własna baza wracających klientów- Rating na  9/10-Działający od  lat produkt inwestycyjny.-Najlepsza możliwa lokalizacja na terenie kraju pod kątem najmu krótkoterminowego-200 metrów od Sopockiej plaży oraz Molo-30 metrów od Deptaka Monte Cassino.ZAPRASZAMY.</t>
  </si>
  <si>
    <t>https://www.otodom.pl/pl/oferta/pakiet-5-apartamenow-w-sopocie-dolnym-ID4o8ke</t>
  </si>
  <si>
    <t>4o8ke</t>
  </si>
  <si>
    <t>ul. Lubraniecka, parter, 35,2m2, 2 pokoje</t>
  </si>
  <si>
    <t>ul. Lubraniecka, Elbląg, warmińsko-mazurskie</t>
  </si>
  <si>
    <t xml:space="preserve">MIESZKANIE W DWUPIĘTROWEJ KAMIENICY PRZY ULICY LUBRANIECKIEJ,   
- na parterze
- dwa pokoje
- powierzchnia 35,2 m2
- okna PCV od strony południowo zachodniej
- centralne ogrzewanie (piec), ciepła woda z podgrzewacza gazowego
- czynsz ok.280 zł/miesiąc
- do mieszkanie przynależy piwnica,
- za oknem ogródek, z którego można korzystać, wywiesić pranie itd.
Sam budynek w ciągu ostatnich lat przeszedł liczne modernizacje m. in. termomodernizacja, wymiana dachu, wymiana całej infrastruktury gazowej, remont klatki schodowej, domofon.
Dobra lokalizacja, nieopodal przystanek tramwajowy i autobusowy; przedszkola, sklepy
Mieszkanie jest do remontu, własnego zaaranżowania, bez problemu można zamontować ogrzewanie gazowe (możliwość ubiegania się o dotację z programu „ czyste powietrze” ).
W razie pytań zapraszam do kontaktu
</t>
  </si>
  <si>
    <t>https://www.otodom.pl/pl/oferta/ul-lubraniecka-parter-35-2m2-2-pokoje-ID4op5x</t>
  </si>
  <si>
    <t>4op5x</t>
  </si>
  <si>
    <t>Luksusowe apartamenty 100 M DO PLAŻY! IV etap już w sprzedaży! Apartament 0.A.4Promocja: w cenie lokalu wykońćzenie pod kluczCena brutto apartamentu wynosi: 664 987,00 zł (&amp;quot;pod klucz&amp;quot;)  Cena miejsca postojowego wraz z udziałem w działce: 33 000,00 zł brutto Powierzchnia użytkowa apartamentu: 44,63 m2Powierzchnia tarasu: 10 m2Rozpoczęcie budowy etapu IV lipiec 2021Zakończenie budowy etapu IV wrzesień 2022 IV etap naszej inwestycji jest zlokalizowany najbliżej linii brzegowej, a przy tym wykończony o klasę wyżej: mamy tutaj ogrzewanie podłogowe, duże, przesuwne okna tarasowe i wiele innych udogodnień, których nie mają poprzednie etapy. Ten etap to nasza perełka, dla najbardziej wymagających klientów. Apartament dwupokojowy, od strony północnej, z dużym tarasem, pięknie doświetlony, w otoczeniu zieleni. Na apartament składają się: salon z aneksem kuchennym, sypialnia, łazienka, taras. Duże witryny okienne sprawiają, że apartament jest bardzo jasny i przestronny. Możliwość wykupienia komórki lokatorskiej w cenie: 12 300,00 zł brutto. W obiekcie znajduje się cichobieżna winda. Na terenie inwestycji planowane są również restauracje, siłownie, salon SPA. Nasz nowoczesny kompleks apartamentowo-hotelowy to inwestycja z wielkimi możliwościami, położona w przepięknej nadmorskiej miejscowości. W bliskim sąsiedztwie znajdują się sklepy, restauracje, ścieżki rowerowe i spacerowe i co najważniejsze piękna, czysta, szeroka plaża. Do dyspozycji gości w Etapie IV będzie 28 apartamentów jedno-, dwu- oraz trzypokojowych o metrażu od 26,35 m2 do 98,49 m2. Teren inwestycji składa się z dwóch części: północnej i południowej. W części północnej goście będą mogli korzystać z pięknej infrastruktury relaksacyjno-rekreacyjnej na terenach Natura 2000 ogrodu i parku z drewnianymi pergolami, słonecznymi pomostami i tarasami wypoczynkowymi. Na terenie kompleksu wybudowanych zostanie 390 miejsc parkingowych. Otwarte zielone przestrzenie z trawnikami, kwietnikami, drewnianymi tarasami, małymi placami zabaw i ścieżkami spacerowymi dają możliwość błogiego odpoczynku. Możecie Państwo wybrać również opcję inwestycyjną, a wynajmem Waszego apartamentu zajmie się doświadczony operator, od lat pracujący na tym rynku. Jest to idealna propozycja dla osób poszukujących ciekawych i bezpiecznych możliwości zainwestowania swojego kapitału, właściciel apartamentu w czasie, kiedy nie korzysta z lokalu, może go wynająć i zarabiać. OPIS OTOCZENIA: To niesamowite miejsce, gdzie cisza i spokój spotyka się z pomysłem na biznes, a bliskość Kołobrzegu to świetna okazja do korzystania z atrakcji dużego i nowoczesnego kurortu. Nasza inwestycja znajduje się w wymarzonej miejscowości dla wielbicieli morskich kąpieli w ciepłe, słoneczne dni. Można śmiało powiedzieć, że są to kołobrzeskie przedmieścia, dzięki czemu łatwo można włączyć się w rytm tego pięknego i ciekawego miasta. OPIS INWESTYCJI: Nasza inwestycja jest idealnym miejscem dla osób marzących o wypoczynku w urokliwej nadmorskiej miejscowości z dala od zgiełku. Obiekty apartamentowe, wkomponowane zostały w istniejącą dookoła zieleń, przy samej szerokiej plaży. Wszystkie budynki zostały wykonane w nowoczesnej formie, dodając prestiżu inwestycji. Morze korzyści: 1. zysk przez cały rok, nie tylko w sezonie letnim 2. cena za m2 apartamentu znacznie niższa niż w Kołobrzegu 3. nowoczesna inwestycja położona przy samym morzu 4. przepiękna okolica i naturalne otoczenie 5. szerokie i niezatłoczone plaże 6. mnogość atrakcji w promieniu kilku kilometrów 7. możliwość wykończenia pod klucz. Zatoka nad którą leży nasza inwestycja, obfita jest w bursztyny, a fale w niej są znacznie mniej intensywne niż w innych nadmorskich kurortach, zatem miejsce naszej inwestycji jest idealne dla rodzin z małymi dziećmi. To właśnie w tej malowniczej nadmorskiej miejscowości, tuż przy plaży powstanie nasza inwestycja hotelowo-rekreacyjna. Nasze miejsce słynie z bardzo szerokich plaż, mających nawet 40 metrów szerokości, gdzie bez problemu można znaleźć swoją oazę spokoju. Rosnące przy wydmach lasy sosnowe dodatkowo potęgują uczucie błogiego relaksu, tworząc unikalny mikroklimat, który dobroczynnie wpływa na nasze drogi oddechowe. DLACZEGO WARTO WYBRAĆ NAS? 1. Nie pobieramy prowizji przy zakupie nieruchomości z rynku pierwotnego. * świadczymy usługi kompleksowo (sprzedajemy, podnajmujemy i zarządzamy apartamentami) 2. Posiadamy doświadczonych, rzetelnych Doradców 3. Cenimy czas naszych Klientów 4. Do każdego podchodzimy w sposób indywidualny 5. Gwarantujemy bezpieczeństwo transakcji 6. Umożliwiamy skorzystanie z szerokiej oferty kredytów gotówkowych i hipotecznych 7. Pomagamy w wyborze dodatkowych usług (np. aranżacja wnętrza nieruchomości). Zawsze jesteśmy do dyspozycji naszych KLIENTÓW! Nasi Doradcy przykładają szczególną wagę do rzetelnego prezentowania informacji o nieruchomości. ATRAKCJE TURYSTYCZNE W OKOLICY: Morze i szeroka plaża w odległości 100 m. Malownicze ścieżki i trasy rowerowe wzdłuż morza. Puby, restauracje, kluby, galerie i sklepy w Kołobrzegu. Port rybacki i turystyczny w Kołobrzegu. Labirynt grabowy i ogrody Hortulus Spectabilis. Latarnie morskie w Kołobrzegu, Gąskach i Niechorzu. Stadnina koni i park rozrywki Dziki Zachód. Bezpośrednie sąsiedztwo terenów natura 2000. Lokalizacja, walory estetyczne i wypełnienie przestrzeni wokół kompleksu sprawiają, że turyści w pierwszej kolejności wybierać będą nasz obiekt. Serdecznie zapraszamy do kontaktu: + 48 536 863 933 RYNEK PIERWOTNY. KUPUJĄCY NIE PŁACI PROWIZJI !Treść niniejszego ogłoszenia nie stanowi oferty handlowej w rozumieniu Kodeksu Cywilnego.</t>
  </si>
  <si>
    <t>https://www.otodom.pl/pl/oferta/apartament-pod-klucz-100-m-do-plazy-iv-etap-ID4byg9</t>
  </si>
  <si>
    <t>4byg9</t>
  </si>
  <si>
    <t xml:space="preserve">SUNDAY Resort Ustronie Morskie jest kameralnym, całorocznym kompleksem dwóch budynków z windami oraz częścią rekreacyjną. Łącznie przewidujemy oddanie 59 samodzielnych lokali z łazienkami, aneksami kuchennymi i balkonami. Niewielka ilość apartamentów zapewni inwestycji prywatny, rodzinny charakter, daleki od zgiełku rozbudowanych molochów apart-hotelowych.
Mieszkania znajdujące się na poddaszu będą dwupoziomowe z częścią mieszkalną lub praktycznym schowkiem na strychu. W tych znajdujących się na parterze przewidzieliśmy ogródki lub tarasy.
Na terenie inwestycji znajdzie się:
- kryty basen
- jacuzzi
- sauna fińska
- parking z miejscami postojowymi ogólnodostępnymi dla mieszkańców.
Zadbaliśmy więc o to, żeby był to obiekt atrakcyjny dla mieszkańców niezależnie od pogody i pory roku.
Podana w niniejszej ofercie cena dotyczy apartamentów wykończonych w stanie deweloperskim. Istnieje możliwość skorzystania z opcji wykończenia lokalu „pod klucz” za dopłatą ujętą w cenniku. Dokładny opis standardu znajduje się w ogłoszeniach objętych tą formą wykończenia. Zapraszamy do zapoznania się z lokalami z naszej oferty, oznaczonymi w tytule „Pod Klucz”
Dla osób zainteresowanych indywidualnymi rozwiązaniami istnieje możliwość wykonania odrębnego projektu wnętrza, jego wyceny i realizacji.
Apartamenty oferowane w ramach inwestycji SUNDAY Resort są lokalami mieszkalnymi i objęte są 8% stawką VAT. Ceny podane w ogłoszeniu stanowią wartość brutto.
 O INWESTORZE
Jako inwestor – ARCHICORP – możemy pochwalić się wieloma realizacjami mieszkaniowymi. W każdej zwracamy uwagę na detale i nie szukamy kompromisów w kwestiach jakości. Dzięki doświadczonemu zespołowi i szerokiej bazie sprawdzonych wykonawców, realizujemy mieszkania „pod klucz” nie tylko w zakresie wykończenia ścian czy podłóg, ale również mebli, oświetlenia i dodatków. W naszym portfolio znajdują się prestiżowe obiekty mieszkalne AZURE Premium oraz WESTIN HOUSE Resort w Kołobrzegu. Zapraszamy do zapoznania się z jakością naszych usług na tych realizacjach.
O APARTAMENCIE
Apartament nr: 15, typ A
Piętro: II
Powierzchnia pod ściankami działowymi: 0,47m2
Powierzchnia użytkowa: 38,47m2
Powierzchnia balkonu 1: 7,21m2
Powierzchnia balkonu 2: 5,6m2
Łącznie: 51,75m2
Ilość pokoi: 2
Cena brutto wraz z podatkiem 8% VAT: 471 064,00zł
Zamów bezpłatny katalog, aby zapoznać się z naszą inwestycją. Prześlij zamówienie na adres:[email title="kontakt"], a niezwłocznie prześlemy do Ciebie komplet materiałów.
Serdecznie zapraszamy,
Zespół ARCHICORP
</t>
  </si>
  <si>
    <t>https://www.otodom.pl/pl/oferta/apartament-sunday-resort-ustronie-morskie-ID4js5c</t>
  </si>
  <si>
    <t>4js5c</t>
  </si>
  <si>
    <t>61,18 m-3 piętro/0%PCC/3 Pokoje/WINDA/BONA</t>
  </si>
  <si>
    <t>Królowej Bony, Świecie, Świecie, świecki, kujawsko-pomorskie</t>
  </si>
  <si>
    <t>*OFERTA BEZPOŚREDNIO OD DEWELOPERA*
O mieszkaniu nr. 12 :
Przedmiotem ogłoszenia jest 3-pokojowe   bezczynszowe mieszkanie położone na  3-piętrze w inwestycji BONA Prestige Apartamenty ETAP-I. To przestronny lokal o powierzchni 61,18 m². 
Mieszkanie nr. 12 składa się z następujących pomieszczeń:
salon z aneksem kuchennym : 28,27 m² 
łazienka : 4,97 m² 
pokój : 10,21 m² 
pokój : 9,51 m²
przedpokój : 8,22 m² 
 taras: 8,77 m²
+ komórka lokatorska w cenie mieszkania ( z metolowymi drzwiami)
Kupując bezpośrednio od Dewelopera :
Oferta Bez Prowizji
Brak 2% Podatku PCC
Gwarancja 5 Lat
Możliwość dopasowania harmonogramu płatności
Bezpłatnie pomagamy w organizacji kredytu na mieszkanie ( duża oferta bankowa ) ***BEZPIECZNY KREDYT 2% BEZ WKŁADU***
 Atuty inwestycji :
Atrakcyjna, nowoczesna architektura
3x Winda Cichobieżna elektryczna
Bardzo duże widokowe tarasy
Komórki lokatorskie do każdego mieszkania
Duże odległości między budynkami !
Szklane balustrady na tarasach
Ponad normatywne przeszklenia okienne
Nowoczesne oświetlenie LED na budynku
15 samodzielnych garaży, każdy z wejściem do wewnątrz budynku
Estetycznie zaaranżowane części wspólne
 Wyposażenie mieszkań:
Okna trzyszybowe
Drzwi antywłamaniowe oraz przeciwpożarowe wysokiej klasy
Stropy żelbetowe monolityczne wylewane na budowie – Nowa Jakość
Narożne okna
Wysokość lokali 2,75m ( minimalny standard 2.50m)
Wysokość lokali na ostatniej kondygnacji 2.98m
Rozszerzające się tarasy ku górze
Telewizja naziemna oraz kablowa (światłowód)
Szybki internet światłowodowy
Instalacja Sieciowa LAN w każdym pokoju
parapety wewnętrzne kamienne ( jasny konglomerat) , zewnętrzne stalowe ( kolor antracyt)
pełne drzwi do komórek lokatorskich -kolor antracyt (płyta metalowa  wzmocniona na trzech poziomach )
nowoczesne szklane balustrady na tarasach ( przyciemniane – grafitowe szkło bezpieczne oraz szkło z refleksem - NOWOŚĆ )
Lokalizacja:
Dużym atutem inwestycji jest lokalizacja. Bliskość miejsc rekreacji i wypoczynku, przedszkoli, szkół, czy parków zapewni komfort mieszkania w tym miejscu. Bezpośrednie sąsiedztwo inwestycji to  Park oraz Duży Blankusz z całą rekreacyjną infrastrukturą rozrywkową
Spacerem dotrzesz:
w 1 minutę do Parku
w 3 minuty do Duży Blnakusz
w 5 minuty do Marketu Spożywczego , Apteki, Cukierni
w 7 minut do Przedszkola Motylek
w 8 minut do Szkoły Podstawowej Nr.8
O inwestycji:
Z przyjemnością przedstawiamy Państwu naszą najnowszą inwestycje Osiedle BONA PRESTIGE APARTAMENTY” to kolejna inwestycja mieszkaniowa powstająca przy ulicy Królowej Bony, w atrakcyjnej i dynamicznie rozwijającej się dzielnicy Marianki w Świeciu.
Inwestycja „BONA PRESTIGE APARTAMENTY” to zespół dwóch nowoczesnych budynków wielorodzinnych, pięciokondygnacyjnych, przystosowanych do potrzeb osób niepełnosprawnych.
Kierując się wygodą przyszłych mieszkańców osiedla, wszystkie mieszkania zostały starannie zaprojektowane przez doświadczonych projektantów, przemyślana architektura oraz funkcjonalność każdego z pomieszczeń zapewniająca komfort i wygodę mieszkania.
Wychodząc naprzeciw oczekiwaniom klientów, w inwestycji zaplanowano mieszkania o zróżnicowanej pow. od 41 m² do 94 m² z przestronnymi tarasami i balkonami o pow. od 5m² do 47 m². Łącznie zaprojektowano 86 mieszkań 2, 3, i 4 pokojowych wraz z samodzielnymi garażami oraz  parkingami zewnętrznym.
Na szczególną uwagę w naszej ofercie zasługują luksusowe apartamenty położone na ostatniej kondygnacji budynków o pow. 94 m²  z dużymi widokowymi tarasami o pow. 47 m².
BONA Prestige Apartamenty to nowatorskie podejście do projektowania niespotykane w najbliższej okolicy. Jako jedyni w Świeciu oferujemy Państwu niezwykłą architekturę inspirowaną kwiatem Notocactus Buiningii.
To niezwykły budynek którego tarasy, niczym różnej szerokości liczne listki barwnego okwiatu Notocactusa, rozszerzają się ku górze. Szerokość tarasów rośnie od dolnych kondygnacji gdzie szerokość tarasu wynosi 1,56m rośnie ku górze we wszystkich kierunkach aż do 2,3m szerokości.
Wszystkie tarasy w mieszkaniach mają ekspozycję południową, południowo-zachodnią. Każde mieszkanie w budynku w ten sposób zostaje bardzo mocno doświetlone przez promienie słoneczne.
 O deweloperze:
APARTADO Development Sp. z o.o. jest firmą której podstawowym przedmiotem działalności jest działalność deweloperska polegająca na budowaniu obiektów o przeznaczeniu mieszkalnym, a następnie sprzedaży lokali położonych w tych obiektach. Zajmujemy się obsługą inwestycji od momentu zakupu gruntu aż po przekazanie gotowych lokali naszym klientom.
*Powyższa oferta nie stanowi oferty handlowej w rozumieniu art. 66 § 1 kodeksu cywilnego oraz innych właściwych przepisów prawnych. Więcej informacji uzyskają Państwo w biurze sprzedaży 504 504 470 lub na stronie dewelopera 
Zapraszamy do zapoznania się z ofertą!
Kontakt : Tel: 504 504 470 
 </t>
  </si>
  <si>
    <t>https://www.otodom.pl/pl/oferta/61-18-m-3-pietro-0-pcc-3-pokoje-winda-bona-ID4mj96</t>
  </si>
  <si>
    <t>4mj96</t>
  </si>
  <si>
    <t>Apartament na jednym z najwyższych pięter!</t>
  </si>
  <si>
    <t>Royal Space ma przyjemność zaprezentować ofertę sprzedaży luksusowego apartamentu o powierzchni  208,4 m2 w ekskluzywnym apartamentowcu - Złota 44. UDOGODNIENIA Apartamentowiec dysponuje największym prywatnym basenem w Polsce, siłownią, saunami, salami konferencyjnymi, przeznaczoną dla dzieci bawialnią oraz efektownym Piętrem Rekreacyjnym, wyposażonym w taras i jacuzzi. Wszystkie strefy relaksu dostępne są wyłącznie do użytku mieszkańców.Lokalizacja w samym sercu tętniącej życiem Warszawy ma wiele do zaoferowania. W bliskim sąsiedztwie apartamentowca znajdują się eleganckie restauracje, butiki, prestiżowe hotele oraz modne kluby. Złota 44 otoczona jest ikonicznymi punktami Warszawy. Słynny Pałac Kultury i Nauki, dynamiczne i nowoczesne Rondo ONZ oraz Złote Tarasy.APARTAMENT Prestiż, komfort i widok za milion dolarów - są to jedne z wielu atutów nieruchomości. Apartament mieści się na jednym z najwyższych piętrze wieżowca, a znaczne przeszklenia pozwalają cieszyć się widokiem na panoramę Warszawy z każdego pomieszczenia. Wnętrze wyróżnia otwarta przestrzeń, wysokiej jakości materiały wykończeniowe oraz różnego rodzaju udogodnienia.Rozkład apartamentu: • przestronny salon z aneksem kuchennym, • master bedroom z łazienką, • pokój • gabinet, • toaleta, • pralnia • duża garderoba, • loggia.Do apartamentu przynależą 2 miejsce parkingowe, komórka lokatorska i piweczka na wino.STANDARD WYKOŃCZENIA • system inteligentnego domu HMS, • kuchnia wykonana z marmuru, • sprzęty kuchenne Gaggenau, • chłodziarka do wina, • armatura Villeroy &amp;amp; Boch, • system filtrowania powietrza HVAC, • stacja do uzdatniania wody.CENA - 20 000 000 PLN (apartament wykończony)Serdecznie zapraszamy do obejrzenia nieruchomości.Мы также говорим на русском!We speak English!Kontakt do Brokera:Arkadiusz Gaweł+4████████8 054ROYAL . SPACEOferta wysłana z programu dla biur nieruchomości ASARI CRM ()</t>
  </si>
  <si>
    <t>https://www.otodom.pl/pl/oferta/apartament-na-jednym-z-najwyzszych-pieter-ID4kfQx</t>
  </si>
  <si>
    <t>4kfQx</t>
  </si>
  <si>
    <t>Mieszkanie 2-pokojowe z balkonem, blisko tramwaj</t>
  </si>
  <si>
    <t>ZAKUP OD DEWELOPERA, BEZ PODATKU PCC 2% ORAZ BEZ PROWIZJIKONTAKT DO BIURA SPRZEDAŻY: Mateusz Wachowiak 605 262 690, Nasz zespół doradców finansowych bezpłatnie przygotuje dedykowaną ofertę kredytowania zakupu nieruchomości, w oparciu o zasoby wszystkich wiodących banków na rynku.Prezentowane mieszkanie jest 2-pokojowe (sypialnia + salon z aneksem kuchennym). Mieszkanie znajduje się na 2 piętrze budynku. Mieszkanie posiada balkon o pow. 5.56 m².Planowany termin ukończenia budowy: III kwartał 2024Najważniejsze cechy inwestycji:- Okolica - Pełna zielonych terenów okolica. W pobliżu znajdują się ścieżki rowerowe i piesze, więc możesz spędzać aktywnie każdy dzień— Atrakcyjna lokalizacja - Okolica jest pełna ciekawych miejsc . Jest przede wszystkim Park Cytadela, czyli jeden z najcenniejszych przyrodniczo terenów w Poznaniu. W pobliżu znajduje się Muzeum Uzbrojenia oraz Dolina Warty— Komunikacja - Szybki dojazd do centrum komunikacją miejską jak i samochodem. Co więcej, przy inwestycji jest Tramwaj na Naramowice— Bezpieczeństwo - Miejsce bezpieczne, które jednocześnie posiada charakter i tętni pozytywną energią, drzwi antywłamaniowe, domofon, teren ogrodzony— Usługi - Kompleksowe usługi na wyciągnięcie ręki. W okolicy więc znajdują się wszystkie ważne miejsca, jak sklepy, apteki, szkoły i punkty gastronomiczne— Dodatkowe: winda, instalacje internetowe, instalacje tv, m. p. w garażu podziemnym, monitoring na terenie inwestycji, budynek przystosowany dla osób niepełnosprawnychMiejsce postojowe naziemne od: 20000.00 PLN Miejsce postojowe podziemne pojedyncze: 36900.00 PLN Miejsce postojowe podziemne rodzinne: 36900.00 PLN Cena brutto komórki lokatorskiej:  7500.00 PLN Liczba poziomów w garażu podziemnym: -2W ofercie znajduje się ponad 100 zróżnicowanych mieszkań, od 1 do 6 pokoiPOWIERZCHNIE MIESZKAŃ od 28,73 m2 do 76,23 m2POWIERZCHNIE OGRODÓW od 15,35m2 do 77,05m2Zapraszamy do kontaktu oraz na prezentację. W ofercie dostępne wszystkie mieszkania w inwestycji, również w kolejnych etapach.</t>
  </si>
  <si>
    <t>https://www.otodom.pl/pl/oferta/mieszkanie-2-pokojowe-z-balkonem-blisko-tramwaj-ID4mqam</t>
  </si>
  <si>
    <t>4mqam</t>
  </si>
  <si>
    <t>4 pokoje w nowym budownictwie</t>
  </si>
  <si>
    <t>Posiadamy w swojej ofercie na sprzedaż mieszkanie w  apartamentowcu  przy ul. Przybyszewskiego, mieszczące się w budynku z końca 2021r.CO SPRZEDAJEMY?Mieszkanie 4 pokojowe, nowe w pełni wyposażone.  Dobrze rozplanowane 60m2.Posiada 2 balkony, jeden duży z widokiem,Miejsce parkingowe w garażu podziemnym,Orientacja mieszkania północ i południe.ROZKŁAD MIESZKANIA:Salon z aneksem kuchennym - 17m2, połączony częściowo z  przedpokojem 10m2 , 3 osobne sypialnie około 10m2 każda oraz duża łazienka.CZYNSZ I MEDIA:Ogrzewanie i woda: miejskieCzynsz administracyjny: ok 700zł UDOGODNIENIA:Winda, domofon, komórka, monitoring, ogrodzony teren.Miejsce parkingowe płatne dodatkowo w cenie 60 tys.Komórka lokatorska 15 tys.CO ZNAJDUJE SIĘ W NAJBLIŻSZYM OTOCZENIU? Przystanek  autobusowy obok, do ścisłego centrum  dojedziemy w 10min.2 przystanki do AGH. 2 przystanki do Błoń i Parku JordanaObok nowoczesne centrum Fitness, Centra Biurowe w pieszej odległości.Szkoły, przedszkola, centra Handlowe.Zapraszam do obejrzenia mieszkaniaMarta Bal-KokoszaDoradca ds. Nieruchomościtel. 501 160 677Niniejsze ogłoszenie nie stanowi oferty w rozumieniu Kodeksu Cywilnego, lecz ma charakter informacyjny.Przedstawione wizualizacje i grafiki mają charakter wyłącznie poglądowy i stanowią wyłącznie materiał pomocniczy, ułatwiający zorientowanie się w ogólnym wyglądzie oferowanej nieruchomości.Niniejsze ogłoszenie wraz z jego elementami jest własnością  Północ Nieruchomości Sp z o.o.  lub podmiotu współpracującego. Wszelkie prawa zastrzeżone. Kopiowanie, rozpowszechnianie oraz korzystanie z niniejszych materiałów w jakikolwiek inny sposób wykraczający poza dozwolony użytek określony przepisami ustawy z 4 lutego 1994 r. o prawie autorskim i prawach pokrewnych (Dz. U. 1994, nr 24 poz. 83 z późn. zm.) bez pisemnej zgody Północ Nieruchomości Sp z o.o. lub podmiotów współpracujących jest zabronione i może stanowić podstawę odpowiedzialności cywilnej oraz karnej.Niniejsze materiały stanowią tajemnicę przedsiębiorstwa PÓŁNOC NIERUCHOMOŚCI Sp. z o.o.  w rozumieniu ustawy z dnia 16 kwietnia 1993 r. o zwalczaniu nieuczciwej konkurencji (Dz. U. z 2003 r., Nr 153, poz. 1503 z późn. zm.).Oferta wysłana z programu dla biur nieruchomości ASARI CRM ()</t>
  </si>
  <si>
    <t>https://www.otodom.pl/pl/oferta/4-pokoje-w-nowym-budownictwie-ID4ooQW</t>
  </si>
  <si>
    <t>4ooQW</t>
  </si>
  <si>
    <t>APARTAMENT 36m2 OKAZJA ! Ursynów*Duża Stopa Zwrot</t>
  </si>
  <si>
    <t>ul. rtm. Witolda Pileckiego, Stary Imielin, Ursynów, Warszawa, mazowieckie</t>
  </si>
  <si>
    <t xml:space="preserve">Sprzedaż BEZPOŚREDNIA - żadnych dodatkowych kosztów
Można odliczyć VAT 23%
Idealna inwestycja do zarabiania pieniędzy na Ursynowie blisko lotniska.
Lokalizacja przy - ul. Pileckiego róg Puławskiej świetna komunikacja.
Tramwaj, autobusy, metro,
Zapraszam do oglądania - OKAZJA
Grzegorz 502548779
</t>
  </si>
  <si>
    <t>https://www.otodom.pl/pl/oferta/apartament-36m2-okazja-ursynowduza-stopa-zwrot-ID463Sz</t>
  </si>
  <si>
    <t>463Sz</t>
  </si>
  <si>
    <t>Szczecin centrum- kawalerka na sprzedaż</t>
  </si>
  <si>
    <t>Jankowice, Krośniewice, kutnowski, łódzkie</t>
  </si>
  <si>
    <t>Urokliwa Kawalerka w Zadbanej Kamienicy - Twoje Miejsce w Centrum SzczecinaMamy przyjemność zaprezentować tę wyjątkową kawalerkę o powierzchni 30 m2, która znajduje się na III piętrze w pięknej kamienicy przy al. Wyzwolenia. To doskonała okazja, aby zamieszkać w centrum Szczecina w otoczeniu zieleni i wspaniałych terenów rekreacyjnych.Główne cechy:1. Przestrzeń i Jasność:Kawalerka składa się z jednego przestronnego pokoju z aneksem kuchennym oraz łazienki .Duże okna w mieszkaniu czynią to miejsce jasnym i przestronnym.Idealna Lokalizacja:Lokalizacja tego mieszkania to prawdziwy atut. Łączy ona centrum Szczecina z piękną przyrodą, w tym Jasne Błonia i Park im. Jana Kasprowicza, które znajdują się zaledwie kilkaset metrów od nieruchomości.Miejsce jest doskonale skomunikowane, z węzłem komunikacyjnym przy pl. Giedroycia oraz przystankami tramwajowymi i autobusowymi obsługującymi wiele linii.W okolicy znajduje się wiele punktów handlowo-usługowych, takich jak centra handlowe Galaxy, Fala, Manhattan oraz dyskonty spożywcze.W pobliżu znajdziesz także basen Szczecin Floating Arena.Dla studentów, kilka wydziałów Uniwersytetu Szczecińskiego jest w zasięgu krótkiego spaceru, a do innych uczelni jest doskonały dojazd.Mieszkanie przeszło niedawno gruntowny remont..W ramach remontu przeprowadzono liczne prace, takie jak: wyszpachlowanie i zagruntowanie ścian, wymiana okien na energooszczędne o profilu 5-komorowym,wymiana parapetów, wszystkich instalacji, w tym wod-kan, elektrycznej, wentylacyjnej, kablowej TV i domofonowej.Nowa podłoga z płyt OSB, wyciszona wełną mineralną oraz obłożona płytami Fermacell (ognioodporne i wygłuszające).Wymiana drzwi wejściowych. Przystosowanie łazienki do montażu brodzika, muszli wiszącej, umywalki oraz pralki, w cenie stelaż Geberit.Ogrzewanie elektryczne, z możliwością ogrzewania podłogowego w łazience.Dzięki energooszczędnym oknom i ociepleniu styropianem (nowa elewacja) zużycie ciepła jest bardzo niskie.Budynek przeszedł kilka lat temu remont dachu, ocieplenie elewacji, wymianę WLZ oraz remont klatki schodowej.Mieszkanie jest obecnie w stanie deweloperskim, ale dla Twojej wygody projektanci mogą zaaranżować wnętrze, a  zespół remontowy wykończy mieszkanie "pod klucz"..Idealne na Pierwsze M, Biuro lub Inwestycję:To miejsce jest idealne na pierwszy własny kąt, niewielkie biuro w samym sercu miasta lub jako inwestycja na wynajem.Skontaktuj się z nami już dziś, aby dowiedzieć się więcej. Telefon 530 855 088 "Opis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</si>
  <si>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https://www.otodom.pl/pl/oferta/szczecin-centrum-kawalerka-na-sprzedaz-ID4olI6</t>
  </si>
  <si>
    <t>4olI6</t>
  </si>
  <si>
    <t>Dom w centrum Chełma. Pow. całk.290m2/ 150m2mieszk</t>
  </si>
  <si>
    <t>ul. Lipowa, Chełm, lubelskie</t>
  </si>
  <si>
    <t xml:space="preserve">Atrakcyjny dom w śródmieściu ChełmaPowierzchnia całkowita 290 m2, powierzchnia użytkowa 150m2Dom w zabudowie bliźniaczej (½ bliźniaka) w cichej i spokojnej dzielnicy przy centrum miasta Chełm.Klasyczny ponadczasowy rozkład pomieszczeń. Całość wybudowana w 1977r. W skład domu wchodzi: parter i 1 piętro ( łącznie 150 m2), poddasze 54 m2, podpiwniczenie 87 m2. Obok budynku stoi garaż z kanałem - 20 m2. Działka o powierzchni 350 m2. Widok z okien domu od frontu na zadbany teren zielony.Parter (z klimatyzacją) stanowi aż 89 m2 , a w jego skład wchodzi: - widny i przestronny salon (28 m2, okna od strony południowo- zachodniej) z wyjściem na zacieniony zielenią balkon od frontu domu, z widokiem na przydomowy ogródek, - słoneczna kuchnia (13 m2, okno od strony wschodniej) z wejściem do jadalni, - jadalnia -26 m2, z oknami od strony wschodniej i północnej, - duża łazienka z wanną - 4 m2, - korytarz - 8 m2, - wiatrołap 4 m2, - korytarz przejściowy prowadzący bezpośrednio z wiatrołapu do jadalni (drugie wejście), - klatka schodowa Z korytarza głównego odchodzą także drzwi dopodpiwniczenia 87 m2, do którego prowadzą drewniane schody (w bardzo dobrym stanie). W podpiwniczeniu o powierzchni 87m2 znajduje się: - kuchnia (23 m2) z piecem kaflowym do gotowania, pieczenia chleba, ciast, trzon kuchenny, - dwie spiżarnie 3 i 8,5 m2, - pokój 8,5 m2, - kotłownia 5 m2, - pomieszczenie gospodarcze 17 m2.Piętro 1 to 61 m2, gdzie rozmieszczono 3 nieprzechodnie sypialnie (13,6 m2, 15 m2, 12 m2). Korytarz 10 m2, na którego końcu znajduje się druga łazienka z wanną 4,6 m2. Z sypialni zlokalizowanej od frontu domu prowadzi wyjście na balkon, który otacza dom i połączony jest z tarasem z tyłu domu. Na taras można również wejść z drugiej sypialni położonej po drugiej stronie budynku. Taras 26 m2 połączony z balkonem dookoła domu - 16 m2. Klatka schodowa z pierwszego piętra prowadzi na54 metrowe poddasze, które zawiera w sobie 4, nieprzechodnie pomieszczenia: 2 pokoje (15,5 m2, 12,5 m2), ciemnia fotograficzna 3 m2 oraz strych 15 m2 i korytarz. Strych jest ogrzewany, w pokojach znajdują się okna, co sprawia, że pomieszczenia są widne i ciepłe oraz mogą służyć także jako mieszkalne. Na podłogach we wszystkich pokojach i korytarzach położono drewniany parkiet. Schody w całym domu drewniane wykonane na zamówienie. Na parterze i pierwszym piętrze wymienione okna. Ogrzewanie- miejskie c.o., gaz, piec węglowy, klimatyzacja. Ściany pustak, elewacja. Dach jednospadowy, pokryty blachą po renowacji. Na ogrodzoną posesję prowadzi brama wjazdowa. Wjazd, aż do garażu jest wyłożony kostką brukową. Przed domem znajduje się niewielki ogródek, gdzie rośnie jabłoń sięgająca do balkonu 1piętra, wysoki krzew iglasty i świerk. Za domem wydzielona jest część działki, na której był ogródek z warzywami i kwiaty oraz rośnie jabłoń sięgająca do tarasu 1piętra. Atutem domu jest jego lokalizacja - park miejski (300 m.), targ przy ul. Księdza J.Popiełuszki (650 m.), liczne sklepy np. Biedronka (350 m.), zakłady, myjnie aut, stacje benzynowe Orlen (550 m.), Shell (300 m.), apteki (400-600 m.), przychodnie zdrowia (100 m., 170m., 700m.), przychodnia weterynaryjna (600 m.), przedszkole (400 m.), szkoła podstawowa(700 m.), I L.O. (17 min pieszo), IV L.O. (15 min pieszo), kościoły (750 i 900 m.), KFC (10 min pieszo), Kino Zorza (650 m.), Starówka (12 min pieszo).Zainteresowane osoby zapraszam do kontaktu.Aleksandra Skraińska513-893-288
Oferta wysłana z programu dla biur nieruchomości ASARI CRM ()
</t>
  </si>
  <si>
    <t>https://www.otodom.pl/pl/oferta/dom-w-centrum-chelma-pow-calk-290m2-150m2mieszk-ID4nhOY</t>
  </si>
  <si>
    <t>4nhOY</t>
  </si>
  <si>
    <t>Apartament z pięknym widokiem, ogródkiem i tarasem</t>
  </si>
  <si>
    <t>ul. Warszawska, Rewal, Rewal, gryficki, zachodniopomorskie</t>
  </si>
  <si>
    <t>Nowa inwestycja obejmująca 24 luksusowe Apartamenty w nowoczesnej architekturze, zaledwie 150m od morza, zlokalizowane w urokliwej miejscowości wypoczynkowej Rewal. Całość inwestycji ogrodzona, monitorowana oraz chroniona przez całodobową ochronę. Zadbaliśmy o każdy szczegół, aby mogli Państwo zamieszkać w miejscu, które pozwoli na wygodny wypoczynek. Doskonała lokalizacja, rozkład pomieszczeń, ogródek, miejsce parkingowe oraz duży taras pozwalają w pełni korzystać z uroków nadmorskiej inwestycji.Apartamenty w zabudowie szeregowej, każdy o powierzchni 100 m2.Na powierzchnię całkowitą składają się:VILLA 5 - zewnętrznyI poziom:- przestronny salon z wyjściem do ogródka, - aneksem kuchenny, - przedpokój, - pomieszczenie techniczne, - łazienka.II poziom:- dwie sypialnie, - łazienkaIII poziom:- antresola, - duży, słoneczny taras, z którego rozpościera się przepiękny widok na morze.W ofercie Apartamenty w stanie deweloperskim, możliwość zakupu wykończonych wg wyróżniającego się projektu.Zakup w tej lokalizacji to doskonała inwestycja w teraźniejszość oraz przyszłość.Treść niniejszego ogłoszenia nie stanowi oferty handlowej w rozumieniu Kodeksu Cywilnego. Treść ma charakter informacyjny i zalecamy ich osobistą weryfikację.Pośredniczymy w transakcjach obrotu nieruchomościami i pomagamy uzyskać kredyt hipoteczny na terenie całej Polski. Posiadamy 10 oddziałów - w Szczecinie, Warszawie, Poznaniu, Gdańsku, Olsztynie, Rzeszowie, Białymstoku i Lublinie. Nasi agenci bezpłatnie dojeżdżają do Klientów. Jesteś zainteresowany niezobowiązującym spotkaniem? Zadzwoń do nas już dziś.Oferta wysłana z programu dla biur nieruchomości ASARI CRM ()</t>
  </si>
  <si>
    <t>https://www.otodom.pl/pl/oferta/apartament-z-pieknym-widokiem-ogrodkiem-i-tarasem-ID4bopH</t>
  </si>
  <si>
    <t>4bopH</t>
  </si>
  <si>
    <t>Apartament nad morzem Dębina - I linia brzegowa</t>
  </si>
  <si>
    <t>ul. Modrzewiowa, Dębina, Ustka, słupski, pomorskie</t>
  </si>
  <si>
    <t>Opis
Przedmiotem oferty jest apartament dwupoziomowy o powierzchni 60,14 m2 znajdujący się na 2-piętrze III-piętrowego budynku. Do apartamentu przynależy balkon o powierzchni 4,35 m2 i taras 21,46 m2.
CENA 489 500zł jest ceną brutto, zawierającą podatek VAT 23%. Przy transakcji nie występuje podatek od czynności cywilno-prawnych.   
InwestycjaApartamenty Leśny Klif w Dębinie - 350 metrów od morza.
Apartamenty Leśny Klif to nowa inwestycja w Dębinie – małej nadmorskiej miejscowości nieopodal Rowów, Poddąbia i Ustki oferująca apartamenty na sprzedaż.
Kompleks został zaprojektowany tak, aby zaoferować Państwu maksymalne poczucie komfortu i spokoju.
Wyjątkowa lokalizacja w otoczeniu lasów i nadmorskiego klifu z dala od typowego zgiełku dużych nadmorskich kurortów w pobliżu piaszczystej plaży są gwarantem udanego wypoczynku.
Apartamenty Leśny Klif to idealne miejsce rodzin z dziećmi oraz dla osób ceniących sobie wypoczynek nad Bałtykiem w niezatłoczonej okolicy wolnej od całodobowych rozrywek.
Niebanalny projekt całego kompleksu Apartamentów Leśny Klif gwarantuje poczucie prestiżu i dyskretnego luksusu.
W naszej ofercie znajdują się komfortowe i nowoczesne apartamenty będące połączeniem wygody i  funkcjonalności.
Termin zakończenia inwestycji maj 2023r. 
O APARTAMENTACH:
Apartamenty, jakie mamy przyjemność przedstawić Państwu to idealna propozycja dla osób ceniących sobie komfort i wygodę korzystania z uroków pobytu nad Bałtykiem.
Inwestycja składa się z dwóch budynków z 3 kondygnacjami i antresolą. W sumie jest 99 apartamentów o powierzchni od 28-80 m2 (największe apartamenty znajdują się na ostatniej kondygnacji i mają II poziomy wraz z dużymi tarasami na dachu).
Każdy z apartamentów ma oddzielny balkon, a niektóre apartamenty II poziomowe usytuowane na ostatniej kondygnacji mają duży taras widokowy.
Inwestycja została podzielona na etapy – pierwszy etap został już zakończony.
Na obiekcie powstała podziemna hala garażowa, w której znajdują się 32 miejsca parkingowe wraz z komórkami lokatorskimi oraz windą. Dodatkowo na terenie  inwestycji zostały wydzielone miejsca parkingowe naziemne.
W kompleksie powstanie także bezpieczny plac zabaw dla najmłodszych.
LokalizacjaTylko 350 m do morza, w otoczeniu lasów przy nadmorskim klifie z pięknym widokiem na morze.
Malownicza nadmorska mieścina gwarantująca niczym niezakłócony wypoczynek.</t>
  </si>
  <si>
    <t>https://www.otodom.pl/pl/oferta/apartament-nad-morzem-debina-i-linia-brzegowa-ID4fIlJ</t>
  </si>
  <si>
    <t>4fIlJ</t>
  </si>
  <si>
    <t>https://www.otodom.pl/pl/oferta/a20-przestronne-2-pokoje-balkon-ID4l5hH</t>
  </si>
  <si>
    <t>4 pokoje| Panorama Kwiatkowskiego | NG Development</t>
  </si>
  <si>
    <t>❤️PANORAMA KWIATKOWSKIEGO - PIERWSZE TAKIE OSIEDLE Z MASĄ UDOGODNIEŃ!❤️
Mieszkanie o powierzchni 80,70 m2 znajduje się na IX piętrze w budynku D i składa się z:✅️Hollu✅️Garderoby✅️Sypialni✅️Salonu z aneksem kuchennym✅️Łazienki ✅️Pokoju✅️Hollu✅️Pokoju ✅️WC
Do mieszkania przynależą również dwie loggie o powierzchni: 3,39 m2 i 3,35 m2.
Charakterystyczne cechy mieszkania:➡️Kompaktowy układ ➡️Loggia zwiększająca miejsce do wypoczynku➡️Idealne dla rodziny➡️Mieszkanie narożne od strony zachodniej
Charakterystyczne cechy osiedla:
Plaża przy osiedlu
Molo o długości 25 m i promenada o długości 290 m
Deptak spacerowy, strefa relaksu, plac zabaw dla dzieci, wybieg dla psów
Miejsce do fitnessu/jogi
Mini port dla łódek i kajaków
Szybki dojazd do centrum, blisko przystanki autobusowe
W okolicy sklepy spożywcze, przedszkole, żłobek
Przy Żwirowni oraz promenady nas Wisłokiem
Mieszkania z pięknymi widokami
Nowoczesna architektura
Cena tego układu: 10900 zł/m2
Istnieje możliwość nabycia miejsca postojowego w garażu podziemnym
WAŻNE: OFERTA BEZPOŚREDNIO PRZEZ DEWELOPERA.
Z NAMI MASZ GWARANCJĘ 100% RZETELNYCH INFORMACJI. 
Nie płać prowizji i dowiedz się wszystkiego z pierwszej ręki!
Szukasz innego mieszkania? Skontaktuj się z nami, a pokażemy Ci ponad 100 mieszkań, których nie ma na OTODOM.
Zadzwoń i umów się na spotkanie w naszym biurze sprzedaży, a my pomożemy wybrać mieszkanie najlepiej pasujące do Ciebie.
Zapraszamy do kontaktu od poniedziałku do piątku w godz. 09:00 - 17:00.
Powyższa oferta ma charakter informacyjny i nie stanowi oferty handlowej w rozumieniu art. 66 §1 Kodeksu Cywilnego. 
Pokaż mniej</t>
  </si>
  <si>
    <t>https://www.otodom.pl/pl/oferta/4-pokoje-panorama-kwiatkowskiego-ng-development-ID4egCY</t>
  </si>
  <si>
    <t>4egCY</t>
  </si>
  <si>
    <t>Apartament z sauną na Wilanowie</t>
  </si>
  <si>
    <t>ul. Adama Branickiego, Błonia Wilanowskie, Wilanów, Warszawa, mazowieckie</t>
  </si>
  <si>
    <t>Sprzedawane  mieszkanie w Wilanowie◇ Kameralne osiedle na Wilanowie◇ Błyskawiczny wyjazd z Warszawy dzięki trasie S7◇ Sauna w mieszkaniu◇ Klimatyzacja w mieszkaniu◇ Mieszkanie o powierzchni użytkowej 80.45m2, 3 pokoje◇ Bardzo niski czynsz: 900.00 złSprzedaję  się dopieszczone, rodzinne 3 pokojowe mieszkanie 80.45 m2 na Wilanowie. Mieszkanie jest wykończone w bardzo wysokim standardzie.  Podłoga, dębowa rozłożona jest w całym mieszkaniu. Sypialnia oraz drugi pokój znajdują się równolegle do siebie, okna wychodzą na część osiedla. Jest cisza i przestrzeń, widać daleką panoramę aż do ul. Branickiego. Są dwie duże łazienki. W pierwszej zbudowana jest drewniana sauna, obok umiejscowana jesy deszczownica z prysznicem . Kolejna łazienka to długa wanna.Salon z dużą kuchnią - domowa przestrzeń. Ponad 45m2 pozwala cieszyć się ogromem miejsca. Salon zaaranżowany na domowe kino.  Taras jest zadaszony i ma urokliwą, przytulną atmosferę. Wewnątrz zamontowana jest  klimatyzacja, podnosi to znacznie komfort życia i ewentualnej pracy z domu. Mieszkanie jest dwustronne, co gwarantuje światło. W garażu  podziemnym są dwa miejsca parkingowe. Jedno przestronne, niezależne. Drugie na platformie zależne. Garaż dodatkowo płatny: 50 tys.</t>
  </si>
  <si>
    <t>https://www.otodom.pl/pl/oferta/apartament-z-sauna-na-wilanowie-ID4kMGq</t>
  </si>
  <si>
    <t>4kMGq</t>
  </si>
  <si>
    <t>Apartament z 2 balkonami przy metrze!</t>
  </si>
  <si>
    <t>ul. Bukowińska, Ksawerów, Mokotów, Warszawa, mazowieckie</t>
  </si>
  <si>
    <t>Na sprzedaż trzypokojowy apartament  z dwoma balkonami usytuowany na 10 piętrze szesnastopiętrowego budynku z windą z 2008 roku przy ul. Bukowińskiej 12.Szczegóły:Apartament o powierzchni 67,51 m2 składa się z:-Salon o powierzchni 18,7 m2 z aneksem kuchennym 4,8 m2 oraz loggią 7,4 m2- łazienka 4,1 m2- hall 10,9 m2- WC 1,7 m2- Pokój 14,4 m2- Pokój 12,3 m2 z Loggią 4,1 m2Do mieszkania przynależy miejsce parkingowe w garażu podziemnym dodatkowo płatne: 50.000 złKomunikacja:Doskonała komunikacja z każdą częścią miasta. W najbliższym otoczeniu liczne sklepy, szkoła i przedszkola.Przystanki:Metro: - metro Wilanowska ( 2 minuty pieszo)Autubusowe: -metro Wilanowska 18 (2 minuty pieszo)Tramwajowe: Królikarnia 03 ( 5 minut pieszo)Nieruchomość dostępna oraz gotowa do zamieszkania.Zapraszam do kontaktu !Krzysztof JóźwiakMoving Hometel. +4████████████1</t>
  </si>
  <si>
    <t>https://www.otodom.pl/pl/oferta/apartament-z-2-balkonami-przy-metrze-ID4mcHk</t>
  </si>
  <si>
    <t>4mcHk</t>
  </si>
  <si>
    <t>ATRAKCYJNA cena za widok Zegrza ATLANTIS</t>
  </si>
  <si>
    <t>Bezpośrednio od dewelopera.
OPIS OSIEDLA:
ATLANTIS to kameralne osiedle ekskluzywnych apartamentowców, zaprojektowanych zgodnie ze współczesnymi wymaganiami budownictwa.
W inwestycji zaprojektowano trzy budynki z czterema kondygnacjami, w tym czwarta jest z antresolami. Każde mieszkania odpowiednio nasłonecznione oraz wyposażone w przestronny taras. Dla wygody, każdy budynek będzie miał windę, a apartamenty klimatyzacje oraz smart home.  Z każdego budynku roztacza się wspaniały panoramiczny widok na jezioro.
Między apartamentami zostaną zachowane odpowiednie odległości, tak aby każdy z mieszkańców mógł zachować swoją prywatność. Drogi i dojścia na terenie inwestycji otoczone są zielenią.
Z myślą o mieszkańcach i ich bezpieczeństwie, całe osiedle będzie posiadało monitoring oraz całodobową ochronę. W czasie wolnym będzie można skorzystać z plenerowej siłowni, rowerku wodnego, odpocząć na leżaku na molo, czy pograć w siatkówkę. Będzie również wyznaczone miejsce na spotkania towarzyskie, przy grillu lub ognisku.
LOKALIZACJA:
Działka położona jest w bezpośrednim sąsiedztwie zbiornika wodnego – Zalewu
Zegrzyńskiego, od strony południowo-zachodniej przebiega linia brzegowa. Cały obszar jest w strefie Warszawskiego Obszaru Chronionego.
Apartamenty mieszczą się przy ul. Oficerskiej w Zegrzu, położone w pierwszej linii brzegowej Jeziora Zegrzyńskiego. Do centrum Warszawy jest zaledwie 27 km i 16 km do jej granic. Przez Zegrze przebiega droga krajowa nr 61, SKM oddalona 15 min od inwestycji.
Okolica Atlantis sprzyja do różnych form wypoczynku, od leniwego plażowania czy łowienia ryb po aktywne wypady rowerowe, spływy kajakowe, żaglowanie i wiele innych atrakcji rekreacyjno-sportowych.
Na wodach zbiornika uprawiane jest żeglarstwo, a kilkanaście razy w roku organizowane są szkolenia motorowodne, rejsy statkiem po zalewie oraz imprezy regatowe. Oprócz żeglarstwa uprawiany jest również kitesurfing, flyboard windsurfing, kajakarstwo, wioślarstwo i sporty motorowodne.
Na osiedlu ATLANTIS zaprojektowano:
85 apartamentów o powierzchni od 28 m2 do 118 m2
Windę
Plac zabaw
Plenerową siłownię
Altanę grillową
Punt widokowy
Plażę i molo
Miejsce do gry w siatkówkę
Siłownię nad brzegiem  
Garaż podziemny
Miejsca naziemne
Komórki lokatorskie
W SPRZEDAŻY :
Apartament o powierzchni 28,06 m2 wraz z tarasem o powierzchni 11,7 m2, za który należy doliczyć do ceny 23 400 zł.
Koszt miejsca garażowego to 45 000zł. 
Fakultatywnie można zakupić miejsce naziemne w cenie 25 000 zł jak również komórkę lokatorską w cenie 20 000 zł.
To wszystko przygotowane wyłącznie do użytku dla mieszkańców ATLANTIS.
Lokal o numerze 63, blok C.
Przekazanie kluczy nastąpi do 29.02.2024roku.
Zachęcamy do kontaktu.
Biuro sprzedaży RJ House w Legionowie
ul. Siwińskiego 11/lok.139
*Przedstawiona oferta cenowa ma charakter informacyjny i nie stanowi oferty handlowej w rozumieniu ART. 66 par. 1 Kodeksu Cywilnego.</t>
  </si>
  <si>
    <t>https://www.otodom.pl/pl/oferta/atrakcyjna-cena-za-widok-zegrza-atlantis-ID4lwX6</t>
  </si>
  <si>
    <t>4lwX6</t>
  </si>
  <si>
    <t>Mieszkanie na parterze w pobliżu lasu</t>
  </si>
  <si>
    <t>Borne Sulinowo, Borne Sulinowo, szczecinecki, zachodniopomorskie</t>
  </si>
  <si>
    <t xml:space="preserve">Przedmiotem sprzedaży jest przestronna kawalerka na parterze o pow. 31,66 m2 w cichej lokalizacji.
Mieszkanie składa się z przestronnego pokoju, kuchni z dwoma oknami, łazienki z wanną narożną. Dodatkowym atutem nieruchomości jest bliskość do lasu, popularnego w naszym regionie „targowiska” oraz marketu. Przedstawione mieszkanie oczekuję jednak nowego właściciela, który doskonale zaaranżuje tą przestrzeń.
Mieszkanie składa się z:- kuchnia;
- pokój; 
- łazienka z wanna;
- piwnica 3 m2.
W całym mieszkaniu okna pcv.
Ogrzewanie i ciepła woda z sieci miejskiej . Opłaty miesięczne wynoszą ok. 250 zł (w tym m.in. eksploatacja, fundusz remontowy).
Budynek znajduje się na dużej, ładnie zagospodarowanej w całości ogrodzonej działce o pow. 4912 m2, na której znajduje się parking dla mieszkańców oraz część rekreacyjna do wspólnego korzystania.
Borne Sulinowo - piękna leśna miejscowość położona przy południowym brzegu jeziora Pile (o pow. 1002 ha), głównym atutem tej miejscowości jest natura Bornego Sulinowa, piękne uliczki prowadzące w stronę Jeziora Pile.
Miasto słynie z turystyki pieszej, rowerowej oraz kajakowej. Atrakcyjności dodaje też specyficzna historia miasta i gminy oraz odbywający się co roku "Międzynarodowy Zlot Pojazdów Militarnych". 
Do miasta Szczecinek lub Czaplinek odległość – ok. 20 km.
Przedstawione informacje zostały opracowane na podstawie danych uzyskanych od Zamawiającego, mogą różnić się od stanu faktycznego i w każdej chwili mogą ulec zmianie, oferta nie jest ofertą w rozumieniu przepisów Kodeksu Cywilnego i ma charakter wyłącznie informacyjny.
</t>
  </si>
  <si>
    <t>https://www.otodom.pl/pl/oferta/mieszkanie-na-parterze-w-poblizu-lasu-ID4m6oP</t>
  </si>
  <si>
    <t>4m6oP</t>
  </si>
  <si>
    <t>Rewelacyjny, beznakładowy gotowiec inwestycyjny.</t>
  </si>
  <si>
    <t>ul. Stańczyka, Odolany, Wola, Warszawa, mazowieckie</t>
  </si>
  <si>
    <t>Opis
Doskonały 4 pokojowy gotowiec inwestycyjny. Pełne wyposażenie w cenie. Dwa balkony. Garaż
Mieszkanie jest zlokalizowane na 7 piętrze, 14 piętrowego, nowoczesnego budynku z 2018 roku. Południowa ekspozycja okien, powoduje doskonałe nasłonecznienie pomieszczeń.  Pierwotnie 3 pokojowe mieszkanie, zostało pomysłowo podzielone na 4 odrębne pokoje, z których dwa maja obszerne balkony, idealne do wypicia porannej kawy czy wieczornej lampki winna, rozkoszując się zjawiskową panoramą miasta. Dwie, duże łazienki z WC, prysznicem i wanną, zapewniają lokatorom komfortową przestrzeń intymną  Doskonale wyposażona w markowy sprzęt AGD, widna kuchnia, wprost zaprasza do działań kulinarnych. Mieszkanie jest oferowane z pełnym wyposażeniem oraz umowami najmu przynoszącymi bardzo godziwy dochód. Do lokalu przynależy miejsce parkingowe w garażu podziemnym w cenie 50 tys. zł. Dzięki wysokiemu standardowi wykończenia mieszkania, doskonałej lokalizacji i pełnej infrastrukturze handlowej, usługowej i gastronomicznej z pobliskim CH Blue City na czele, nie ma rotacji najemców.
Doskonały punkt komunikacyjny. Bezpośrednio przy budynku przystanki autobusowe. Do stacji metra zaledwie 1500 m lub dwa przystanki autobusem. Idealna propozycja dla osób szukających, bezobsługowego gotowca inwestycyjnego, zlokalizowanego w prestiżowym, doskonale skomunikowanym miejscu Warszawy. Istnieje możliwość przywrócenia pierwotnego 3 pokojowego rozkładu mieszkania, z dwiema sypialniami i salonem z aneksem kuchennym. 
Oferta dostępna tylko w Metrohuse. </t>
  </si>
  <si>
    <t>https://www.otodom.pl/pl/oferta/rewelacyjny-beznakladowy-gotowiec-inwestycyjny-ID4osCA</t>
  </si>
  <si>
    <t>4osCA</t>
  </si>
  <si>
    <t>Nowa inwestycja | 3 pokoje | kredyt 2%</t>
  </si>
  <si>
    <t>Oferta bezpośrednio od dewelopera - brak prowizji oraz podatku PCC.Przestawiam Państwu 2-pokojowe mieszkanie w szeroko rozwiniętej okolicy Mistrzejowic, znajdujące się na parterze.Powierzchnia mieszkania to 63,64m2 na co składa się:- salon z aneksem kuchennym- 2 niezależne pokoje- łazienka- przedpokój- loggiaW ofercie dostępne są nowoczesne i funkcjonalne mieszkania o metrażach od 34,55m2 do 123,25m2, od 2-pokojowych do mieszkań 5-pokojowych z balkonami, tarasami, loggiami lub ogródkami.W najbliżej okolicy liczne punkty usługowo-handlowe (Żabka, apteka, Lidl, Biedronka), przystanek tramwajowy oraz autobusowy. Okolica w najbliższym czasie przejdzie zmiany wpływające na komfort zamieszkania: między innymi przedłużenie linii tramwajowej oraz budowa północnej obwodnicy Krakowa. Serdecznie zapraszam do kontaktu.</t>
  </si>
  <si>
    <t>https://www.otodom.pl/pl/oferta/nowa-inwestycja-3-pokoje-kredyt-2-ID4nMT4</t>
  </si>
  <si>
    <t>4nMT4</t>
  </si>
  <si>
    <t>Władysławowo ul. Morelowa 24/5 - Gotowe.</t>
  </si>
  <si>
    <t>Władysławowo, Władysławowo, pucki, pomorskie</t>
  </si>
  <si>
    <t xml:space="preserve">Zapraszamy do odkrycia niepowtarzalnej inwestycji we Władysławowie - idealnego miejsca na stworzenie wymarzonego domu nad morzem.
Inwestycja znajduje się  zaledwie 2 kilometry od brzegu, może spełnić oczekiwania nawet najbardziej wymagających klientów.
Oferowany kompleks mieszkalny składać się będzie z 9 budynków z 15 apartamentami w każdym.
W ofercie znajdują się zarówno dwupokojowe, jak i przestronne trzypokojowe mieszkania, które zapewnią odpowiednią przestrzeń dla każdej rodziny. 
Dla tych, którzy cenią sobie prywatność oraz relaks na świeżym powietrzu, lokale na parterze zostały wyposażone w urocze ogródki, gdzie można cieszyć się zielenią i spokojem.
Prawdziwym „rarytasem” naszego kompleksu jest drugie piętro, z którego mieszkańcy mogą napawać się niesamowitym widokiem na morze. 
To nie wszystko - lokalizacja inwestycji jest niezwykle ciekawa i dogodna. W pobliżu znajduje się nowo otwarty market spożywczy, zapewniający wygodne zakupy i dostęp do świeżych produktów. Dodatkowo, miasto Władysławowo oferuje wiele atrakcji turystycznych, restauracji, sklepów i rozrywek dla wszystkich smakoszy i poszukiwaczy przygód.
Nie przegap tej wyjątkowej okazji - zainwestuj w swoje marzenie już dziś!
Opis inwestycji:
9 niewysokich budynków mieszkalnych po piętnaście w każdym
funkcjonalne mieszkania od 29,54 do 47,89 m2
Budynki wykonane wg nowoczesnych, sprawdzonych technologii
Kreatywnie zaprojektowana przestrzeń osiedla
Przydomowe parterowe ogródki
Bezpłatne doradztwo kredytowe
Pomoc w załatwieniu formalności
</t>
  </si>
  <si>
    <t>https://www.otodom.pl/pl/oferta/wladyslawowo-ul-morelowa-24-5-gotowe-ID4nsDR</t>
  </si>
  <si>
    <t>4nsDR</t>
  </si>
  <si>
    <t>Bezczynszowe -Nowa Inwestycja, Kochłowice</t>
  </si>
  <si>
    <t>Kochłowice, Ruda Śląska, śląskie</t>
  </si>
  <si>
    <t xml:space="preserve">                                       Przedstawiam Państwu do sprzedaży 2-pokojowe mieszkanie o pow. użytkowej 38,5m2, mieszczące się w Rudzie Śląskiej - dzielnicy Kochłowice przy ul. Piłsudskiego. Znajduje się na II-piętrze w II-piętrowym apartamentowcu.Lokal mieści się na kameralnym osiedlu usytuowanym w malowniczym otoczeniu lasu, terenów zielonych oraz domów jednorodzinnych. Osiedle składać się będzie z 8-miu budynków 2-piętrowych, zaprojektowanych z myślą o funkcjonalności i wygodzie mieszkańców. W cenie 1,5 miejsca postojowego znajdujące się na parkingu - przed osiedlem od strony ul. Piłsudskiego.Na zdjęciach widoczna wizualizacja budynków wraz z rzutami. Układ pomieszczeń:- pokój z aneksem kuchennym o pow. 18,58m2,- sypialnia o pow. 12,68m2,- łazienka z WC o pow. 4,02m2- przedpokój/garderoba o pow. 3,22m2.Istnieje możliwość powiększenia przedmiotowego mieszkania o mieszkanie sąsiadujące na II-piętrze o pow. 28,94m2.MIESZKANIE BEZCZYNSZOWE. TYLKO MEDIA WEDŁUG ZUŻYCIA ORAZ PODATEK OD NIERUCHOMOŚCI !!!Budynki wybudowane zostaną z najwyższej jakości materiałów: pustak, trojszybowe okna, elewacja ocieplona styropianem gr. 15cm, kryta tynkiem.Mieszkanie sprzedawane będzie w stanie deweloperskim po oddaniu do użytkowania z wykonanymi następującymi pracami: tynki gipsowe, wylewki, rozprowadzone instalacje (wod-kan, elektryczna, C.O, gaz).Ogrzewanie gazowe - grzejniki. Nowoczesny dwufunkcyjny kocioł gazowy. Łącznie posiadamy do sprzedaży 32 mieszkania o pow: 67,23m2; 38,50m2; 31,97m2; 28,94m2. Inwestycję charakteryzuje świetna lokalizacja- okolica cicha i spokojna. Sąsiedztwo lasów, terenów zielonych oraz nowych domów mieszkalnych. Bardzo dobrze rozwinięta infrastruktura miejska: przy osiedlu znajdują się przystanki komunikacji miejskiej, sklepy, szkoły, przychodnie zdrowia itp.Łatwy dojazd do miast sąsiadujących poprzez znajdującą się w odległości 1,5 km autostradę A4.CENA: 285 000 zł brutto!Kupujący zwolniony z opłaty PCC 2% = 5 700 złZakończenie budowy: IV kwartał 2024r.Możliwość oględzin oraz rezerwacji rozpoczęta!Kontakt: Adam Dombrot, tel. 695-777-011Pośrednik odpowiedzialny zawodowo za wykonanie umowy pośrednictwa: Adam Dombrot (licencja nr: 20233) </t>
  </si>
  <si>
    <t>https://www.otodom.pl/pl/oferta/bezczynszowe-nowa-inwestycja-kochlowice-ID4n4a3</t>
  </si>
  <si>
    <t>4n4a3</t>
  </si>
  <si>
    <t>2 pokoje klucze do odbioru Osiedle Akademickie</t>
  </si>
  <si>
    <t>Osiedle Akademickie, Nowy Fordon, Bydgoszcz, kujawsko-pomorskie</t>
  </si>
  <si>
    <t xml:space="preserve">Sprzedam mieszkanie 2 pokojowe z ogródkiem od strony zachodniej. 
Mieszkanie na paterze  4 piętrowego budynku.
Osiedle Akademickie. Nowy Fordon. Obok Politechnika Bydgoska.
Okolica bardzo zielona, dobrze skomunikowana transportem publicznym oraz bazą sklepów.
Powierzchnia mieszkania 34,5m2.
Winda. 
Pod budynkiem hala garażowa, wózkownio-rowerownia.
Ogrzewanie z sieci miejskiej. 
Osiedle ogrodzone, monitoring. 
Światłowód.
Czynsz ok 300 zł/mc
Do mieszkania przynależy zewnętrzne miejsce postojowe na wyłączność - cena 10 tys.
Na sprzedaż mam również mieszkanie na sprzedaż na piętrze.
Mieszkanie można obejrzeć.
</t>
  </si>
  <si>
    <t>https://www.otodom.pl/pl/oferta/2-pokoje-klucze-do-odbioru-osiedle-akademickie-ID4o40z</t>
  </si>
  <si>
    <t>4o40z</t>
  </si>
  <si>
    <t>Mieszkanie 4 pok. oddalone od miejskiego zgiełku!</t>
  </si>
  <si>
    <t>ul. Czerwonej Jarzębiny, Banino, Żukowo, kartuski, pomorskie</t>
  </si>
  <si>
    <t>Kupując w Home Asset nie martw się o formalności, kredyt hipoteczny, w tym z opcją zwrotu zadatku, bezpieczeństwo zakupu.O wszystko zadbamy. Co ważne, od kupującego nie pobieramy prowizji.Mieszkanie 4-pokojowe na 1 piętrze, na kameralnym osiedlu w zabudowie szeregowej, oddalone od miejskiego zgiełku!Powierzchnia nieruchomości - 74,40 m2 w tym:- poziom 1 - pow. użytk. 52,10 m2 plus nie wliczona do metrażu garderoba o pow.ok .3 m2- antresola - pow. użytk, 12,27 m2 (po podłodze ok. 40 m2)- klatka schodowa wraz z przedsionkiem zabudowanymi szafami i siedziskiem - 10,03 m2Zalety nieruchomości:• Bezczynszowe!!• osiedle dewelopera 7niebo• możliwość podłączenia kominka służącego jako dodatkowe źródło ciepła • dodatkowy pokój na antresoli• duża wysokość w salonie sprawia że staje się przestronny i ciekawy do zaaranżowania• z salonu wyjście na duży balkon (12 m2)• nowoczesny, oszczędny piec gazowy (niskie opłaty miesięczne)• w kuchni, łazience i korytarzu ogrzewanie podłogowe• podłączona kanalizacja• przed budynkiem własny teren z utwardzonym miejscem postojowym oraz drewnianą szopką która pełni rolę piwnicy/schowkaTeren wokół budynku:• Cicha i spokojna okolica, • droga dojazdowa utwardzona• jedno miejsce postojowe przed budynkiem (możliwość poszerzenia do dwóch miejsc postojowych).Lokalizacja:• Na wyciągnięcie ręki pełna infrastruktura usługowo - handlowa:- Lidl, Biedronka, Rossmann, Pepco 1,5 km- najbliższy las 1,9 km- liczne przedszkola, najbliższe ok. 100 m - przystanek autobusowy (szkolny) 100 m- przystanek komunikacji miejskiej 1 km- przychodnia 400 m.- nowoczesna szkoła podstawowa z boiskiem do koszykówki, boiskiem piłkarskim oraz kortem tenisowym ok 1,7 kmSerdecznie zapraszam na prezentację!TYLKO U NAS!Dla każdego zainteresowanego kredytem na zakup tej bądź innej nieruchomości mamy przygotowaną ofertę KREDYTU HIPOTECZNEGO, w tym z opcją ZWROTU ZADATKU. U Nas znajdziecie Państwo wykwalifikowanego doradcę, który profesjonalnie i uczciwie zajmie się Państwa sprawą i oczywiście zupełnie BEZPŁATNIE przeprowadzi przez cały proces!!!Powyższa oferta nie stanowi oferty handlowej w rozumieniu art. 66 § 1 kodeksu cywilnego oraz innych właściwych przepisów prawnych. Informacje umieszczone w ofertach przekazywane są przez właścicieli nieruchomości i mogą ulegać zmianom. Staramy się aby wszystkie oferty były jak najbardziej aktualne i odpowiadały stanowi rzeczywistemu.Jesteśmy wyłącznym właścicielem zamieszczonych zdjęć i opisów. Kopiowanie ich w całości lub fragmentach jest zabronione zgodnie z ustawą z dnia 4 lutego 1994 r. o prawie autorskim i prawach pokrewnych.</t>
  </si>
  <si>
    <t>https://www.otodom.pl/pl/oferta/mieszkanie-4-pok-oddalone-od-miejskiego-zgielku-ID4ooxS</t>
  </si>
  <si>
    <t>4ooxS</t>
  </si>
  <si>
    <t>Apartament w Ciechocinku - gotowiec inwestycyjny!</t>
  </si>
  <si>
    <t>ul. Ogrodowa, Ciechocinek, aleksandrowski, kujawsko-pomorskie</t>
  </si>
  <si>
    <t>Nietuzinkowy apartament w centrum Ciechocinka na osiedlu zamkniętym w pełni umeblowany i wyposażony!Główne atuty nieruchomości: • prestiżowa lokalizacja• wysoki standard wykończeń• cicha i spokojna okolicaNieruchomość złożona z: • pokój z aneksem kuchennym 19,14 m.kw• pokój 10,46 m.kw• łazienka 4,92 m.kw• przedpokój 7,9 m.kw• garderoba 3 m.kw• łazienka 5,4 m.kw• pokój dzieci 16 m.kw W skład nieruchomości wchodzą też:• balkon• miejsce parkingoweTyp ogrzewania: ogrzewanie na gaz miejski. Typ własności: własność. Mam przyjemność zaprezentować Państwu nietuzinkowy apartament o powierzchni całkowitej 85 m2, użytkowej 67 m2 z dużym balkonem. Nieruchomość znajduję się na osiedlu zamkniętym w budynku z cegły z windą w centrum Ciechocinka- dostępne od zaraz!Mieszkanie w pełni umeblowane i wyposażone we wszystkie sprzęty RTV i AGD , które zostają w całości.Lokal składa się z dwóch kondygnacji.Na dole znajduję się salon z aneksem kuchennym, sypialnia i łazienka a piękne drewniane schody  prowadzą na drugą kondygnację gdzie znajduje się duża sypialnia, garderoba i łazienka z prysznicem.Na podłodze połączenie deski egzotycznej z gresem, drewniane drzwi,nowoczesne jesionowe schody.Mieszkanie  zostało wykończone i urządzone z materiałów wysokiej jakości.Doskonały gotowiec inwestycyjny!Niski koszt eksploatacji.Nietuzinkowy apartament w centrum Ciechocinka w pełni umeblowany i wyposażony - dostępny od zaraz!Mieszkanie na 2 piętrze w budynku z cegły z windą na osiedlu zamkniętym. Idealne dla rodzin z dziećmi lub jako gotowiec inwestycyjny na wynajem. Zapraszam na prezentacje!ZADZWOŃ: 570 087 233.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</si>
  <si>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https://www.otodom.pl/pl/oferta/apartament-w-ciechocinku-gotowiec-inwestycyjny-ID4iOd7</t>
  </si>
  <si>
    <t>4iOd7</t>
  </si>
  <si>
    <t>Uwaga Cena!Sprzedam mieszkanie.Gotowe na już !</t>
  </si>
  <si>
    <t>51,24 m²</t>
  </si>
  <si>
    <t>Longitude: 17.60712 | Latitude: 52.55239</t>
  </si>
  <si>
    <t>&lt;p&gt;PRZEDSTAWIAMY NA SPRZEDAŻ KOMFORTOWE MIESZKANIE NA OSIEDLU WŁADYSŁAWA ŁOKIETKA. Nieruchomość zlokalizowana w idealnie skomunikowanym osiedlu na Winiarach. Bliskość szkół , przedszkoli , przychodni , sklepów. Idealne miejsce :)&lt;/p&gt;
&lt;p&gt;Szukasz nieruchomosci taniej w utrzymaniu lub nieruchomosci w celu inwestycyjnym …&lt;/p&gt;
&lt;p&gt;Zapraszamy.&lt;/p&gt;
&lt;p&gt;Dzwon 602662313&lt;/p&gt;
&lt;p&gt;Lokal zlokalizowany na drugim pietrze niskiego bloku liczy 51.24m2 Ogrzewanie piec dwufunkcyjny gazowy . Koszty do spółdzielni mieszkaniowej to tylko 284zl. Do mieszkania przynależna ładna wysoka piwnica ok 4.5m2.&lt;/p&gt;
&lt;p&gt;KREDYTUJEMY NASZE NIERUCHOMOSCI NAJKORZYSTNIEJ W MIEŚCIE BEZ KOSZTÓW DODATKOWYCH!&lt;/p&gt;
&lt;p&gt;Dzwon 602662313…sprawdzenie zdolności na miejscu, oferta wszystkich banków.&lt;/p&gt;
&lt;p&gt;MILD HAUS NIERUCHOMOSCI&lt;/p&gt;
&lt;p&gt;ULICA FABRYCZNA 10&lt;/p&gt;
&lt;p&gt;GNIEZNO&lt;/p&gt;
&lt;p&gt;Powyższy opis ma charakter jedynie informacyjny i może ulec zmianie w świetle Kodeksu Cywilnego nie stanowi oferty.&lt;/p&gt;</t>
  </si>
  <si>
    <t>https://www.otodom.pl/pl/oferta/uwaga-cena-sprzedam-mieszkanie-gotowe-na-juz-ID4kSQR</t>
  </si>
  <si>
    <t>3-pokojowe mieszkanie 71m2 + 2 loggie Bezpośrednio</t>
  </si>
  <si>
    <t>71,14 m²</t>
  </si>
  <si>
    <t>Longitude: 21.03804 | Latitude: 52.45968</t>
  </si>
  <si>
    <t>&lt;ul&gt;&lt;li&gt;3-pokojowe mieszkanie&lt;strong&gt; numer A22&lt;/strong&gt;  na 4. piętrze w budynku 2 w Inwestycji Rezydencja Zegrze Dewelopera Mostostal&lt;/li&gt;&lt;li&gt;Pierwsza linia brzegowa Zalewu Zegrzyńskiego&lt;/li&gt;&lt;li&gt;Zielone patio ze strefą zabaw wodnych dla dzieci&lt;/li&gt;&lt;li&gt;Teren spacerowy (15 minut spacerem)&lt;/li&gt;&lt;li&gt;Ścieżka rowerowa (3 minuty rowerem)&lt;/li&gt;&lt;li&gt;Pałac Zegrzyński (3 minuty spacerem)&lt;/li&gt;&lt;/ul&gt;&lt;br/&gt;&lt;strong&gt;Rezydencja Zegrze - poznaj inwestycję&lt;/strong&gt;&lt;br/&gt;&lt;p&gt;Rezydencja Zegrze to 4-piętrowe apartamentowce o stonowanej kolorystyce, położone &lt;strong&gt;bezpośrednio nad Zalewem Zegrzyńskim&lt;/strong&gt;.&lt;/p&gt;&lt;br/&gt;
&lt;br/&gt;
&lt;p&gt;Mieszkania mają metraże od 29 do 124 mkw. i posiadają przestronne tarasy i loggie, które będą skierowane w kierunku wody i terenów zielonych. Dodatkowe widoki zapewnią &lt;strong&gt;duże przeszklenia okienne&lt;/strong&gt;, sięgające aż od podłogi do sufitu. Na najwyższym piętrze rozplanowanomieszkania dwupoziomowe z antresolami.&lt;/p&gt;&lt;br/&gt;
&lt;br/&gt;
&lt;p&gt; Na terenie osiedla znajdzie się urokliwe&lt;strong&gt; zielone patio otwarte w stronę jeziora&lt;/strong&gt;, uzupełnione przez place zabaw dla dzieci i strefę fontann. Aktywni mieszkańcy będą mieć do dyspozycji &lt;strong&gt;pawilon z siłownią&lt;/strong&gt;. Wśród udogodnień uwzględniono też miejsca postojowe w garażu podziemnym.&lt;/p&gt;&lt;br/&gt;&lt;strong&gt;Rezydencja Zegrze - lokalizacja&lt;/strong&gt;&lt;br/&gt;&lt;br/&gt;Zegrze, ul. Groszkowskiego 22&lt;br/&gt;&lt;ul&gt;&lt;li&gt;10,5 km do granicy miasta&lt;/li&gt;&lt;li&gt;6 min. samochodem do przystanku autobusowego&lt;/li&gt;&lt;li&gt;dojazd do centrum: 44 min samochodem&lt;/li&gt;&lt;/ul&gt;Istotne punkty w okolicy inwestycji&lt;ul&gt;&lt;li&gt;Restauracja (260 m, 4 minuty spacerem)&lt;/li&gt;&lt;li&gt;Poczta (504 m, 6 minut spacerem)&lt;/li&gt;&lt;li&gt;Przedszkole (955 m, 12 minut spacerem)&lt;/li&gt;&lt;/ul&gt;&lt;br/&gt;&lt;strong&gt;Oferta pochodzi z serwisu obido&lt;/strong&gt;</t>
  </si>
  <si>
    <t>https://www.otodom.pl/pl/oferta/3-pokojowe-mieszkanie-71m2-2-loggie-bezposrednio-ID4m081</t>
  </si>
  <si>
    <t>Trzypokojowe mieszkanie z balkonem na Os.650 Lecia</t>
  </si>
  <si>
    <t>56 m²</t>
  </si>
  <si>
    <t>Longitude: 19.385124004424 | Latitude: 51.860048864406</t>
  </si>
  <si>
    <t>&lt;p&gt;Oferuję do sprzedania 3 pokojowe mieszkanie położone na 11 piętrze bloku przy ul. Witkacego w Zgierzu.&lt;/p&gt;
&lt;p&gt;Lokal składa się z salonu (22 m2) z balkonem, dwóch sypialni (każda po ok 8 m2), kuchni ( 5 m2), łazienki oraz korytarza. Mieszkanie jest bardzo ustawne.&lt;/p&gt;
&lt;p&gt;Bloka jest ocieplony, przed nim znajduje się duży parking.&lt;/p&gt;
&lt;p&gt;&lt;/p&gt;
&lt;p&gt;Mieszkanie w stanie do odświeżenia lub remontu. Okna PCV, solidne drzwi wejściowe.&lt;/p&gt;</t>
  </si>
  <si>
    <t>https://www.otodom.pl/pl/oferta/trzypokojowe-mieszkanie-z-balkonem-na-os-650-lecia-ID4kAdd</t>
  </si>
  <si>
    <t>Victoria Park | mieszkanie 2-pokojowe | 55,97 m2</t>
  </si>
  <si>
    <t xml:space="preserve">Oferta:
Przedmiotem ogłoszenia jest 2-pokojowe mieszkanie położone  w inwestycji Victoria Park. To przestronny lokal o powierzchni 46.67 m kw.  Cechą inwestycji jest wysoki standard i świetna lokalizacja. Zapraszamy do zapoznania się z ofertą i do kontaktu.
O inwestycji:
Victoria Park, to nowo powstający kompleks przy zbiegu ulic Zwycięstwa/Prusa w Nysie.
Inwestycja będzie składać się z dwóch budynków mieszkalnych. Pierwszy etap to budynek numer 1, który jest położony w głębi ulicy. Victoria Park wyróżnia nowoczesna zabudowa z ciekawymi układami mieszkań 3-pokojowych i 2-pokojowych apartamentów. Jest to niewątpliwie wymarzona przestrzeń do życia dla młodych rodzin, które szukają ciszy i spokoju.
Mieszkania są sprzedawane w stanie deweloperskim. Do dyspozycji będą miejsca postojowe na zewnątrz budynku, które są ogólnodostępne, bez dodatkowych opłat. Dodatkowo - istnieje możliwość zakupu indywidualnych miejsc garażowych w bryle budynku oraz pomieszczenia przynależnego do każdego mieszkania (piwnica) - za dodatkową opłatą. Ułatwieniem dla każdego mieszkańca będzie winda osobowa, która ułatwi przemieszczanie się.
O lokalizacji:
Victoria Park znajduje się w młodej i nowoczesnej dzielnicy południowej części Nysy. To również doskonała komunikacja z bezpośrednim centrum miasta. W najbliższej okolicy mieszkańcy będą mieli doskonały dostęp do:
szkół,
przedszkoli,
sklepów,
galerii handlowej Vendo Park,
miejsc rekreacji dla najmłodszych i innych .
O nas:
Siedzibą Milez Developer ML Pabiniak S.C. jest Namysłów w województwie opolskim. Działalność firmy koncentruje się na branży budowa i wykończenia pod klucz.
Wysoki poziom wiedzy i kompetencji firmy, wynikający z wieloletniej działalności w branży, zapewni klientom Milez Developer ML Pabiniak S.C., spełnienie oczekiwań i realizację powierzonych jej projektów.
Po więcej szczegółów zapraszamy do kontaktu telefonicznego lub mailowego.  
</t>
  </si>
  <si>
    <t>https://www.otodom.pl/pl/oferta/victoria-park-mieszkanie-2-pokojowe-55-97-m2-ID48ggW</t>
  </si>
  <si>
    <t>✅ NICE HOME | Mieszkanie z balkonem✅</t>
  </si>
  <si>
    <t>ul. Łotewska, Słupsk, pomorskie</t>
  </si>
  <si>
    <t>Oferujemy do sprzedaży przestronne 3 pokojowe mieszkanie o pow. 53,74m2 z komfortowym balkonem 7m2. Mieszkanie aktualnie znajduje się w mocno zaawansowanej budowie III-go etapu inwestycji. Niewątpliwym atutem jest krótki okres oczekiwania na klucze i bardzo korzystne usytuowanie - na granicy Osiedla, co zapewni jeszcze więcej ciszy i spokoju.
Sprawdź nasz wysoki standard deweloperski.
Szczegóły lokalu:
ul. Łotewska Słupsk
Piętro, 3 pokoje (S11D2) - 53,74m2 
Usytuowanie - widok na II dziedziniec i rozległą przestrzeń natury
Miejsce parkingowe GRATIS! - przypisane tylko do Twojego mieszkania
W mieszkaniu znajduje się salon z aneksem kuchennym z wyjściem na balkon, 2 sypialnie, łazienka oraz korytarz z klatką schodową. Wejście do mieszkania jest niezależne.
Mieszkanie jest BEZCZYNSZOWE - bardzo niskie koszty utrzymania! Kompetentnie Zarządzanie i Administrowanie Osiedla. Odbierz klucze i zamieszkaj w Osiedlu NICE HOME.
Czy bezpieczny kredyt = bezpieczny zakup?
Jako jedyni w Słupsku należymy do Polskiego Związku Firm Deweloperskich, a to zapewnia Tobie Gwarancję BEZPIECZNEGO ZAKUPU, ponieważ spełniamy najwyższe standardy sprzedaży nieruchomości.
Czy wiesz że:
Osiedle NICE HOME tworzy 5 dziedzińców z zieloną architekturą?
W NICE HOME znajdziesz mieszkania z oknami na 3 strony świata?
Osiedle NICE HOME posiada najwięcej przeszkleń premium MS więcej niż OKNA w Słupsku?
Wszystkie ogrody posiadają pożądaną ekspozycję południową?
Osiedle tworzy 168 lokali, 26 budynków w tym 5 różnych typów i aż 10 układów mieszkań?
Mieszkania w NICE HOME są jak dom?- wszystkie posiadają niezależne wejścia do lokali?
NICE HOME to atrakcyjna lokalizacja w Słupsku, z dala od zgiełku. Blisko centrum, ale bliżej natury. W harmonii. Tylko 18 km do Morza!
NICE HOME posiada bardzo dobrze rozwiniętą infrastrukturę nieopodal? 
Masz zaledwie 2 minuty autem lub 20 minut spacerkiem do Lasku Północnego? To wyjątkowe miejsce dla aktywnych i spragnionych odpoczynku. Tu znajdziesz moc atrakcji m.in. park linowy „Leśny Kot”, trasy konne i biegowe, pump track, nordic walking, ptaszarnia, zwierzyniec, miejsce na ognisko i grill, punkty gastronomiczne, hotel, muzeum itp. 
Osiedle NICE HOME cieszy się najwyższym standardem wykończenia mieszkań i samej inwestycji - Patio na dziedzińcu osiedla, strefa chili-out, strefa zabaw dla dzieci, reprezentacyjny wjazd na teren osiedla - Pergola, alejki zieleni, wiaty na rowery, ogrodzony kompleks, nowoczesne oświetlenie i utwardzenie części wspólnych, bogata mała architektura terenu. Wszystkie ogrody są wygrodzone metalowymi panelami 3D.
NICE HOME to nowoczesna, zróżnicowana, niska zabudowa, a w niej słoneczne mieszkania z wyjątkowo dużymi przeszkleniami.
NICE HOME to szeroki wybór lokali z ogrodami i balkonami oraz dwupoziomowe apartamenty z antresolą i 2-tarasami w tym przestronne tarasy dachowe 35m2.
Do NICE HOME prowadzi komfortowa droga z miejskim oświetleniem?
W okolicy NICE HOME znajdziesz:
180m Stacja paliw
700m Przystanek autobusowy 
600m Supermarket/ sklep
1,3km Przedszkole
1,3km Restauracja
1,7km Park linowy, Lasek północny Leśny Kot
1,7km Siłownia
2,1km Szkoła
Budowa inwestycji NICE HOME zostanie zakończona do końca 2024r.  
TWÓJ SOLIDNY DEWELOPER
DZP INVEST KIERECCY
660 270 777
660 270 711 
Pracujemy poniedziałki w godzinach 8.00-17.00 oraz w wt.-pt. w godzinach 8.00-16.00.
Nasze inwestycje zabezpieczone są rachunkiem powierniczym.
Zakup bezpośrednio u dewelopera, bez prowizji i podatku PCC
Przy zakupie bezpłatnie pomagamy w uzyskaniu najkorzystniejszej formy finansowania.
Niniejsze ogłoszenie nie stanowi oferty w rozumieniu przepisów Kodeksu Cywilnego oraz innych właściwych przepisów prawnych, a dane w niej zawarte mają jedynie charakter informacyjny.</t>
  </si>
  <si>
    <t>https://www.otodom.pl/pl/oferta/nice-home-mieszkanie-z-balkonem-ID4gugb</t>
  </si>
  <si>
    <t>Bez Pcc !| piękne zachody słońca| komórka w cenie!</t>
  </si>
  <si>
    <t>ul. Bałtycka, Wilkowyja, Rzeszów, podkarpackie</t>
  </si>
  <si>
    <t>Biuro Reformacka Nieruchomości ma przyjemność zaprezentować 3 pokojowe mieszkanie, ulokowane na dwunastym piętrze czternastopiętrowego bloku, znajdującego się we wschodniej części Rzeszowa przy ul. Bałtyckiej.Nieruchomość położona w otoczeniu terenów sprzyjających spacerom i relaksowi na świeżym powietrzu. Okolica z szybkim dojazdem do każdej części Rzeszowa. Bardzo dobra komunikacja miejska. Mieszkanie idealne dla młodej pary lub pod inwestycję wynajmu mieszkania w standardzie premium.ROZKŁAD MIESZKANIA:- hall w pełnej zabudowie,- w pełni umeblowany salon z aneksem kuchennym,- łazienka z prysznicem, do której wejście mamy lustrzanymi drzwiami,- w pełni umeblowana sypialnia z szafą w zabudowie,- sypialnia 2 / gabinet. DO NIERUCHOMOŚCI PRZYNALEŻY:- komórka lokatorska,- pełne umeblowanie widoczne na zdjęciach,- parking naziemny,- balkon od południowej strony.W bliskiej odległości znajdują się m.in.:- szkoła podstawowa,- Kościół,- Delikatesy Centrum,- salony kosmetyczne,- weterynarz,- szpital.W przypadku zakupu tej nieruchomosci Kupujący nie płaci podatku PCC.</t>
  </si>
  <si>
    <t>https://www.otodom.pl/pl/oferta/bez-pcc-piekne-zachody-slonca-komorka-w-cenie-ID4lUiy</t>
  </si>
  <si>
    <t>Przestronne mieszkanie 2 pokojowe w DOBREJ CENIE</t>
  </si>
  <si>
    <t>ul. Nowobytomska, Chebzie, Ruda Śląska, śląskie</t>
  </si>
  <si>
    <t>Oferujemy na sprzedaż przestronne mieszkanie 2 pokojowe znajdujące się na spokojnym osiedlu. 
Dlaczego WARTO je kupić?
- 2 niezależne pokoje
- widna kuchnia z oknem
- całe wyposażenie w cenie!
- w cenie meble kuchenne wraz z sprzętem (zmywarka, piekarnik, lodówka), zabudowana szafa w przedpokoju, całe wyposażenie sypialni i salonu
- niskie opłaty ok 500 zł/mc
- nowe instalacje, nowe okna
- mieszkanie nie wymaga żadnych nakładów finansowych
- dostępne za ok miesiąc od rezerwacji
- ogrzewanie węglowe etażowe w osobnej kotłowni wydzielonej w mieszkaniu
- 12-metrowa piwnica,
- świetna lokalizacja - cisza i spokój, a jednocześnie bliskość DTŚ pozwala na szybki dojazd do miast ościennych
Zapraszam do oglądania. Kontakt Justyna Godlewska-Rajwa lic. 18149 tel. 661 597 581</t>
  </si>
  <si>
    <t>https://www.otodom.pl/pl/oferta/przestronne-mieszkanie-2-pokojowe-w-dobrej-cenie-ID4lTbE</t>
  </si>
  <si>
    <t>4lTbE</t>
  </si>
  <si>
    <t>2 pokoje gotowe pod klucz - 31,40 m2 blisko Galaxy</t>
  </si>
  <si>
    <t>Nowe 2 pokoje gotowe pod klucz - 31,40 m2 blisko CH Galaxy
Z przyjemnością prezentuje wyjątkową ofertę sprzedaży 2 pokoi powstałych z adaptacji poddasza o łącznej powierzchni 31,40 m2. Mieszkanie jest obecnie na etapie prac wykończeniowych i zostanie oddane nowemu nabywcy w standardzie pod klucz. Dodatkowym atutem jest możliwość bezpłatnego parkowania na tyłach budynku. Załączone zdjęcia są poglądowe .W ofercie mamy jeszcze 4 lokale o powierzchni : 34,55m2 ; 36,38m2 ; 34.78m2 i 37,25m2
Kupujący zwolniony z podatku PCC (2%) u notariusza .
Rozkład pomieszczeń:
Pokój z aneksem kuchennym o powierzchni 15,80m2
Sypialnia o powierzchni 7,09m2
Łazienka o powierzchni 4,02m2
Korytarz o powierzchni 4,49m2
Stan techniczny:
Brak skosów ; duże okna
Nowe instalacje: elektryczna, gazowa, wodno-kanalizacyjna
Nowa elewacja budynku ,wyremontowana klatka schodowa
Ściany gładzone, malowane ,podłogi wykończone panelami
Nowe drzwi wewnętrzne i zewnętrzne
Łazienka w glazurze i terakocie z białym montażem
Dodatkowe informacje:
Niski czynsz około 200 zł
Ciekawa lokalizacja blisko Teatru Lalek Pleciuga, Urzędu Miasta, CH Galaxy
Oferta na wyłączność .
 Zapraszam na prezentację</t>
  </si>
  <si>
    <t>https://www.otodom.pl/pl/oferta/2-pokoje-gotowe-pod-klucz-31-40-m2-blisko-galaxy-ID4oClt</t>
  </si>
  <si>
    <t>4oClt</t>
  </si>
  <si>
    <t>Mieszkanie z widokiem na morze - Gdańsk Letnica</t>
  </si>
  <si>
    <t>Letnica, Gdańsk, pomorskie</t>
  </si>
  <si>
    <t xml:space="preserve">Sprzedam mieszkanie 1 pokojowe zlokalizowane na 10 piętrze w inwestycji NOWA LETNICA z pięknym widokiem na morze oraz Zatokę Gdańską. Mieszkanie w stanie deweloperskim - do wykończenia.
Nieruchomość o powierzchni ponad 32 m2 składa się z salonu z aneksem kuchennym, łazienki oraz przedpokoju. Do lokalu przynależy loggia o powierzchni ponad 3 m2.
Mieszkanie posiada również miejsce postojowe w hali garażowej w cenie 35 000 PLN oraz komórkę lokatorską w cenie 10 000 PLN. Niewątpliwym atutem nieruchomości jest bezpłatny dostęp do strefy fitness, które zlokalizowane jest w częściach wspólnych budynku.
Osiedle NOWA LETNICA stanowi jedno najbardziej atrakcyjnych miejsc do zamieszkania na terenie Gdańska.
Podstawowe atuty osiedla to łatwo dostępne placówki handlowo-usługowe, środki komunikacji miejskiej, bliskość morza oraz szybki dojazd do centrum Gdańska.
Zapraszam do oglądania.
Agencjom nieruchomości oraz pośrednikom dziękuję.
</t>
  </si>
  <si>
    <t>https://www.otodom.pl/pl/oferta/mieszkanie-z-widokiem-na-morze-gdansk-letnica-ID4oEvV</t>
  </si>
  <si>
    <t>4oEvV</t>
  </si>
  <si>
    <t>Nowe mieszkanie 2pok. z oddzielną kuchnią + Balkon</t>
  </si>
  <si>
    <t>Muchobór Wielki, Fabryczna, Wrocław, dolnośląskie</t>
  </si>
  <si>
    <t>Szczegóły oferty: INVESTOR NIERUCHOMOŚCI Wrocław - Radosław Owczarek,tel. 665 556 205Nowe, deweloperskie mieszkanie z dwoma pokojami, oddzielną kuchnią i balkonem o powierzchni 48,7 m2.Willowa okolica, wyłącznie niska zabudowa w otoczeniu starodrzewia. Osiedle kompletne z benefitami dla mieszkańców: miejsca rekreacji i spotkań, Klubem Mieszkańca z przestrzenią do pracy i strefą relaksu. Doskonale zaplanowana urbanistyka zapewnia poczucie kameralności, prywatności, bezpieczeństwa. W okolicy znajdują się liczne parki, las i kąpielisko, a dla osób lubiących aktywność nie zabraknie ścieżek spacerowych, rowerowych i biegowych. W sąsiedztwie bogate zaplecze handlowo-usługowe oraz edukacyjne: żłobki, przedszkola, szkoła podstawowa. Szybki, wygodny dostęp do placówek medycznych.Komunikacja: • 3 minuty pieszo do nowego przystanku MPK• 15 minut pieszo do pętli tramwajowej• 15 minut pieszo do stacji PKPCena brutto komórki lokatorskiej: 4 000 złCena brutto m.p: 18 000-38 000Dodatkowo mieszkanie wyposażone w system SMART, BLUE BOLT ORAZ FIBARO! Pakiet standardowy dla każdego mieszkańca. Systemy te umożliwiają zdalne przywoływanie wind, otwierają zamki, szlabany, klub mieszkańca, umożliwiają sterowanie głosem, oświetleniem, kontrolują czujnik dymu i wiele, wiele więcej!Jeśli chcesz mieszkać na osiedlu pełnym zieleni, otoczonym naturą z każdej strony... napisz do nas już teraz! Nie zwlekaj i wybierz swoje wymarzone lokum.Posiadamy w swojej ofercie również inne mieszkania na tej i innych inwestycjach w okolicy.Zapraszam do kontaktu i umówienia się na prezentację mieszkania. Szczegóły oferty: INVESTOR NIERUCHOMOŚCI Wrocław - Radosław Owczarek,tel. 665 556 205Nota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</si>
  <si>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https://www.otodom.pl/pl/oferta/nowe-mieszkanie-2pok-z-oddzielna-kuchnia-balkon-ID4npCA</t>
  </si>
  <si>
    <t>4npCA</t>
  </si>
  <si>
    <t>Piękny dom z lokalem na sprzedaż, Tarnowskie Góry</t>
  </si>
  <si>
    <t>ul. Pyskowicka, Tarnowskie Góry, tarnogórski, śląskie</t>
  </si>
  <si>
    <t>Atuty nieruchomości :- dom z lokalem Tarnowskie Góry ul. Pyskowicka- dwa miejsca parkingowe koło budynku- działka 316 m2- okna PCV trzyszybowe- wszystkie instalacje nowe- ogrzewanie gazowe- dwa pokoje- salon- kuchnia w zabudowie- łazienka z wanna oraz prysznicem ,- powierzchnia mieszkalna 91,22 m2- powierzchnia lokalu 91,22 m2 Zapraszamy do zapoznania się z tą wyjątkową nieruchomością położoną w przepięknej okolicy Tarnowskich Gór. Ten uroczy dom zlokalizowany na ulicy Pyskowickiej 15 oferuje nie tylko piękne wnętrza, ale także doskonałą przestrzeń do prowadzenia działalności gospodarczej.Na parterze znajduje się duży lokal o powierzchni 91,22 m2, w który można prowadzić sklep mięsny , Żabkę , aptekę , biuro rachunkowe , kancelarie itp. Jest to doskonała okazja dla tych, którzy marzą o własnym punkcie usługowym lub biurze. Dodatkowo, budynek posiada dwa miejsca parkingowe tuż obok, co stanowi ogromną wygodę zarówno dla klientów, jak i dla mieszkańców. Wchodząc do mieszkania na pierwszym piętrze o powierzchni 91,22 m2, zostaniesz oczarowany jego urokiem i funkcjonalnością. Znajdziesz tu kuchnię w zabudowie, łazienkę z wanną i prysznicem . Dwa przestronne pokoje i duży salon stanowią doskonałe miejsca do relaksu i spotkań rodzinnych. Przedpokój natomiast oferuje mnóstwo miejsca na przechowywanie. W budynku jest nowa nowa instalacja elektryczna kanalizacyjna oraz wodna . Budynek został przebudowany 2006 roku . Okna PCV trzyszybowe zapewniają doskonałą izolację termiczną i akustyczną, co przekłada się na większą wygodę mieszkańców. Całość jest uzupełniona piękną, prywatną działką o powierzchni 316 m2. Możesz tutaj spędzać czas na świeżym powietrzu, uprawiać ogródek lub organizować grillowe przyjęcia. To prawdziwa oaza spokoju w sercu miasta .Nie wahaj się i zainwestuj w tę unikalną nieruchomość, która oferuje nie tylko komfortowe mieszkanie, ale także możliwość rozwoju biznesu. Skontaktuj się z nami już teraz, aby umówić się na prezentację!W bardzo bliskiej odległości znajduje się Park Repty gdzie znajduje się nowoczesny plac zabaw dla dzieci , ścieżki rowerowe , strefa odpoczynku .</t>
  </si>
  <si>
    <t>https://www.otodom.pl/pl/oferta/piekny-dom-z-lokalem-na-sprzedaz-tarnowskie-gory-ID4nOcx</t>
  </si>
  <si>
    <t>4nOcx</t>
  </si>
  <si>
    <t>Na sprzedaż luksusowy apartament, Poznań/Jeżyce.</t>
  </si>
  <si>
    <t xml:space="preserve">Na sprzedaż luksusowy apartament, Poznań/Jeżyce.Na sprzedaż, nowoczesne, bardzo jasne, 3-pokojowe mieszkanie o pow. 77 m2  przy ul. Jeżyckiej w Poznaniu, zaprojektowane w awangardowym stylu z dbałością o najdrobniejsze szczegóły.LOKALIZACJA: Mieszkanie znajduje się w budynku Atanera, na trzecim piętrze, na zamkiętym osiedlu, bardzo blisko centrum miasta, w niewielkiej odległości od znanego z niezwykłej urody Parku Sołackiego. W pobliżu wiele klimatycznych restauracji, kawiarni i pubów, a także sklepów spożywczych, punktów usługowych, szkół i przedszkoli. Wszystkie miejsca, w tym najlepsza lodziarnia w mieście, w zasięgu kilku minut spacerem.Z mieszkania doskonały dojazd do centrum miasta zarówno autem jak i komunikacją miejską, a także dogodny wyjazd na trasę S5.W cenie mieszkania znajduje się komórka lokatorska oraz zlokalizowany na dziedzińcu garaż.MIESZKANIE: W skład lokalu wchodzi przestronny salon z kuchnią, dwie sypialnie, garderoba, łazienka i WC.Mieszkanie wykończone zostało z wykorzystaniem materiałów i sprzętów najwyższej klasy. Na podłodze oraz części ścian znajdują się marmurowe kafle. Łazienka i WC wyposażone zostały w armaturę marki Tres i ceramikę marki Catalano, posiadają również granitowe półki i blaty.W salonie znajduje się sufit napinany, klimatyzacja i elektryczny kominek.Większość mebli wykonana została na zamówienie. Kuchnia wyposażona została w niezbędny, nowoczesny sprzęt AGD (zmywarka, lodówka, płyta indukcyjna, okap). Pozostałe pomieszczenia mogą być wykorzystane jako sypialnia, gabinet lub pokój dziecięcy.Mieszkanie jest gotowe do wprowadzenia, a jego cena obejmuje widoczne na zdjęciach kompletne wyposażenie.KOSZTY:Czynsz administracyjny (w tym zaliczki na  wodę, ogrzewanie,  wywóz śmieci, fundusz remontowy, utrzymanie części wspólnych): 800 PLNOpłaty dodatkowe: prąd według zużycia, ok. 100 PLN.Już dziś umów się na prywatną prezentację nieruchomości. ZadzwońZainteresowany? Skontaktuj się z nami pod numerem +4████████████6 lub napisz nam maila poprzez formularz kontaktowy dostępny w ogłoszeniu.Czy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najmem.Zainteresowany? Zapytaj opiekuna oferty o szczegóły </t>
  </si>
  <si>
    <t>https://www.otodom.pl/pl/oferta/na-sprzedaz-luksusowy-apartament-poznan-jezyce-ID4ocN4</t>
  </si>
  <si>
    <t>4ocN4</t>
  </si>
  <si>
    <t>Obniżka duże 2pok. parter i ogródek Suchostrzygi</t>
  </si>
  <si>
    <t>Tczew, tczewski, pomorskie</t>
  </si>
  <si>
    <t xml:space="preserve">Mieszkanie 2 pokojowe na osiedlu Suchostrzygi w Tczewie zlokalizowane w centrum osiedla w bardzo dogodnym miejscu.
Budynek jednopiętrowy, sześciolokalowy z oddzielną posesją, z zamykaną bramą.
Mieszkanie zadbane, w bardzo dobrym stanie, dostępne i gotowe do wydania od ręki.
Mieszkanie o powierzchni 50 mkw.:
- dwa pokoje, oddzielna przestronna i jasna kuchnia, łazienka z toaletą, hol
- ogródek przed budynkiem do dyspozycji właściciela
- własna posesja z miejscami parkingowymi
Do mieszkania przynależy duża piwnica ok. 11 mkw.
Do wspólnej dyspozycji jest też duża wózkownia.
Posesja z własnym wjazdem i bramą, na posesji miejsca parkingowe dla mieszkańców.
Budynek w dobrym stanie, ocieplony.
Lokalizacja:
Tczew, osiedle Suchostrzygi
- szybki dojazd do autostrady A1 (10 min.)
- bardzo dobrze skomunikowane miejsce
- w pobliżu przystanek autobusowy
- dojazd do dworca PKP 10 min.
- liczne sklepy: Lidl, Aldi, Biedronka, Intermarche, Bricomarche, centrum handlowe i rynek Manhattan
- blisko przychodnia, apteki, szkoła, przedszkole, żłobek, banki, restauracje
Zapraszam do kontaktu po szczegóły oferty i na prezentację mieszkania.
</t>
  </si>
  <si>
    <t>https://www.otodom.pl/pl/oferta/obnizka-duze-2pok-parter-i-ogrodek-suchostrzygi-ID4ouMf</t>
  </si>
  <si>
    <t>4ouMf</t>
  </si>
  <si>
    <t>Mieszkanie w sercu starej Zielonki, 136,40m2, 2%</t>
  </si>
  <si>
    <t>Zielonka, wołomiński, mazowieckie</t>
  </si>
  <si>
    <t xml:space="preserve">
Prezentujemy państwu jedyną taka inwestycję w Zielonce.
Kameralne osiedle W sercu Zielonki. Z bliskim dostępem do szerokiego wachlarza usług jak:
- sklep 130metrów
- przedszkole 115 metrów
- stacja PKP 400 metrów
- przystanek autobusowy 100 metrów
- skwer 100 metrów
- szkoła 545 metrów
- restauracja 600 metrów
- Przychodnia 300 metrów
Inwestycja spełnia wymogi pod kredyt 2%. Nowe mieszkania bezczynszowe, sprawdzony developer.
Inwestycja zostanie wykonana z wysokiej jakości materiałów zapewniających bezpieczne korzystanie z lokali. Standard wykonania deweloperski. Każdy lokal będzie wyposażony w piec gazowy dwufunkcyjny niemieckiej firmy Broetje. Osiedle z pełnymi media prąd, woda, gaz, Internet, telefon, telewizja.
Wykaz pomieszczeń
Piętro
- komunikacja 6,87 + 3,65m2
- komunikacja 5,19m2
- pokój/aneks kuchenny 27,51m2
- pokój 12,73m2
- łazienka 5,91m2
- pokój 12,89m2
Poddasze
- komunikacja 0,97
- łazienka 8,23
- pokój 37,35
- pokój 15,10
Każdy lokal ma dwa miejsca parkingowe.
Zapraszamy do kontaktu i rezerwacji.
</t>
  </si>
  <si>
    <t>https://www.otodom.pl/pl/oferta/mieszkanie-w-sercu-starej-zielonki-136-40m2-2-ID4mHG1</t>
  </si>
  <si>
    <t>4mHG1</t>
  </si>
  <si>
    <t>Gotowe Apartamenty przy plaży - Międzywodzie</t>
  </si>
  <si>
    <t>ul. Wojska Polskiego 26A, Międzywodzie, Dziwnów, kamieński, zachodniopomorskie</t>
  </si>
  <si>
    <t>Inwestycja „Apartamenty na Wydmach” znajduje się w Międzywodziu przy ul. Wojska Polskiego (50 m od plaży). 
Cały projekt składa się z 102 nowych apartamentów. Budynek posiada sześć kondygnacji naziemnych wraz z parterem oraz jedną kondygnację podziemną. Ogromną zaletą inwestycji jest również rozległy teren przyległy do budynku wraz z miejscami postojowymi.
Inwestycja „Apartamenty na Wydmach” ma unikalny charakter – zapewniający komfort wypoczynku i wiele niepowtarzalnych wrażeń. Jest to oferta dla wszystkich, którzy pragną posiadać idealne miejsce w najbliższej odległości od morza. Apartamenty na Wydmach cechuje nowoczesny styl i kolorystyka, a także uporządkowany minimalizm dający poczucie ładu formy i przestrzeni do odpoczynku. Całość dopełniają ażurowe balustrady balkonów i przeszklenie tarasów, co ma dawać efekt lekkości i przestrzeni.
Apartamenty na Wydmach to unikatowa miejsce powiązane z bliskością natury Morza Bałtyckiego, a także wygoda kameralnej zabudowy z bliskim dostępem do pięknej i szerokiej plaży w Międzywodziu.
Bryła budynku doskonale komponuje się z otaczającą go przyrodą. Co ważne, bezpośredni kontakt z nadmorską naturą obfitującą w znaczną zmienność pogodową, powoduje, że projekt spełni wysokie wymagania dotyczące zastosowanych technologii i rozwiązań architektonicznych oraz sprzętowych.
Wnętrza zaprojektowane zostały ze smakiem w połączeniu z nowoczesnym minimalizmem. Ma to pozwalać na naturalne osiągnięcie walorów przestrzennych sprzyjających wypoczynkowi i relaksowi.
Inwestycja Gotowe Apartamenty przy plaży - Międzywodzie została wybudowana i oddana do użytkowania w 3 kw. 2020 roku.
Niniejsza strona ma charakter informacyjny, nie stanowi oferty handlowej w rozumieniu Art. 66 par. 1 Kodeksu Cywilnego.</t>
  </si>
  <si>
    <t>https://www.otodom.pl/pl/oferta/gotowe-apartamenty-przy-plazy-miedzywodzie-ID4ixF9</t>
  </si>
  <si>
    <t>4ixF9</t>
  </si>
  <si>
    <t>Dom na wsi z dużymi bud. gospodarczymi.</t>
  </si>
  <si>
    <t>Kierzków, Myślibórz, myśliborski, zachodniopomorskie</t>
  </si>
  <si>
    <t>Na sprzedaż dom w zabudowie bliżniaczej w miejscowości Kierzków ( udział 1/2 w budynku mieszkalnym) wraz z budynkami gospodarczymi.  
Budynek mieszkalny w całości podpiwniczony, piwnice suche, wysokie z posadzkami betonowymi.
Powierzchnia mieszkalna domu to parter o powierzchni ok.100 m2 na którym znajdują sie 3 pokoje, kuchnia , łazienka i korytarz ze schodami prowadzącymi na poddasze na którym znajduje się dodatkowy pokój o powierzchni ok.30 m 2 .Dodatkowo z korytarza zejście do piwnicy. Pozostała część poddasza idealna do adaptacji na powierzchnie mieszkalną. Konstrukcja dachu w bardzo dobrym stanie.
Dom w stylu wiejskim, zadbany, bardzo przestronny i słoneczny. W kuchni tradycyjny piec węglowy kuchenny oddający klimat wiejskiego domu , w pokojach piece kaflowe. Piece w pełni sprawne. 
Dom posiada przyłącze do sieci wodociągowej, odprowadzenie ścieków do szamba.
Budynek posadowiony jest na działce o popwierzchni 0,9348 ha - właścicielowi zbywanego domu przysługuje udział 1/3 w działce wraz z udziałami w budynkach stodół oraz wyłączny udział do trzystanowiskowego garażu murowanego ( widoczny na zdjęciach). Podwórko wybrukowane.
Ustalony sposób korzystania z nieruchomości bez konieczności wchodzenia i ingerowania w części współwłaścicieli. Każdy ze współwłascicieli posiada wyznaczony i ogrodzony teren na wyłączność z osobnymi wjazdami. Bezproblemowe sąsiedztwo.
Dodatkowo przed budynkiem własny kawałek zieleni i nieduży sad umiejscowiony za stodołą.
Cały teren ogrodzony, działka połozona na płaskim terenie. Budynki gospodarcze w dobrym stanie.
\więcej zdjęć i ofert na stronie biura urbanski-nieruchomosci pl
ZAPRASZAMY DO OBEJRZENIA.</t>
  </si>
  <si>
    <t>https://www.otodom.pl/pl/oferta/dom-na-wsi-z-duzymi-bud-gospodarczymi-ID4lvlD</t>
  </si>
  <si>
    <t>4lvlD</t>
  </si>
  <si>
    <t>Dom wolnostojący/3 Odrębne Mieszkania/ogród/Zębice</t>
  </si>
  <si>
    <t>Zębice, Siechnice, wrocławski, dolnośląskie</t>
  </si>
  <si>
    <t>Z wielka przyjemnością przedstawiam Państwu ofertę domu, który posiada niezależne wejscie, dzieki czemu dom stanowi 3 niezależne odrębne mieszkania. Jest to niesamowita opcja dla rodziny wielopokoleniowej, oraz inwestycyjne pod wynajem. Znajduje sie on przy ul. Spacerowej w Zębicach.niesamowita okazja - 3 mieszkania w cenie domu!!Dom z roku 1970. Wymaga remontu. W roku 2004 była przeprowadzona dobudowa drugiej części domu. W skład domu wchodzą: Starsza część - (157,36m²) :Poziom I (77,15 m²) :• Kuchnia otwarta (17,55 m²)• Pokój  (15,8 m²)• Pokój (14,6 m²)• Garderoba (2,7 m²)• Przedpokój (2,3m²)• Łazienka (2,6 m²)• Przedsionek (4m²)• Klatka schodowa (4,3 m²)• Kotłownia (13,2 m²)Poziom II (wymaga remontu) (80, 21m²):• Pokój (25 m²)• Pokój  (18,9 m²)• Pokój (12,7 m²)• Holl (7,32 m²)• Kuchnia (8,63 m²)• Łazienka (4.5m²)• WC (1 m²)• Sień (1,66 m²)Poddazse (wymaga wykończenia) (80, 21m²):Dobudowa - (99,18 m²)Poziom I  (49,59m²):• Korytarz (17,09 m²)• Garaż  (32,5 m²)Poziom II (49,59 m²):• Korytarz (17,09 m²)• Pokój (32,5 m²)Najważniejsze informacje:• Piwnica domu została przerobiona na część mieszkalną (poziom I starszej części)• Ogrzewanie węglem. Jest możliwość doprowadzenia gazu. Jest kominek.Komunikacja:PKP Zębice Wrocławskie - Wrocław Główny.Cena do negocjacji. UMOWA NA WYŁĄCZNOŚĆ.Oferujemy pomoc w uzyskaniu finansowania na zakup nieruchomości. Nic za to nie płacisz biuru, a dysponujemy pełną kontrolą nad poszczególnymi etapami uzyskania finansowania i całkowitym przebiegiem kupna nieruchomości. Czeka na Ciebie jeszcze jedno przyjemne zaskoczenie, związane z tym! Interesuje? Zapytaj!Karolina Browarska +4████████0 828WRO NieruchomościNasze biuro współpracuje z innymi pośrednikami.Jako strona kupująca otrzymasz pełne wsparcie w zakresie zakupu nieruchomości.Oferujemy pomoc w uzyskaniu finansowania na zakup nieruchomości.Nic za to nie płacisz biuru, a dysponujemy pełną kontrolą nad poszczególnymi etapami uzyskania finansowania i całkowitym przebiegiem kupna nieruchomości. Nota prawna:Opis oferty zawarty na stronie internetowej sporządzany jest na podstawie oględzin nieruchomości, oraz informacji uzyskanych od właściciela, może podlegać aktualizacji i nie stanowi oferty handlowej określonej w art 66 i następnych K.COferta wysłana z programu dla biur nieruchomości ASARI CRM ()</t>
  </si>
  <si>
    <t>https://www.otodom.pl/pl/oferta/dom-wolnostojacy-3-odrebne-mieszkania-ogrod-zebice-ID4kMSX</t>
  </si>
  <si>
    <t>4kMSX</t>
  </si>
  <si>
    <t>Apartament z dużym tarasem</t>
  </si>
  <si>
    <t>Do sprzedania apartament 94,68m2, na 4 ostatnim piętrze z tarasem 49,72m2. Kameralna inwestycja składająca się z 15 mieszkań, od 45m2 do 117m2, wykończona w standardzie premium. Gotowa inwestycja.APARTAMENT:* hol* łazienka* pokój* salon z aneksem kuchennym* łazienka* pokójMożliwość zakupu garażu lub komórki lokatorskiej. Cicha, spokojna okolica świetnie skomunikowana z pozostałymi częściami Krakowa.Zapraszam do kontaktu:797 046 854</t>
  </si>
  <si>
    <t>https://www.otodom.pl/pl/oferta/apartament-z-duzym-tarasem-ID4kUSR</t>
  </si>
  <si>
    <t>4kUSR</t>
  </si>
  <si>
    <t>Nowoczesny Apartament W Pobliżu Yacht Park</t>
  </si>
  <si>
    <t>ul. Stefana Żeromskiego, Śródmieście, Gdynia, pomorskie</t>
  </si>
  <si>
    <t>MIESZKANIE:2 pokojowy apartament, zlokalizowany na 3 piętrze w 5-piętrowcu wybudowanym w 2020 roku (AB Inwestor). Kompleksowo urządzony, z wykorzystaniem zabudów pod wymiar. Kuchnia w aneksie, z towarzyszącym balkonem. Otwarta sypialni, oddzielona ścianą z lameli, nadaje nowoczesnego charakteru. Mieszkanie jest w pełni wyposażone i gotowe do wprowadzenia od zaraz! BUDYNEK:Oddany do użytku w 2020 roku, niski 5 -piętrowy blok. Zadbano o całodobową ochronę oraz patio dla mieszkańców, wewnątrz osiedla. Wykorzystano również nowoczesny systemem kontroli dostępu i monitoringu (wideo domofony) .LOKALIZACJA:Nieruchomość położona jest w samym centrum Gdyni przy ul. Żeromskiego, blisko morza, blisko miejskich atrakcji i wygód. W bliskiej odległości znajdują się kluby muzyczne, kawiarnie, kafejki i restauracje, Plac Kaszubski, Gdyńskie Centrum Filmowe. Stąd tylko 3 minuty spacerem do reprezentacyjnej ulicy Świętojańskiej, 5 minut do skweru Kościuszki, 8 minut do Teatru Muzycznego, 10 minut do Bulwaru Nadmorskiego, 7 minut do gdyńskiej Mariny. CZĘŚCI PRZYNALEŻNE:Miejsce postojowe w halii garażowej ( dodatkowo 50 000 zł) oraz komórka lokatorska.KOSZTY EKSPLOATACYJNE:Opłaty stałe ok. 750 złDLA KOGO?Mieszkanie inwestycyjne! W tej lokalizacji świetnie sprawdzi się pod najem krótkoterminowy. Jeśli szukasz nieruchomości dla siebie do odpoczynku, blisko mariny to jest nieruchomość dla Ciebie!ZAPRASZAM NA PREZENTACJE!KUP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</si>
  <si>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https://www.otodom.pl/pl/oferta/nowoczesny-apartament-w-poblizu-yacht-park-ID4lREw</t>
  </si>
  <si>
    <t>4lREw</t>
  </si>
  <si>
    <t>Nowoczesny Dom 120m2 Swoszowice- Kraków 8000 zł/m2</t>
  </si>
  <si>
    <t xml:space="preserve">Kraków, Wróblowice/Swoszowice, ul. Krzyżańskiego.Segment M02- 8000 zł/m2Jako wyłączne biuro sprzedaży mamy przyjemność zaprezentowania Państwu nową inwestycję, gdzie w zielonej okolicy wśród niskiej zabudowy jedno i wielorodzinnej powstają nowoczesne domy z garażami oraz ogródkami.NOWOCZESNE DOMY WRÓBLOWICE przy ulicy Krzyżańskiego to kompleks 2 budynków w zabudowie bliźniaczej tworzących łącznie 6 lokali mieszkalnych jednorodzinnych. Wszystkie lokale mają tę samą powierzchnię, przynależne ogródki mają od 20m2 do nawet 306m2, każdy posiada wbudowany garaż oraz jedno miejsce postojowe przed domem. Inwestycja została zaprojektowana zgodnie z najwyższymi standardami, przy użyciu nowoczesnych i trwałych materiałów budowlanych. Szczególna uwaga została poświęcona harmonijniej bryle budynków oraz kolorystyce, dzięki którym inwestycja będzie spójna z okoliczną zabudową. Wysoka funkcjonalność rozwiązań architektonicznych oraz dobre nasłonecznie lokali tworzą przyjazny klimat dla przyszłych mieszkańców.Prezentowany dom M02 ma powierzchnię użytkową 120m2, powierzchnia ogrodu wynosi 21m2, składa się z:PARTER: wiatrołap (4,42m2), garaż (17,91m2), łazienka (2,36m2), korytarz (4,53m2), salon z aneksem kuchennym (31,54m2): łącznie 60,75m2 p.u. dodatkowo pod schodami znajduje się schowek nie wliczony do metrażu. Wysokość pomieszczeń 268cm, w garażu 287cm. Przed garażem dodatkowe miejsce postojowe.PIĘTRO: sypialnia (17,5m2), dwa pokoje (10,05m2 i 9,73m2), z każdego wyjście na balkon (6,90m2), korytarz (7,36m2), garderoba (2,79m2), łazienka (7,4m2); łącznie 59,09m2 p.u. Wysokość pomieszczeń od 130 do 260cm.PODDASZE:powierzchnia strychu, która nie jest liczona do metrażu domu to 26m2 po podłodze - 15m2 powierzchni użytkowej !Standard wykończenia:* Fundamenty żelbetowe* Ściany konstrukcyjne murowane z pustaków ceramicznych lub silikatowych* Strop nad parterem żelbetowy wylewany* Schody żelbetowe wylewane* Termoizolacja ścian zewnętrznych - styropian grafitowy gr. 20cm* Wykończenie ścian zewnętrznych &amp;ndash; tynk cienkowarstwowy silikonowy* Pokrycie dachu &amp;ndash; dachówka ceramiczna* Wykończenie ścian wewnętrznych &amp;ndash; tynk gipsowy maszynowy III kategorii* Wykończenie posadzek &amp;ndash; wylewka cementowa na styropianie* Stolarka okienna &amp;ndash; okna i drzwi balkonowe PCV, pakiet 3-szybowy, okno na taras przesuwne* Drzwi wejściowe do budynku &amp;ndash; aluminiowe klasy RC3 z dwoma zamkami* Brama wjazdowa garażowa automatyczna (na pilota)* Poddasze &amp;ndash; izolacja wełna mineralna gr. 30cm + płyta GK nie szpachlowana* Wentylacja grawitacyjna* Instalacja kanalizacyjna sanitarna z odprowadzeniem do sieci kanalizacyjnej* Instalacja centralnego ogrzewania podłogowa w całym domu + grzejnik łazienkowy wiszący 2x* Źródło ciepła &amp;ndash; instalacja gazowa z sieci, indywidualnym kotłem gazowym II-funkcyjnym kondensacyjnym. Jeszcze na etapie budowy na życzenie Klienta jest możliwość montażu pompy ciepła za dodatkową opłatą.* Instalacja elektryczna &amp;ndash; punkty elektryczne zakończone kostką we wszystkich pomieszczeniach* Instalacja światłowodowa oraz domofonowa* Instalacja klimatyzacji bez osprzętu* Zagospodarowanie terenu przynależnego do budynku &amp;ndash; komunikacja i podjazd do garażu z kostki brukowej betonowej, trawnik zasiany na powierzchni zielonej terenu* Wygrodzenie indywidualnych ogródków* Zagospodarowanie terenu wspólnego &amp;ndash; nawierzchnia drogi z kostki brukowej betonowej, trawnik zasiany na powierzchni zielonej terenu* Ogrodzenie osiedla wraz z automatyczną bramą wjazdową oraz furtką* Rolety antywłamaniowe na parterze w standardzie.Planowane zakończenie prac IV kw 2023r., zakup z rynku pierwotnego, rachunek powierniczy otwarty, płatność transzami.Zapraszamy na prezentację!Więcej ofert na stronie biura nieruchomości EchoDOM!Dzięki współpracy z bankami jak i niezależnymi doradcami finansowymi bezpłatnie pomagamy w uzyskaniu kredytu. ZAPEWNIAMY PROFESJONALIZM I BEZPIECZEŃSTWO ZAWIERANYCH TRANSAKCJI!-Wszystkie szczegóły zestawiono na podstawie wypowiedzi lub dokumentacji przedstawionej przez właściciela. Jednocześnie nie bierzemy odpowiedzialności za ich prawidłowość, kompletność i aktualność. Oferta nie stanowi oferty handlowej w rozumieniu kodeksu cywilnego i nie jest wiążąca. </t>
  </si>
  <si>
    <t>https://www.otodom.pl/pl/oferta/nowoczesny-dom-120m2-swoszowice-krakow-8000-zl-m2-ID4itzr</t>
  </si>
  <si>
    <t>4itzr</t>
  </si>
  <si>
    <t>Mieszkanie z widokiem na góry izerskie | 82,3 m2</t>
  </si>
  <si>
    <t>ul. Strzelnicza, Gryfów Śląski, Gryfów Śląski, lwówecki, dolnośląskie</t>
  </si>
  <si>
    <t>Do sprzedaży mieszkanie o pow. 82,3 m2 składające się z 3 pokoi (18m2,13,7m2,18m2), dużej kuchni z częścią jadalną (16,7m2), przedpokoju  oraz łazienki (5m2). Znajduje się w budynku wielorodzinnym (rok budowy 1990) na trzeciej, najwyższej kondygnacji. Do mieszkania przynależy podwójna piwnica. Cały budynek ogrzewany jest gazem z indywidualnej kotłowni (opłaty za ogrzewanie wliczane są w czynsz). Mieszkanie posiada przepiękny widok na pobliskie Góry Izerskie.
Lokal nadaje się do zamieszkania, posiada wszystkie media, wymienioną stolarkę okienną. Klatka schodowa wyremontowana w zeszłym roku.
Mieszkanie to pierwotnie składało się z dwóch osobnych lokali (kawalerki oraz mieszkania dwupokojowego) - w dalszym ciągu istnieje możliwość przywrócenia takiego układu.
Mieszkanie posiada bardzo dobrą lokalizację w bezpośredniej bliskości obiektów handlowych, przedszkola, szkoły i centrum miasta.</t>
  </si>
  <si>
    <t>https://www.otodom.pl/pl/oferta/mieszkanie-z-widokiem-na-gory-izerskie-82-3-m2-ID4cGrR</t>
  </si>
  <si>
    <t>4cGrR</t>
  </si>
  <si>
    <t>Szereg - Reńskie Osiedle - Polecamy</t>
  </si>
  <si>
    <t>Oława, oławski, dolnośląskie</t>
  </si>
  <si>
    <t>Szanowni Państwo, PS Broker Agencja Nieruchomości, ma zaszczyt zaprezentować na sprzedaż dom w zabudowie szeregowej KLIPER, na nowym cichym i spokojnym osiedlu w Oławie w dzielnicy Nowy Otok.
Powierzchnia netto szeregówki 129,24 m2 a użytkowa 98,80 m2.
Dodatkowo* Pomoc w uzyskaniu dofinansowania rządowego z programu „Moje Ciepło”
Dofinansowanie do gruntowej pompy ciepła – to kwota ponad 14 000 zł(maksymalne do 21000zł )*
SKRAJNE DOMY MAJĄ POMIMO BARDZIEJ ATRAKCYJNYCH LOKALIZACJI I WIĘKSZYCH DZIAŁEK TĄ SAMĄ CENĘ CO SEGMENTY ŚRODKOWE.
PARTER
Wiatrołap 2,49 m2
Komunikacja 3,82 m2
WC 1,67m2
Spiżarnia 2,35 m2
Kuchnia 8,57 m2
Salon 20,55 m2
Schody 6,86 m2 pod schodami komórka 4,24 m2
Pomieszczenie gospodarcze 4,90m2
Garaż 17,33 m2
Podest wejściowy 2,92 m2 plus taras 16,10 m2
PIĘTRO
Komunikacja 7,61 m2
Pokój 10,10 m2
Pokój 10,15 m2
Suszarnia 4,45 m2
Siłownia/garderoba 15,61 m2
Łazienka 8,20 m2
Pralnia 1,14 m2
Taras 10,00 m2
Cena: 725 000 zł
Stan mieszkania: stan surowy zamknięty do własnego wykończenia - zdjęcia przedstawiają możliwości aranżacji wnętrza ***
Nieruchomość posiada także: okna trzyszybowe, które zapewniają ciszę, elektryczne rolety okienne montowane na parterach oraz w oknach, od strony południowej na piętrze. Drzwi wejściowe drewniane energooszczędne wyposażone w zamek i elektrozaczep. Ogrzewanie podłogowe na parterze i piętrze. Brama garażowa z napędem elektrycznym. Gruntowe pompy ciepła, wentylacja mechaniczna z odzyskiem ciepła dzięki której straty energii są ograniczone do minimum, dzięki rekuperatorowi którego sprawność wynosi 90%. Oddzielne ściany, czyli brak ścian wspólnych z sąsiednimi budynkami, co oznacza że nie słyszymy dźwięków z domu obok. Domy są zbudowane na płytach fundamentowych - czyli obciążenie budynku rozkładane jest na większą powierzchnię co powoduje że osiadanie budynku nie jest uciążliwe jak przy zwykłych ścianach fundamentowych. Jednym z licznych plusów segmentów jest taras z ogrodem. Na osiedlu oprócz ogromu pięknej zieleni znajduje się plac zabaw dla dzieci i altana.
Doradca: Paweł Szydłowski +4████████1 798Współpracujemy z innymi biurami
W naszej agencji otrzymujecie Państwo szeroki wachlarz pomocy w sprawnym przeprowadzeniu transakcji. Zaczynając od sprawdzenia zdolności kredytowej i pomocy przy jego uzyskaniu, a kończąc na pomocy przy najważniejszych czynnościach prawnych – notarialnych.Niniejsze ogłoszenie nie stanowi oferty handlowej w rozumieniu przepisów art. 66 k.c., a przedstawione dane mają charakter informacyjny
Serdecznie zapraszamy na prezentację! PS Broker Agencja Nieruchomości</t>
  </si>
  <si>
    <t>https://www.otodom.pl/pl/oferta/szereg-renskie-osiedle-polecamy-ID4nBnR</t>
  </si>
  <si>
    <t>4nBnR</t>
  </si>
  <si>
    <t>M2 dla rodziny, ogródek, komórka, garaż, gotowe</t>
  </si>
  <si>
    <t>ul. Poświęcka, Poświętne, Psie Pole, Wrocław, dolnośląskie</t>
  </si>
  <si>
    <t>Wygodne 2-pokojowe mieszkanie z ogródkiem, komórką lokatorską i miejscem postojowym w cenie!. Nie musisz czekać, by urządzić wymarzone mieszkanie. Budynek jest już oddany do użytku! Opiekun nieruchomości:Anna Hudaktel. 602 101 602 Idealna nieruchomość dla rodziny na kameralnym osiedlu z pełną infrastrukturą. Układ pomieszczeń: * Salon z aneksem kuchennym 19,7m2* Pokój 18,39m2*Łazienka 4,33m2* WC 1,79m2* Przedpokój 8,41m2* Ogródek ok. 21m2Komórka lokatorska i miejsce postojowe w cenie ofertowej!Najważniejsze informacje:* Mieszkanie z widokiem na zieleń* Spokojna okolica, dobrze skomunikowana z centrum* Wystawa wschód - zachód* Monitoring 24H* Garaż podziemny * Komórka lokatorska * Termin zakończenia budowy: gotowe* Mieszkanie sprzedawane w stanie deweloperskim - do własnej aranżacji Otoczenie nieruchomości:Cicha i zielona okolica zlokalizowana na północy Wrocławia, na osiedlu Poświętne. Inwestycja cechuje się kameralną niską zabudową oraz nowoczesną architekturą. Dużym atutem jest dobrą komunikacja z resztą miasta. Nieopodal inwestycji znajduje się pętla tramwajowa Poświętne, skąd odjeżdżają tramwaje linii OP, 1, 7, 8, 15, 17, 24 oraz linie autobusowe Polanowice 130, 247, 930. Łatwy dojazd do AOW i S8.Atutem są liczne tereny spacerowo-rekreacyjne.Dojazd autem do:- Centrum Handlowego Marino - 6 minut- Centrum Handlowego Korona - 15 minut. - Najbliższe otoczenie : sklepy osiedlowe, szkoła, przedszkole i żłobek. - Odległość do Rynku to 5,5 km.Rekomendacja Eksperta SDP Nieruchomości:Tę nieruchomość polecam rodzinom i parom, chcącym zamieszkać w spokojnej i cichej okolicy z pełną infrastrukturą, która jest doskonale skomunikowana z resztą miasta.Niedostateczne środki? To nie problem!Pomagamy w uzyskaniu finansowania na tę i inne nieruchomości. Zadzwoń i zapytaj o szczegóły.Zapraszam do kontaktu i na spotkanie w naszym biurze, gdzie porównamy oferty nieruchomości z ponad kilkudziesięciu wrocławskich inwestycji. Opiekun oferty:Anna Hudaktel. 602 101 602</t>
  </si>
  <si>
    <t>https://www.otodom.pl/pl/oferta/m2-dla-rodziny-ogrodek-komorka-garaz-gotowe-ID4nfgf</t>
  </si>
  <si>
    <t>4nfgf</t>
  </si>
  <si>
    <t>Komfortowe 2-pokojowe</t>
  </si>
  <si>
    <t>ul. Zamkowa, Tczew, tczewski, pomorskie</t>
  </si>
  <si>
    <t xml:space="preserve">Kamienica Zamkowa to nowoczesny apartamentowiec z halą garażową i częścią usługową, usytuowany w najpiękniejszej lokalizacji w Tczewie. Bliskość centrum miasta, sąsiedztwo Bulwaru Nadwiślańskiego wraz z naszą dbałością o architekturę i wykończenie, nadaje tej inwestycji wyjątkowy charakter.
Mieszkania są oddane do użytku i gotowe do odbioru. Istnieje możliwość kupna miejsca postojowego w hali garażowej.
Dojazd do Trójmiasta zajmuje tylko pół godziny koleją, dojście do dworca PKP w Tczewie - 15 minut.
Oferujemy również inne mieszkania w tej inwestycji. Po więcej informacji zapraszamy na: </t>
  </si>
  <si>
    <t>https://www.otodom.pl/pl/oferta/komfortowe-2-pokojowe-ID4ny65</t>
  </si>
  <si>
    <t>4ny65</t>
  </si>
  <si>
    <t>Studio w stylu włoskich lat 70-tych | Port Praski</t>
  </si>
  <si>
    <t>ul. Józefa Sierakowskiego, Stara Praga, Praga-Północ, Warszawa, mazowieckie</t>
  </si>
  <si>
    <t>Przedstawiam wyjątkowe mieszkanie na sprzedaż, będące częścią renomowanego kompleksu Port Praski. Ta niezwykła realizacja od kilku lat rozwija się, a wraz nią cała Praga Północ, przyciągając do siebie coraz więcej zwolenników - również tych z młodego pokolenia. Prezentowana nieruchomość to studio z wydzieloną strefą sypialnianą. Całość projektowana z wyjątkową starannością i dbałością o każdy detal. Najwyższa jakość materiałów, modna część miasta, bliskość usług, dogodna komunikacja czy bogata oferta gastronomiczna to hasła, idealnie opisujące tę nieruchomość i ofertę.Mieszkanie posiada także dużą komórkę lokatorską w formie oddzielnego, zamykanego pomieszczenia o wielkości 3,5 m2Idealne dla singli, na inwestycję lub doskonałe pied-a-terre w Warszawie w świetnej lokalizacji. W trakcie budowy jest most pieszo-rowerowy, który umożliwi kolejne połączenie Pragi z Powiślem, tym samym przyczyni się do zwiększenia atrakcyjności dzielnicy.* Nieruchomość:Układ funkcjonalny tego lokalu przeszedł zupełną metamorfozę w stosunku to pierwotnego planu. Wszystkie ściany wewnętrzne zostały wyburzone. Dzięki tym zmianom na przestrzeni nieco ponad 30 metrów kwadratowych udało się zmieścić przestronną strefę dzienną, łazienkę, wydzieloną sypialnię oraz reprezentacyjną strefę wejściową. Każdy element tego lokalu został dopasowany intencjonalnie. Kontrast między ciemnymi ścianami przedpokoju, pokrytymi purpurową farbą o wysokim połysku, a dalszą częścią mieszkania sprawił, że strefa dzienna w odcieniach beżu i bieli zdaje się być jeszcze bardziej przestronna i lekka. Ościeżnicę łączącą te dwa pomieszczenia zdobi marmur, który pojawia się także w kuchni. Jej blat został wykończony przy użyciu tego samego kamienia. Jest nim Biała Marianna – śląski marmur, popularny w Polsce w XVII wieku - dziś w zasadzie już niedostępny. Centralną część strefy dziennej stanowi okrągły stół, otoczony prostymi drewnianymi krzesłami marki TON. Nad nim wisi żyrandol Paolo Veniniego z lat 60-tych, który wieczorową porą zdobi całe pomieszczenie pięknymi refleksami. Tuż obok kuchnia, w całości wykonana na zamówienie, jej kolory nawiązujące znowuż do purpury cudownie komponują się z kamieniem. Sama część kuchenna wyposażona jest we wszelkie niezbędne sprzęty AGD tj. lodówkę, zmywarkę, pralkę. Po prawej stronie zabudowy kuchennej znajduje się obszerna szafa.Drugą stronę salonu stanowi strefa wypoczynkowa, wyposażona w wygodną sofę, stolik kawowy, a także lustrzany parawan, który zwiększa dopływ dziennego światła. Całość dopełniają piękne egzotyczne rośliny oraz drewniany parkiet, ułożony w jodłę francuską. Komponuje się on idealnie z draperią beżowych zasłon i drewnianymi oknami. Świetnym rozwiązaniem okazała się także niewielka przestrzeń wydzielona na sypialnię. Jest oddzielona od reszty mieszkania przesuwnymi drzwiami. Wypełniona w całości przez łóżko, jednak nie stanowi to problemu, gdyż wnętrze ma służyć jedynie odpoczynkowi. Mosiężne panele i geometryczne tapety Asteré, tworzą się nastrojową atmosferę sprzyjającą wyciszeniu, ukojeniu i regeneracji.Łazienkę zdobią czarne płytki na ścianach, wraz z marmurową podłogą. Ciemne wnętrze dopełniają mosiężne dodatki. Wyposażona jest kabinę prysznicową.▪️ Budynek:Został on zaprojektowany przez pracownię Macieja Kuryłowicza, układem oraz architekturą nawiązuje do śródmiejskiej zabudowy kwartałowej. Apartamentowiec wyróżnia się wyjątkową kolorystyką, a także użyciem zarówno tradycyjnych jak i technologicznie zaawansowanych materiałów elewacyjnych. Kamieniczny podział fasady budynku nawiązuje do historycznej architektury Starej Pragi. Daje to niepowtarzalny klimat na skale wszystkich pozostałych dzielnic Warszawy. ▪️ Warunki nabycia: Mieszkanie 30,74 m2 + komórka lokatorska 3,54 m2 - 1 000 000 złZapraszam do zapoznania w czasie osobistej wizyty w tym wyjątkowym mieszkaniu!Oferta wysłana z programu dla biur nieruchomości ASARI CRM ()</t>
  </si>
  <si>
    <t>https://www.otodom.pl/pl/oferta/studio-w-stylu-wloskich-lat-70-tych-port-praski-ID4nkCZ</t>
  </si>
  <si>
    <t>4nkCZ</t>
  </si>
  <si>
    <t>Samo Centrum - wszystko blisko /Spodek/Ktw/Dworzec</t>
  </si>
  <si>
    <t>ul. Sokolska, Śródmieście, Katowice, śląskie</t>
  </si>
  <si>
    <t>Oferujemy Państwu do sprzedaży kompaktowe 2-pokojowe mieszkanie znajdujące się w samym sercu Katowic w wieżowcu przy ul. Sokolskiej 33.W bezpośrednim sąsiedztwie znajdują się liczne przystanki: autobusowe i tramwajowe, dworzec PKP, sklepy, galerie handlowe, placówki usługowe, restauracje, ośrodki sportowe (m.in. siłownie, szkoły tańca, Spodek) oraz kulturalne (m.in. NOSPR, Filharmonia Śląska). Wszystko w zasięgu ręki.Świetna lokalizacja również z uwagi na duży potencjał inwestycyjny.Mieszkanie o pu 36,80 m2 składa się z salonu połączonego z kuchnią, sypialni, łazienki z WC oraz przedpokoju.Wszystkie pomieszczenia ustawne dające swobodę własnej aranżacji.Standard mieszkania dobry nadający się do zamieszkania bez konieczności ponoszenia dużych nakładów finansowych na remont.Kuchnia zabudowana meblami na wymiar i wyposażona w płytę elektryczną, mikrofalówkę i lodówkę.Na wyposażeniu łazienki prysznic, WC, pralka, umywalka z szafką i lustro.W przedpokoju szafa typu komandor z lustrem.W pokojach na podłogach panele. W łazience i kuchni płytki. Ściany w gładziach pomalowane.Meble ruchome w pokojach nie są objęte ofertą sprzedaży. Istnieje możliwość ich zakupu w drodze indywidualnych negocjacji. Miesięczne opłaty do spółdzielni z wysoką zaliczką na CO, śmieci (1os.) oraz woda (1m3) to koszt rzędu 812,15 zł.W przypadku tej oferty koszty pośrednictwa naszego biura pokrywa Sprzedający. Prezentacja nieruchomości po wcześniejszym kontakcie telefonicznym.Gorąco polecamy i zapraszamy do oglądania i współpracy !Niniejsze ogłoszenie nie stanowi oferty w rozumieniu art. 66 kc.Bliższe informacje dostępne w biurze pod podanym numerem telefonu oraz adresem email.</t>
  </si>
  <si>
    <t>https://www.otodom.pl/pl/oferta/samo-centrum-wszystko-blisko-spodek-ktw-dworzec-ID4ohxm</t>
  </si>
  <si>
    <t>4ohxm</t>
  </si>
  <si>
    <t>Atrakcyjne, umeblowane mieszkanie 76 m2</t>
  </si>
  <si>
    <t>Szwederowo, Bydgoszcz, kujawsko-pomorskie</t>
  </si>
  <si>
    <t xml:space="preserve">Makler Nieruchomości poleca na sprzedaż eleganckie mieszkanieo powierzchni 76 m2, w prestiżowym budynku na zamkniętym osiedlu.Mieszkanie jest wykończone i gotowe do zamieszkania od zaraz!w skład którego wchodzą:- salon wielkości 35 metrów kwadratowych,- jedna sypialnia z zabudowaną dużą szafą wnękową,- łazienka z kabiną prysznicową oraz wanną z jacuzzi,- oddzielne WC,- przedpokój z dużą zabudowaną szafą.- osobna jasna kuchnia z pełnym wyposażeniem.Istnieje możliwość przeniesienia kuchni w formie aneksu do dużego salonu tworząc w sposób dodatkowy pokój.Okna i balkon usytuowane na słoneczną stronę południową oraz na wewnętrzne patio osiedla.Teren wokół budynku zadbany, z placem zabaw, bogata roślinnością, ogrodzony i zamknięty.Do mieszkania przynależy piwnica.Istnieje możliwość dokupienia garażu murowanego znajdującego się na terenie osiedla za dodatkowe 40 000 zł.  Serdecznie polecam i zapraszam na prezentację. </t>
  </si>
  <si>
    <t>https://www.otodom.pl/pl/oferta/atrakcyjne-umeblowane-mieszkanie-76-m2-ID4o4fw</t>
  </si>
  <si>
    <t>4o4fw</t>
  </si>
  <si>
    <t>4pok., dwupoziomowe, balkon, k.lokatorska, Maślice</t>
  </si>
  <si>
    <t>ul. Królewiecka, Maślice, Fabryczna, Wrocław, dolnośląskie</t>
  </si>
  <si>
    <t>Oferta wyłącznie w naszym biurze.Wrocław, Maślice, ul. Królewiecka.Na sprzedaż 4 pokojowe, dwupoziomowe mieszkanie o powierzchni79,76m2,  zlokalizowane na 2 piętrze w 2 piętrowym budynku wybudowanym w 2017r. (budynek nie posiada windy).OPIS MIESZKANIAPierwszy poziom 59m2- salon połączony z kuchnią 41,77m2 z wyjściem na balkon 5,56m2- sypialnia 7,84m2,- przedpokój 4,61m2,- łazienka 4,78m2.Drugi poziom(antresola) 20,76m2 (wg Księgi Wieczystej):- pokój 9,50m2,- pokój 13,40m2 ze schowkiem 6,52m2 (możliwość zrobienia łazienki - jest przyłącze wod-kan),- przedpokój 5,97m2 ze schowkiem 12,93m2Powierzchna antresoli mierzona po podłodze około 48,32m2.Cały lokal mieszkalny mierzony po podłodze około 107,32m2!!!Do mieszkania przynależy komórka lokatorska 1,58m2, zlokalizowana na piętrze obok mieszkania.Na parterze do dyspozycji mieszkańców rowerownia.Mieszkanie zlokalizowane z dala od głównej ulicy. Z salonu widok na zieleń.Mieszkanie trzystronne: salon z kuchnią oraz pokój na antresoli- południowy wschód, pokój na pierwszym poziomie oraz pokój na antresoli - zachód.Lokal sprzedawany bez mebli ruchomych oraz sprzętu AGD wolnostojącego.Na na antresolę prowadzą bukowe schody. W kuchni zainstalowana bateria z filtrem wody pitnej.Ogrzewanie: osiedlowa kotłownia (w mieszkaniu kaloryfery z głowicą termostatyczną z programatorem).Czynsz: 830,00 zł.Pod blokiem dla mieszkańców parking (szlaban otwierany pilotem lub telefonem).OPIS KOMUNIKACJIAutobus 101, 123 100m, 102,103 500mStacja PKP: Stadion 3,3km, Pracze 3,5km.Wjazd na Autostradową obwodnicę Wrocławia 3km.W najbliższych latach powstanie komunikacja tramwajowa na Maślice.OPIS OTOCZENIA I OKOLICYW okolicy blisko zespół Szkolno - Przedszkolny, żłobek, centrum handlowe N-Park oraz Pasaż Królewiecki, Siłownia, Brico, Stacja benzynowa, Lidl, Biedronka.Tereny rekreacyjne nad odrą, park Pracki oraz Maślicki z Pumptrack, Strzeżone kąpielisko „Staw Królewiecki” oraz „Glinianki”.Do odstąpienia również ogródek działkowy o powierzchni 300m2 z domkiem murowanym w ROD Poziomka, zlokalizowany 750m od mieszkania. Na działce studnia z możliwością podłączenia pompy elektrycznej.Zainteresowała Cię ta oferta? Zadzwoń i dowiedz się więcej.Opiekun oferty:Izabela Kościukiewicz - licencja nr 23684tel. 732-601-606"Wieluński Nieruchomości"Pomagamy klientom w uzyskaniu kredytu na najlepszych warunkach.Oferujemy bezpłatną konsultację doradcy kredy</t>
  </si>
  <si>
    <t>https://www.otodom.pl/pl/oferta/4pok-dwupoziomowe-balkon-k-lokatorska-maslice-ID4owst</t>
  </si>
  <si>
    <t>4owst</t>
  </si>
  <si>
    <t>Mieszkanie z ogródkiem w Ciechocinku (M7)</t>
  </si>
  <si>
    <t>Ciechocinek, aleksandrowski, kujawsko-pomorskie</t>
  </si>
  <si>
    <t>Mieszkanie usytuowane na parterze budynku przy ul. Topolowej, składające się z salonu z aneksem kuchennym, dwóch pokoi łazienki i WC. Do mieszkania przynależy balkon z bezpośrednim zejściem do ogródka. Okna oraz balkon od strony południowo - wschodniej. W mieszkaniu ogrzewanie podłogowe i rolety zewnętrzne.
Inwestycja przy ul. Topolowej w Ciechocinku to nowoczesny, pięciokondygnacyjny budynek, składający się z garażu usytuowanego na pierwszej kondygnacji – nieznacznie zagłębionym parterze oraz czterech kondygnacji, na których rozmieszczonych zostało 79 lokali mieszkalnych. Do mieszkań usytuowanych na pierwszej kondygnacji mieszkalnej przylegać będą ogródki z bezpośrednim zejściem z balkonu. 
Na terenie nieruchomości oprócz zieleni i utwardzonych dojść i dojazdów, urządzonych zostanie również 35 indywidualnych miejsc postojowych, w tym 5 przystosowanych dla osób niepełnosprawnych. Miejsca postojowe także przeznaczone są do sprzedaży.
Do budynku zaprojektowane są dwa osobne wejścia, od strony drogi – ul. Topolowej oraz z terenu nieruchomości od strony projektowanych na terenie nieruchomości miejsc postojowych. Oba wejścia połączone są wspólnym korytarzem, a przy każdym z tych wejść znajduje się klatka schodowa oraz winda, którymi można dotrzeć do dowolnego mieszkania.
Każde mieszkanie składa się z salonu z aneksem kuchennym, łazienki i minimum jednego pokoju, w standardzie ze wszystkimi rozprowadzeniami hydraulicznymi i elektrycznymi.
Mieszkania wyposażone zostaną w indywidualne, dwufunkcyjne, nowoczesne piece gazowe, które służyć będą zarówno do ogrzania mieszkania jak i ciepłej wody użytkowej. Indywidualne piece pozwalają w łatwy sposób dostosować do własnych wymagań temperaturę panującą w mieszkaniu, jak i temperaturę ciepłej wody ale również umożliwiają kontrolowanie przeznaczonych na to wydatków.
Rozprowadzona w każdym mieszkaniu instalacja ogrzewania podłogowego i brak grzejników sprawia, że w mieszkaniach jest więcej przestrzeni do wykorzystania/aranżacji.</t>
  </si>
  <si>
    <t>https://www.otodom.pl/pl/oferta/mieszkanie-z-ogrodkiem-w-ciechocinku-m7-ID4jzjQ</t>
  </si>
  <si>
    <t>4jzjQ</t>
  </si>
  <si>
    <t>Energooszczędny Smart Dom z ogrodem i kominkiem.</t>
  </si>
  <si>
    <t>Dąbrowa, Miszewko, Żukowo, kartuski, pomorskie</t>
  </si>
  <si>
    <t>Szukasz nowoczesnego, energooszczędnego domu z ogrodem, w dobrze skomunikowanym miejscu, w pobliżu trójmiasta? W miejscu gdzie będziesz mógł odpocząć i przypomnisz sobie co to spokój i relaks?Dom, którego szukasz położony jest w Miszewku, blisko Gdańska i Gdyni. Działka.Działka ma powierzchnię 700 m2, jest całkowicie ogrodzona i ma urządzony ogród. Szpalery zieleni wzdłuż granic działki, zapewniają prywatność i komfort wypoczynku oraz świetne warunki do aktywnego spędzania czasu na świeżym powietrzu.W garażu jest miejsce na zaparkowanie samochodu. Przed garażem można postawić drugie auto.Wnętrze. Przestrzennie i komfortowo.Na parterze.Duża, otwarta kuchnia wyposażona w sprzęty AGD, z dużą przestrzenią roboczą oraz jadalnią.Duży salon. Jest tu strefa telewizyjna, kominek i sporo miejsca na spędzanie czasu w szerszym gronie znajomych. Ponadto z salonu jest bezpośrednie wyjście na ogród gdzie możemy dodatkowo się zrelaksować.Stylowa łazienka.Pomieszczenie gospodarcze z przejściem do garażu i kotłowni.Na piętrze. Duża, główna sypialnia, z dodatkowym miejscem na homeworking,Trzy mniejsze pokoje - sypialnie,Łazienka z prysznicem i wanną,GarderobaInformacje dodatkowe:Szeroka, wygodna, zdalnie otwierana brama wjazdowa i garażowa.System alarmowy, monitoring.Wielofunkcyjny system Smart Dom. Zdalne sterowanie urządzeniami za pomocą aplikacji „inteligentnego domu”.Ogrzewanie OZE. Zestaw: pompa ciepła Neoheat 9 kw z instalacją fotowoltaiczną.Ale to nie wszystko.W pobliżu masz to, co potrzebne na co dzień:Przedszkola, szkoła podstawowa, Lidl, Biedronka, liczne punkty usługowe, restauracje, PKM Rębiechowo.Nie zastanawiaj się zbyt długo, domów w takiej lokalizacji i w takiej atrakcyjnej cenie nie ma zbyt wiele. Nie czekaj, zadzwoń teraz. Umów się. Obejrzyj i przekonaj się, że ten dom czeka właśnie na Ciebie. Zadzwoń i spełnij marzenie o własnym domu z ogrodem!TEKTON PROPERTY TO NAJLEPSZE BIURO NIERUCHOMOŚCI W POLSCE WG KONKURSU LIDER NIERUCHOMOŚCI OTODOM 2020.Znajdź nas w swoim mieście: Gdańsk, ul. Chmielna 10 - Warszawa, Plac Dąbrowskiego 1/311 - Wrocław, ul. Kasztanowa 3A/118 - Kraków, ul. Józefitów 7/4 - Poznań, ul. Rembertowska 15B/2 - Łódź, ul. Zachodnia 70 pok. 223.Podejmując współpracę z przedstawicielami Tekton Property zyskujesz:- oszczędność czasu- weryfikację dokumentów od strony formalno-prawnej- wsparcie agenta na każdym etapie transakcji- pomoc przy uzyskaniu kredytu hipotecznego w kilkunastu bankach- wgląd do umów przed zawarciem aktu notarialnego u sprawdzonych Notariuszy- własne analizy makroekonomiczne i raporty z prowadzonych działań- dostęp do cen transakcyjnych z okolicy Skontaktuj się z opiekunem oferty, a on poprowadzi Cię przez wszystkie etapy transakcji.Zapraszamy do współpracy!Niniejsze ogłoszenie nie stanowi oferty handlowej w rozumieniu przepisów art. 66 k.c., a przedstawione dane mają charakter informacyjny.</t>
  </si>
  <si>
    <t>https://www.otodom.pl/pl/oferta/energooszczedny-smart-dom-z-ogrodem-i-kominkiem-ID4lCnS</t>
  </si>
  <si>
    <t>4lCnS</t>
  </si>
  <si>
    <t>Myśliwska I 43m I 2 pokoje I BK 2% I BEZPOŚREDNIO</t>
  </si>
  <si>
    <t xml:space="preserve">
Na sprzedaż piękne mieszkanie o powierzchni 43.38m2, położone na ulicy Myśliwskiej w Krakowie, w inwestycji Solar Garden. To mieszkanie z rynku pierwotnego, które obecnie jest w trakcie remontu. Posiada projekt i wizualizację, które są widoczne na zdjęciach i dokładnie oddają, jak będzie wyglądać mieszkanie po remoncie.Mieszkanie składać się będzie z dwóch pokoi, w tym jednego z aneksem kuchennym, łazienki oraz przedpokoju. Dodatkowym atutem jest duży ogródek, który zapewnia przestrzeń do relaksu i odpoczynku na świeżym powietrzu.Lokalizacja jest niezwykle atrakcyjna. Ul. Myśliwska znajduje się w spokojnej i zielonej części Krakowa, jednocześnie zapewniając łatwy dostęp do centrum miasta i innych ważnych punktów. W pobliżu znajdują się sklepy, restauracje, szkoły i przystanki komunikacji miejskiej. Około 5 km do Rynku Głównego.
Cena sprzedaży wynosi 694 000 PLN. To doskonała okazja, aby stać się właścicielem tego uroczego mieszkania po remoncie w jednym z najpiękniejszych miast w Polsce.
Miejsce parkingowe w garażu podziemnym oraz komórka lokatorska.
Możliwość kredytowania w programie BK 2%
Zakończenie prac remontowych planowane są na wrzesień 2023.
Posiadam również bliźniacze mieszkanie w tej inwestycji znajdujące się na 2 piętrze.
Jeśli jesteś zainteresowany/a, proszę o kontakt. Chętnie odpowiem na wszystkie pytania i umówię się na prezentację mieszkania.Nie przegap tej okazji! Zapraszam do zakupu tego wspaniałego mieszkania z rynku pierwotnego na ulicy Myśliwskiej w Krakowie.Pozdrawiam,Kamil
BEZPOŚREDNIO, BEZ PROWIZJI</t>
  </si>
  <si>
    <t>https://www.otodom.pl/pl/oferta/mysliwska-i-43m-i-2-pokoje-i-bk-2-i-bezposrednio-ID4miWw</t>
  </si>
  <si>
    <t>4miWw</t>
  </si>
  <si>
    <t>Mieszkanie z potencjałem na osiedlu Nałkowskich</t>
  </si>
  <si>
    <t>ul. Jana Samsonowicza 27, Wrotków, Lublin, lubelskie</t>
  </si>
  <si>
    <t>Witam, mam do zaoferowania czteropokojowe mieszkanie w doskonałej lokalizacji przy ul. Samsonowicza 27. Wokół budynku jest dużo przestrzeni na której dominuje zieleń. Nie ma tu efektu przytłaczającego blokowiska nowych osiedli. Ze względu na lokalizację mieszkanie nadaje się zarówno dla rodzin z dziećmi jak i osób starszych. W pobliżu znajduje  się żłobek, przedszkole, szkoła, ośrodek zdrowia, apteka,  lokalne sklepy osiedlowe jak i duże markety, kościół. Wszystko dostępne po kilkuminutowym spacerze. No i oczywiście bliskość terenów rekreacyjnych Zalew Zemborzycki, Las Dąbrowa, Stary Gaj itp. Budynek po termo modernizacji z nową, nowoczesną windą, klatki schodowe i korytarze po remoncie prezentują się doskonale, monitoring video na zewnątrz i wewnątrz budynku zapewnia bezpieczeństwo. Wymienione piony elektryczne i przyłącza do mieszkań, więc z podłączeniem płyty indukcyjnej nie będzie problemu. Wymienione okna w mieszkaniu na  PCV. Bardzo słoneczne i ciepłe mieszkanie, gdzie przez okno nie widzi się sąsiada z naprzeciwka.  W mieszkaniu można zamieszkać. Jego modernizacja i własna aranżacja pozwoli stworzyć sobie swoje wymarzone mieszkanie
 W skład mieszkania wchodzą:
salon 16m2
pokój 11m2
pokój 11m2
pokój 6m2
kuchnia oddzielna 8m2
2 przedpokoje z miejscem na szafy
łazienka
wc  oddzielne
balkon 
piwnica 
Zapraszam do kontaktu telefonicznego jak i osobistego, udzielę wszelkich informacji.
Oferta prywatna. Cena do rozsądnej negocjacji. Biurom nieruchomości dziękuję.</t>
  </si>
  <si>
    <t>https://www.otodom.pl/pl/oferta/mieszkanie-z-potencjalem-na-osiedlu-nalkowskich-ID4moO1</t>
  </si>
  <si>
    <t>4moO1</t>
  </si>
  <si>
    <t>Na sprzedaż dom Rybnik-Radziejów! Duża działka!</t>
  </si>
  <si>
    <t>ul. Trzech Krzyży, Radziejów, Rybnik, śląskie</t>
  </si>
  <si>
    <t>DOM WYPŁACONY ZE SZKÓD GÓRNICZYCH.Na sprzedaż dom o powierzchni 110 m2 usytuowany na działce o powierzchni 2688 m2. Na parterze znajdują się trzy pokoje, kuchnia, łazienka, przedpokój.Na piętrze ten sam układ.Wybudowany w 1970 r z cegły. Okna plastikowe, na podłogach panele i płytki, ogrzewanie węglowe, piec z podajnikiem. Dom w całości podpiwniczony. Dach płaski pokryty papą. Prąd, wodociąg miejski, szambo.
Możliwość podziału działek.
Bardzo ładna i zielona okolica. Łatwy dojazd do centrum miasta.Cena do negocjacji.Zapraszam na prezentację.</t>
  </si>
  <si>
    <t>https://www.otodom.pl/pl/oferta/na-sprzedaz-dom-rybnik-radziejow-duza-dzialka-ID4lYBy</t>
  </si>
  <si>
    <t>4lYBy</t>
  </si>
  <si>
    <t>ecosegmenty pompa ciepła rekuperacja kredyt 2%</t>
  </si>
  <si>
    <t>Lesznowola, Lesznowola, piaseczyński, mazowieckie</t>
  </si>
  <si>
    <t xml:space="preserve">Eco segment, w inwestycji eco botanica  w gminie Lesznowola przy ul Botaniczna1, Mroków. 
Gotowy do wprowadzenia lub w stanie deweloperskim. Pięć pokoi lub 3 pokoje. Na parterze salon z aneksem kuchennym, przedpokój z wnęką na szafę, WC z kabiną prysznicową 3,2M2, pod schodami miejsce na dodatkową zabudowę. Na piętrze: 2 sypialnie po 13 m2 każda oraz obszerna widna łazienka z wanną 8M2. Na strychu z małymi skosami otwarta przestrzeń na hobby lub na dodatkową sypialnie lub dwie sypialnie, w zależności od potrzeb. Strych wysoki z oknem balkonowym oraz dodatkowo z dachowym. Na strychu znajduje się także wygospodarowana przestrzeń do przechowywania, DUŻY SCHOWEK. Na wszystkich poziomach ogrzewanie podłogowe, duże okna do podłogi. Segment bardzo słoneczny, okna wychodzą na dwie strony świata, południowy/zachód. Ogrzewanie i ciepła woda z pompy ciepła, podłączenie do fotowoltaiki oraz zainstalowany system rekuperacji sprawia, że dom jest energooszczędny i tani w utrzymaniu. Ogród 120m2 do własnej aranżacji  i dwa miejsca postojowe z podłączeniem do elektrycznego tankowania. Jest możliwość zrobienia wiaty nad mijscami postojowymi ,lub zabudowania na terenie ogródka domku ogrodowego. Do dyspozycji mieszkańców rowerownia.
     spokojna lokalizacja:
Szybki dojazd do Centrum miasta Pałac Kultury w 28 min samochodem 30km
Centrum Handlowe Janki 14km  
Lotnisko 26km /26min 
Mordor 26km /23 min 
Grójec 23km/20min
Tarczyn 8km/9 min 
Nadarzyn 9 km /13min 
Piaseczno 18km /24min
Magdalenka 9km /12min 
Autobus L-4, 728, 703, 721
Blisko dwie trasy szybkiego ruchu S8 i S7 i trasa krakowska, Puławska bis 
W niedalekim sąsiedztwie: szkoła {1,1km }, przedszkole , sklepy, usługi, poczta, przychodnia zdrowia, apteka , restauracja, kawiarnia, kościół, pizzeria.
ścieżki rowerowe i tereny rekreacyjne, stadniny konne, 
Centrum Sportu w Mrokowie
Duże okna, balkony francuskie, wychodzące na 2 strony świata.
Słoneczna przestrzeń dzienna 
Nowoczesne technologie, niskoenergetyczne technologie, niskie koszty utrzymania:
Rekuperacja, zawsze czyste, świeże powietrze w twoim domu(czyli wymiana powietrza, sterowana z aplikacji, ochrona przed smogiem, oczyszczanie powietrza z PM2,5 I PM10, z grzybów, bakterii, wirusów, pleśni, wilgoci, oszczędność energii na ogrzewanie nawet do 30%.
Ogrzewanie podłogowe we wszystkich pomieszczeniach, nawet na poddaszu 
Pompa ciepła która ogrzewa wszystkie pomieszczenia oraz ciepłą wodę 
Podłączenie do fotowoltaiki 
Wysokość pomieszczeń 280cm.
Odrębna własność.
Nie płacisz podatku PCC 2%.
posiadamy w ofercie także większy segment 108 m2 do wykończenia, w stanie deweloperskim lub gotowy pod klucz 
dysponujemy ekipą wykończeniową, która może wykończyć dom w stanie deweloperskim.
porady architekta wnętrz gratis 
pomoc w uzyskaniu kredytu 
Uwaga: Cena segmentu z ogłoszenia w stanie deweloperskim.
Zapraszamy na umówienie spotkania pokazowego.
ODWIEDŹ NASZĄ STRONĘ INTERNETOWĄ : 
</t>
  </si>
  <si>
    <t>https://www.otodom.pl/pl/oferta/ecosegmenty-pompa-ciepla-rekuperacja-kredyt-2-ID4kntV</t>
  </si>
  <si>
    <t>4kntV</t>
  </si>
  <si>
    <t>Możliwy montaż fotowoltaiki!</t>
  </si>
  <si>
    <t xml:space="preserve">OFERTA NA WYŁĄCZNOŚĆ!!!Do sprzedania pięciopokojowy apartament o pow. 101,58m2 położony na parterze w nowoczesnym domu jednorodzinnym dwulokalowym (z niezależnymi wejściem) przy ul. Sucharskiego 74b.Apartament będzie składał się z: wiatrołapu, przedpokoju z komunikacją, salonu połączonego z jadalnią i aneksem kuchennym, 4 pokoi, łazienki z wc, wc, garderoby i pomieszczenia technicznego.Nieruchomość sprzedawana jest w stanie deweloperskim. Na ścianach tynki gipsowe, na podłodze wylewka. Ogrzewanie oraz ciepłą wodę zapewni pompa ciepła. W całym apartamencie ogrzewanie podłogowe. Do apartamentu przynależy prawo wyłączonego korzystania z ogródka o pow. 146,04m2  oraz udział w częściach wspólnych. Miejsce parkingowe znajduje się przy budynku.MOŻLIWY MONTAŻ PANELI FOTOWOLTAICZNYCH NA DACHU!Możliwe jest wykonanie na tej powierzchni 2-3 mieszkań (na jednej księdze wieczystej) pod wynajem.Planowany termin zakończenia inwestycji I kwartał 2024r.Kupujący nie płaci PCC.W okolicy zabudowa jednorodzinna, sklep, przystanki komunikacji miejskiej, szkoła, przedszkole.Zapraszam osoby zainteresowane.Więcej ofert znajdziecie Państwo na naszej stronie internetowej Pośrednik odpowiedzialny zawodowo za wykonanie umowy pośrednictwa: Dagmara Szafran (licencja nr: 24838 )-ap7 group oświadcza, iż posiada obowiązkowe ubezpieczenie od odpowiedzialności cywilnej podmiotów uczestniczących w gospodarce nieruchomościami (polisa PZU S.A. nr 1045653956).Ogłoszenie nie stanowi oferty handlowej w rozumieniu art. 66 kodeksu cywilnego. </t>
  </si>
  <si>
    <t>https://www.otodom.pl/pl/oferta/mozliwy-montaz-fotowoltaiki-ID4jc7o</t>
  </si>
  <si>
    <t>4jc7o</t>
  </si>
  <si>
    <t>Dwupoziomowe mieszkania z niezależnym wejściem !!</t>
  </si>
  <si>
    <t>ul. Gdyńska, Słupsk, pomorskie</t>
  </si>
  <si>
    <t>BEZCZYNSZOWE, DWUPOZIOMOWE MIESZKANIE Z ODDZIELNYM WEJŚCIEM !Mamy przyjemność zaprezentować Państwu czteropokojowe mieszkanie o powierzchni całkowitej 90m2 , usytuowane w domu na ul. Gdyńskiej.Nieruchomość składa się z :Piwnica : powierzchnia ok 7,11 m2Parter : powierzchnia 32,88 m2:-Przedpokój-Salon z aneksem kuchennym-Garderoba-Łazienka z wannąPiętro powierzchnia 32,40 m2-2 sypialnie-Łazienka z toaletą-PrzedpokójPoddasze ze skosami powierzchnia 11,02 m2UWAGA - mieszkanie świeżo po remoncie dwóch łazienek !Układ pomieszczeń z jednej strony tworzy przytulną przestrzeń tworzącą komfort i wygodę, z drugiej strony każdy z mieszkańców może liczyć na odrobinę azylu. Wokół domu rozciąga się zielona przestrzeń. Ogród przedziera się do każdej sypialni, kuchni i salonu.Ogrzewanie oraz ciepła woda z nowego dwu funkcyjnego piecyka gazowego.Rewelacyjne położenie domu! Doskonała LOKALIZACJA zapewniająca spokój od zgiełku miasta, a jednocześnie bliskość centrum oraz dogodne połączenie komunikacyjne!!!POLECAMY SZCZEGÓLNEJ UWADZE!!!</t>
  </si>
  <si>
    <t>https://www.otodom.pl/pl/oferta/dwupoziomowe-mieszkania-z-niezaleznym-wejsciem-ID4opWK</t>
  </si>
  <si>
    <t>4opWK</t>
  </si>
  <si>
    <t>Komfortowe/2balkony/parter/zamknięty teren/centrum</t>
  </si>
  <si>
    <t>ul. Zielona, Szczecinek, szczecinecki, zachodniopomorskie</t>
  </si>
  <si>
    <t xml:space="preserve">Doskonała lokalizacja do zamieszkania w Szczecinku! Kilka kroków od centrum, gdzie znajdziemy wszystkie niezbędne punkty handlowo-usługowe i jednocześnie dogodne życie w spokojnej części miasta.Lokal położony jest na parterze i składa się z:• przestronnego salonu • dwóch sypialni• otwartej kuchni z zabudową kuchenną• sporej łazienki• holu z zabudowaną szafąMieszkanie posiada:•  elektryczne rolety zewnętrzne•  dwa balkony•  dwie przynależne piwnice o powierzchni 9,26 m2 oraz 22,47 m2•  doprowadzoną instalację teletechniczną znanej szczecineckiej firmy, sprzedającą usługi internetu i telewizji.Mieszkanie jest przestronne i ciepłe.Orientacja okien dwustronna.W pokojach i w kuchni znajdują się plastikowe duże okna, dzięki czemu przez cały dzień wnętrza wypełnia wpadające naturalne światło.Cały teren wspólnoty jest ogrodzony, dostępne są tu miejsca parkingowe wyłącznie dla mieszkańców bloku oraz mały plac zabaw dla dzieci. Kształt budynku skrywa tą wspólną przestrzeń, zachowując prywatność mieszkańców. Wjazd na parking bramą otwieraną na pilota, wejście furtką otwieraną na kod, lub drugą (dostępną od strony centrum) otwieraną kluczem. Blok został oddany do użytku w 2008 roku, zaprojektowano w nim nowoczesne rozwiązania, takie jak monitoring oraz ogrzewanie z sieci miejskiej, podłączone do indywidualnego węzła cieplnego - logotermy, która odpowiada za ogrzewanie mieszkań oraz podgrzanie ciepłej wody użytkowej. Dzięki zamontowanemu termostatowi, można zaprogramować dogodną temperaturę w lokalu, co pozwala obniżyć koszty eksploatacyjne.  Estetycznie wykończona klatka schodowa, szerokie schody, przestronny korytarz przed wejściem do mieszkania, wprowadza komfort dla mieszkańców. Wejście do klatki schodowej zabezpieczone jest domofonem.Lokal stanowi odrębną własność i ma założoną księgę wieczystą.Nowocześnie rozplanowane wnętrze mieszkania oraz metraż, zaspokoi z pewnością potrzeby rodziny z dziećmi oraz osób ceniących sobie dużą otwartą przestrzeń.Zapraszam Cię serdecznie do obejrzenia tej nieruchomości na żywo.A jeśli to nie jest mieszkanie dla Ciebie lub nie tego szukasz, będziemy Ci wdzięczni gdy udostępnisz tę ofertę dalej.Kupując przez nasze biuro nie płacisz nam żadnych opłat.Zapraszam do kontaktu,Anna MajchrzakLicencja Pośrednika w Obrocie Nieruchomościami nr 28628tel. 505 462 922
Chcesz porozmawiać z nami o interesującej Cię ofercie?
A może potrzebujesz pomocy przy sprzedaży swojej nieruchomości?
Z przyjemnością Ci pomożemy i postaramy się odpowiedzieć na wszystkie pytania.
Jesteśmy dostępni pod telefonem, zadzwoń - porozmawiamy.
Zapraszamy Cię również serdecznie do naszego biura, które mieści się w Szczecinku przy ul. Kard. S. Wyszyńskiego 3/4a (na schodkach).
Do zobaczenia.
Oferta wysłana z programu dla biur nieruchomości ASARI CRM ()
</t>
  </si>
  <si>
    <t>https://www.otodom.pl/pl/oferta/komfortowe-2balkony-parter-zamkniety-teren-centrum-ID4oG21</t>
  </si>
  <si>
    <t>4oG21</t>
  </si>
  <si>
    <t>W cenie mieszkania miejsce postojowe</t>
  </si>
  <si>
    <t>ul. Julianowska, Piaseczno, Piaseczno, piaseczyński, mazowieckie</t>
  </si>
  <si>
    <t>Oferuję piękne mieszkanie 2-pokojowe (z możliwością wydzielenia trzeciego pokoju) i garażem podziemnym w Piasecznie przy ul. Julianowskiej. Mieszkanie o powierzchni 64,4 mkw. znajduje się na parterze w dwupiętrowym budynku z 2001 roku. Atutem nieruchomości jest spokojna i cicha okolica z niską zabudową.
Mieszkanie idealne dla młodych par, studentów, rodzin, jak i osób dojeżdżających do Warszawy.
Nieruchomość składa się z:
kuchni połączonej z jadalnią
salonu z wyjściem na balkon
sypialni
łazienki
przedpokoju
(plan mieszkania załączony na zdjęciach)
Cena nieruchomości uwzględnia miejsce postojowe w garażu podziemnym.
Mieszkanie sprzedawane wraz z wyposażeniem i meblami.
Forma własności - pełna własność z Księgą Wieczystą.
Nieruchomość znajduje się na kameralnym osiedlu, ogrodzonym, strzeżonym i całodobowo monitorowanym. Wybudowane przez cenionego dewelopera Kandro 2. Bardzo dobrze zarządzane i administrowane (świetny kontakt z administracją).
Czynsz administracyjny 550 zł (w tym ochrona, fundusz remontowy, ogrodnik, wywóz śmieci, utrzymanie terenu, sprzątanie klatek co poniedziałek), media (woda, gaz i prąd rozliczane są wg. zużycia).
W mieszkaniu znajduje się również nowy 2-funkcyjny piec gazowy oraz filtr do wody marki Zepter.
Osiedle wyposażone jest też w nowy plac zabaw dla dzieci oraz siłownię (realizacja w 2016 roku), a to wszystko w bardzo ładnie utrzymanej zieleni (dba o to firma ogrodnicza która pojawia się na osiedlu wiosną oraz jesienią).
W sąsiedztwie znajdują się centra handlowe (Auchan, Leroy Merlin, Media Markt, Decathlon, Piotr i Paweł i wiele innych) i sklepy osiedlowe (Żabka, Biedronka) oraz przedszkola i szkoły. 90 m od osiedla znajduje się przystanek autobusowy z autobusem jadącym prosto do Metra Wilanowska. Lokalizacja osiedla sprawia, że blisko jest zarówno do centrum Piaseczna, jak i do Konstancina oraz do lasu Kabackiego (ścieżka rowerowa prowadząca od osiedla do samego lasu Kabackiego ok. 2 km).
Serdecznie zapraszam na prezentacje.</t>
  </si>
  <si>
    <t>https://www.otodom.pl/pl/oferta/w-cenie-mieszkania-miejsce-postojowe-ID4nVlw</t>
  </si>
  <si>
    <t>4nVlw</t>
  </si>
  <si>
    <t>51,73 m2 Gdańsk Wrzeszcz-Morena 2/5 piętro!</t>
  </si>
  <si>
    <t>Piecki-Migowo, Gdańsk, pomorskie</t>
  </si>
  <si>
    <t>INWESTYCJA NA POGRANICZU MORENA/WRZESZCZ W GDAŃSKU - NAJLEPSZA LOKALIZACJA W GDAŃSKU Lokalizacja inwestycji to zielona enklawa położona na granicy dwóch dzielnic Gdańska - Wrzeszcza i Moreny.Zlokalizowane jest z dala zgiełku głównych ulic, z dostępem do licznych terenów rekreacyjnych. Jednocześnie położenie na Gdańskiej Morenie zapewnia nie tylko pełne zaplecze handlowe, ale również świetne skomunikowanie (w bezpośrednim sąsiedztwie tramwaje, autobusy, przystanek PKM). Atuty stanowiące o atrakcyjności oferty:✔ atrakcyjna położenie ✔ bliskość terenów rekreacyjnych✔ bliskość przystanku tramwajowego, autobusowego, PKM✔ do centrum Gdańska - 10 min autemKomórka lokatorska: 3700 zł/m2Miejsce postojowe w hali garażowej: 34.000 złZapraszam do prezentacji mieszkania oraz kontaktu!!!Oferta wysłana z programu dla biur nieruchomości ASARI CRM ()</t>
  </si>
  <si>
    <t>https://www.otodom.pl/pl/oferta/51-73-m2-gdansk-wrzeszcz-morena-2-5-pietro-ID4oszo</t>
  </si>
  <si>
    <t>4oszo</t>
  </si>
  <si>
    <t>Mieszkanie 4 pokojowe ul. Dokerów 1 PIĘTRO</t>
  </si>
  <si>
    <t>ul. Dokerów, Koszalin, zachodniopomorskie</t>
  </si>
  <si>
    <t>Na sprzedaż  mieszkanie 4 pokojowe o pow. 75,08 m2 położone przy ul. Dokerów w Koszalinie.Mieszkanie usytuowana na 1 piętrze w 4 piętrowym bloku mieszkalnym.Rozkład pomieszczeń:
4 pokoje (z jednego wyjście na loggię);
kuchnia;
łazienka;
WC;
przedpokój.
Na ścianach gładź malowana i tapeta, na podłogach w pokojach  i przedpokoju parkiet. W łazience  i WC glazura i terakota.Okna PCV. Ogrzewanie miejskie, ciepła woda z Junkersa.Czynsz do spółdzielni w wysokości 693 zł + media (energia, gaz, woda, śmieci).Do mieszkania przynależy piwnica.Przy bloku znajduje się ogólnodostępny parking.Ciche i spokojne osiedle z pełną infrastrukturą. W pobliżu przedszkole, żłobek, sklepy spożywcze, przystanki autobusowe.</t>
  </si>
  <si>
    <t>https://www.otodom.pl/pl/oferta/mieszkanie-4-pokojowe-ul-dokerow-1-pietro-ID4o3cq</t>
  </si>
  <si>
    <t>4o3cq</t>
  </si>
  <si>
    <t>2Pokojowe Mieszkanie Na Szwederowie</t>
  </si>
  <si>
    <t>!!!OFERTA W PEPPPER HOUSE!!!2POKOJOWE MIESZKANIE NA SZWEDEROWIEATUTY:- Dwustronna ekspozycja!!!- Nowe instalacje sanitarna i elektryczna!- Świetna lokalizacja!CHARAKTERYSTYKANa sprzedaż 2pokojowe mieszkanie usytuowane na parterze zadbanego, czteropiętrowego bloku z lat 90. Mieszkanie ma wymienione instalacje elektryczna i sanitarną, ostatni remont został przeprowadzony 5 lat temu i obejmował  wymianę podług na panele w pokojach i płytki w kuchni i przedpokoju oraz położenie gładzi na ścianach i ich pomalowanie. W cenie mieszkania pozostaje zabudowa kuchenna wraz z kuchenką i zmywarką! Mieszkanie cechuje się dwustronną ekspozycją - okna z salonu skierowane są na południe!w skład mieszkania wchodzą:- przestronny salon- otwarta kuchnia- sypialnia- łazienka z wanną- WC- przedpokójDo mieszkania przynależy piwnica oraz suszarnia.Blokiem zarządza Bydgoska Spółdzielnia Mieszkaniowa. Czynsz dla 3 osób oscyluje na poziomie ok 760 zł i obejmuje m. in. zaliczkę na wodę, ogrzewanie, koszty administracyjne, fundusz remontowy, wywóz śmieci, ryczałt na gaz. Właściciel otrzymuje bardzo duże zwroty za ogrzewanie (w tym roku było to blisko 1000,-)! Do bloku jest podłączony światłowód kilku usługodawców!LOKALIZACJAMieszkanie zlokalizowane jest w na osiedlu Szwederowo. Bezpośredniego obok bloku znajduje się dużo zieleni, plac zabaw dla dzieci widoczny z salonu oraz parking dla mieszkańców. W najbliższej okolicy znaleźć można dyskonty, punkty gastronomiczne, szkołę podstawową i przedszkole, orliki, basen, przystanki komunikacji miejskiej, dużo terenów spacerowo-rekreacyjnych.ZAPRASZAM NA PREZENTACJEPatrycja PrussNr oferty PH 273780</t>
  </si>
  <si>
    <t>https://www.otodom.pl/pl/oferta/2pokojowe-mieszkanie-na-szwederowie-ID4mYzF</t>
  </si>
  <si>
    <t>4mYzF</t>
  </si>
  <si>
    <t>Mieszkanie 48,4 m2 w Krakowie (Rezerwacja do 5/2)</t>
  </si>
  <si>
    <t>Do sprzedania przytulne mieszkanie w Krakowie (Bieżanów, Mała Góra) o powierzchni 48,4 m2 składające się z salonu z aneksem kuchennym, sypialni, łazienki z WC oraz garderoby. Mieszkanie ze wschodnią ekspozycją znajduje się na 2 piętrze czteropiętrowego budynku (blok oddany do użytku w 2018 roku) z windą. Lokal posiada duży balkon łączący salon z sypialnią. Istotnym atutem jest miejsce parkingowe w garażu podziemnym przynależne do mieszkania jak i fakt, że w chwili obecnej to oferta bez pośrednika!
Salon z aneksem – 20.4 m2
Sypialnia – 13 m2
Łazienka z WC – 6.8 m2
Garderoba – 2.7 m2
Przedpokój – 5.5 m2
Ogrzewanie i woda z sieci miejskiej. W budynku nie ma podłączenia do gazu. Lokal jest w bardzo dobrym stanie technicznym, wymaga najwyżej odświeżenia. Nigdy nie był wynajmowany, jedynymi lokatorami są sprzedający.
Czynsz (stan na styczeń 2024): ok. 500 zł (mieszkanie + miejsce postojowe).
Mieszkanie jest świetnie skomunikowane, w odległości ok. 5 min spacerem znajduje się zajezdnia tramwajowa (linie 3, 9, 13, 49 i 69) jak i kilka linii autobusowych (m. in. 125, 133, 153). Wzdłuż głównej ulicy znajdują się ścieżki rowerowe pozwalające na wygodne wycieczki po mieście. Okolica mieszkania jest spokojna, głównie dominuje zabudowa wielorodzinna. W sąsiedztwie osiedla znajdują się zarówno duże sieci handlowe (Kaufland, Carrefour oraz Biedronka) jak i mniejsze sklepy oraz stragany ze świeżymi owocami i warzywami. Dodatkowo 2 apteki oraz piekarnia i pizzeria. Krótki spacer zabierze nas do parku Aleksandry.
Ulica Mała Góra prowadzi bezpośrednio do wyjazdu z Krakowa co daje możliwość wygodnego i szybkiego opuszczenia miasta. W bliskiej odległości Szpital Uniwersytecki w Prokocimiu.
Mieszkanie jest dostępne właściwie od zaraz (luty 2024) z całym wyposażeniem, cena z miejscem w garażu to 659 000 zł. Cena do lekkiej negocjacji. Lokal został zarezerwowany do 5 lutego, można jednak go oglądać.</t>
  </si>
  <si>
    <t>https://www.otodom.pl/pl/oferta/mieszkanie-48-4-m2-w-krakowie-rezerwacja-do-5-2-ID4oGhu</t>
  </si>
  <si>
    <t>4oGhu</t>
  </si>
  <si>
    <t>mieszkanie z ogródkiem w Gdańsku!</t>
  </si>
  <si>
    <t>ul. Nowiny, Orunia-Św. Wojciech-Lipce, Gdańsk, pomorskie</t>
  </si>
  <si>
    <t>Blisko Śródmieścia i Starego Miasta. Mieszkanie z ogródkiem i tarasem - doskonałe do zamieszkania lub na wynajem.CUDZOZIEMCOM POMAGAMY W UZYKANIU ZEZWOLENIA MINISTERSTWA MIESZKANIE: o powierzchni 50,60m2 usytuowane jest na parterze budynku mieszkalnego. W tym roku mieszkanie przeszło generalny remont - jest gotowe do zamieszkania. Okna PCV.Lokal składa się z:- dużej kuchni z jadalnią - pokoju z oknem- małego pokoju / sypialni bez okna- łazienki z prysznicem i WCponadto do mieszkania przynależy komórka gospodarcza - na terenie posesji. Mieszkanie z ogródkiem i tarasem!BUDYNEK:Historyczny dom dwukondygnacyjny (z użytkowym poddaszem) o powierzchni 185 m2, położony na działce o powierzchni 688 m2. W budynku znajduje się 5 lokali mieszkalnych i jeden usługowy. Działka do dyspozycji mieszkańców (do mieszkania w udziałach przynależy ok. 100m2 ogródka); od strony ulicy - miejsce parkingowe, od strony kanału rośnie kilka drzew owocowych. LOKALIZACJA:Nieruchomość w świetnej lokalizacji - pomiędzy spokojną ulicą Nowiny z jednej strony i kanałem Raduni z drugiej. Komunikacja miejska: 200m od przystanku autobusowego, a ok.1,5 od stacji kolejowej, sklep spożywczy - 15 min piechotą. W 15 min dotrzemy samochodem do Śródmieścia - Galerii Forum czy Dworca Głównego i PKS. Oprócz tego lokalizacja zapewnia doskonały dojazd do innych dzielnic miasta i znajdujących się w nich szkół i uczelni.Dodatkowym atutem jest znajdujący się ok.1,5 km od mieszkania, nowoczesny basen/pływalnia miejska "Pływalnia Orunia", a także pełen zieleni i placów zabaw Park Oruński, w którym znajdują się dwa duże stawy, Potok Oruński, Scena Muzyczna Gdańskiego Archipelagu Kultury, Amfiteatr oraz punkt widokowy Góra Pięciu Braci.INFORMACJE DODATKOWE:Czynsz dla zarządcy to ok 390 zł/mc w tym zużycie wody i fundusz remontowy. Dodatkowo opłaty za prąd (ogrzewanie i ciepła woda: elektryczne - ok. 700 zł / mies. zimą).Wspólnota podjęła decyzję o generalnym remoncie całego budynku.Zapraszam na prezentację!KUP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</si>
  <si>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https://www.otodom.pl/pl/oferta/mieszkanie-z-ogrodkiem-w-gdansku-ID4mfpC</t>
  </si>
  <si>
    <t>4mfpC</t>
  </si>
  <si>
    <t>EkoHarmonia - lokale mieszkalne</t>
  </si>
  <si>
    <t>https://www.otodom.pl/pl/oferta/ekoharmonia-lokale-mieszkalne-ID4lbyx</t>
  </si>
  <si>
    <t>4lbyx</t>
  </si>
  <si>
    <t>Nowe mieszkanie 3 pokojowe 51,70 m2 I piętro A15</t>
  </si>
  <si>
    <t>ul. Lipowa, Białogard, białogardzki, zachodniopomorskie</t>
  </si>
  <si>
    <t xml:space="preserve">Nowa inwestycja deweloperska w Białogardzie.  Ten niezwykle interesujący budynek wielorodzinny powstaje przy ul. Lipowej w Białogardzie.  Mieszkania zostały zaprojektowane tak, aby każdy znalazł wymarzone miejsce dla siebie i swojej rodziny. Projekt wyróżnia się nowoczesną i funkcjonalną architekturą, tym samym nawiązując do najnowszych trendów. Starannie dobrane i zaprojektowane rozkłady zapewniają funkcjonalność, wygodę i komfort użytkowania.  Nasza propozycja to doskonałe miejsce dla osób ceniących sobie poczucie prywatności i codzienny komfort.  Usytuowanie inwestycji w sercu Miasta oznacza wygodny dostęp do codziennych potrzeb.  W najbliższym otoczeniu: Biedronka, Netto, Żabka, apteka, bar, przedszkole, szkoła, stacja paliw, przychodnia lekarska, stacja PKP
OFERTA BEZPOŚREDNIA od Dewelopera!  KUPUJĄCY 0% PROWIZJI oraz nie ponosi kosztów związanych z podatkiem od czynności cywilnoprawnych w wysokości 2%. Nabywca ponosi wyłącznie koszty notarialne i sądowe.   Oferta obejmuje:
54 funkcjonalne mieszkania 1, 2 i 3-pokojowe o powierzchni od 32 m2 do 65 m2
część mieszkań z przestronnymi balkonami
budynek wyposażony będzie w cicho bieżną windę dostępną od poziomu hali garażowej
wygodna wielostanowiskowa hala garażowa (wewnętrzne miejsce postojowe do kupienia osobno)
domofon, brama do hali garażowej sterowana pilotem
drzwi wejściowe do mieszkań antywłamaniowe, okna o podwyższonych parametrach izolacji akustycznej i cieplnej
mieszkania bezczynszowe, ogrzewanie indywidualne gazowe
 OFERUJEMY: 3-pokojowe mieszkanie w standardzie deweloperskim o powierzchni 51,70 m2, oznaczone jako: A15 usytuowane na   I piętrze; składające się z:
salonu z aneksem kuchennym
pokoju
pokoju
łazienki z WC
przedpokoju
balkonu 
Zapraszamy do kontaktu:
Renata Adamczyk 787 019 887    Bezpłatnie pomożemy w uzyskaniu najlepszego kredytu na zakup mieszkania.  Nasz Ekspert Finansowy zaoszczędzi Twój czas i pieniądze, zapewniając Ci:
BEZPŁATNE wsparcie na każdym etapie procesowania wniosków kredytowych,
DOSTĘP do kredytów hipotecznych bez prowizji,
WYSZUKANIE najkorzystniejszych ofert i ich dokładne omówienie,
MINIMUM FORMALNOŚCI dzięki zorganizowaniu dokumentów związanych z nieruchomością we własnym zakresie,
WIEDZĘ i ponad 10 LAT DOŚWIADCZENIA w branży finansowej.
 Więcej szczegółów dotyczących inwestycji znajdziesz na naszych stronach norbidom.pl.
 Powyższa oferta nieruchomości stanowi charakter informacyjny oraz zaproszenie do rokowań zgodnie z Art. 71 KC i nie stanowi oferty określonej w art 66 i następnych KC
</t>
  </si>
  <si>
    <t>https://www.otodom.pl/pl/oferta/nowe-mieszkanie-3-pokojowe-51-70-m2-i-pietro-a15-ID4hXpS</t>
  </si>
  <si>
    <t>Piękne apartamenty nad Zalewem Wiślanym</t>
  </si>
  <si>
    <t>ul. Kopernika, Frombork, Frombork, braniewski, warmińsko-mazurskie</t>
  </si>
  <si>
    <t>OKOLICA:Frombork (niem. Frauenburg[2], hist. łac. Castrum Dominae Nostrae, „Zamek Naszej Pani”, Civitas Warmiensis, „Miasto Warmińskie”) - miasto na Warmii w woj. warmińsko-mazurskim, w powiecie braniewskim, siedziba gminy miejsko-wiejskiej Frombork. Jest położony na Równinie Warmińskiej, nad Zalewem Wiślanym, na północnym krańcu Wysoczyzny Elbląskiej. W miejscowości znajduje się port morski oraz morskie przejście graniczne.BUDYNEK:Jedna z najpiękniejszych we Fromborku  kamienic  z XIX wieku w trakcie  generalnego remontu. Do sprzedaży posiadamy 11 apartamentów.Każdy apartament na życzenie klienta może zostać wykończony w standardzie „pod klucz” i będzie wyposażony we wszystko co niezbędne do luksusowego wypoczynku nad wodą. Komfort użytkowania zapewni odpowiednia wysokość pomieszczeń (ponad 3,6 metra) oraz ergonomiczny układ stwarzający duży potencjał aranżacyjny.Inwestycja zlokalizowana jest w samym centrum Fromborka niecałe 5 minut pieszo od Muzeum Mikołaja Kopernika i 800m od Portu i Przystani. W okolicy znajdują się liczne restauracje, bary, kawiarnie oraz sklepy. Nie brakuje również terenów zielonych, czy Placu miejskiego z Fontanną i pomnikiem Kopernika.APARTAMENT:Na sprzedaż apartament  o powierzchni 44,16 m2 znajdujący się na parterze.Na powierzchnię składają się:Salon o pow. - 12,96m2Kuchnia o pow. - 8,88m2Łazienka o pow. - 3,49m2Pokój o pow. 12,46m2Przedpokój o pow. 6,37m2W sprzedaży w stanie deweloperskim z możliwością wykończenia pod klucz.Jest to idealna nieruchomość zarówno jako inwestycja jak i na własne potrzeby mieszkaniowe i wypoczynkowe.SUPER OFERTA.POLECAMKUP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</si>
  <si>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https://www.otodom.pl/pl/oferta/piekne-apartamenty-nad-zalewem-wislanym-ID4hUFR</t>
  </si>
  <si>
    <t>4hUFR</t>
  </si>
  <si>
    <t>PINEA | gotowy do odbioru | tuż przy plaży</t>
  </si>
  <si>
    <t>Przedstawiamy Państwu ekskluzywny nadmorski apartament w oddanym do użytku budynku C inwestycji PINEA Resort &amp;amp; Apartments.
PREZENTOWANY APARTAMENT JEST DOSTĘPNY OD RĘKI W STANIE WYKOŃCZONYM POD KLUCZ W STYLU NORDIC. Oferta obejmuje klimatyzację, wyposażenie aneksu kuchennego, łazienki oraz kompletny sprzęt AGD.
PINEA to położony w pierwszej linii brzegowej kompleks trzech budynków apartamentowo-hotelowych mieszczących: 
całoroczne luksusowe apartamenty w 2 stylach wykończenia do wyboru (175 apartamentów oddanych do użytkowania latem 2021 roku w ramach 1. etapu oraz 43 apartamenty obecnie w budowie)
uzdrowiskowy condohotel (wkrótce w sprzedaży)
PINEA to także całoroczne restauracje, kompleks basenów (pływacki, rekreacyjny, dla dzieci), saunarium oraz luksusowe SPA i gabinety fizjoterapii. 
Całość kompleksu łączy ze sobą system łączników pozwalających na swobodną wewnętrzną komunikację pomiędzy poszczególnymi częściami.
Inwestycja zlokalizowana została w zachodniej części polskiego wybrzeża, w kameralnym gęsto porośniętym sosnowym lasem Pobierowie. To niezwykłe miejsce szczyci się krystalicznie czystym powietrzem, pięknymi plażami i niezwykłymi terenami rekreacyjnymi.   PINEA to doskonała inwestycja - lokata kapitału zapewniająca regularne zyski z wynajmu oraz skuteczna ochrona przed inflacją. Unikalne walory lokalizacji w połączeniu z całoroczną ofertą usługową gwarantują wzrost wartości inwestycji w dłuższej perspektywie. Płatność realizowana jest w transzach zgodnych z etapem budowy, a ceny podlegają gwarancji w chwili podpisania umowy. Generalnym wykonawcą inwestycji jest renomowana firma STRABAG. 
PINEA to Twoja bezpieczna przystań.
Podana cena jest wyrażona w kwocie netto - zakup apartamentu w PINEA daje możliwość uzyskania całkowitego zwrotu podatku VAT oraz odliczenia kosztów jego utrzymania od podatku dochodowego.</t>
  </si>
  <si>
    <t>https://www.otodom.pl/pl/oferta/pinea-gotowy-do-odbioru-tuz-przy-plazy-ID4fG2Q</t>
  </si>
  <si>
    <t>4fG2Q</t>
  </si>
  <si>
    <t>Nowe Pawia 55,49 m2/2024</t>
  </si>
  <si>
    <t>Wojszyce, Krzyki, Wrocław, dolnośląskie</t>
  </si>
  <si>
    <t xml:space="preserve">Inwestycja o unikatowym charakterze - wynikającym z lokalizacji przy ulicy Pawiej, niegdysiejszej głównej ulicy wsi Wojszyce. Charakterystyczne zabudowania folwarczne pochodzące z pierwszych lat XX wieku są unikatowe na skalę światową. Inwestycja realizowana we współpracy z konserwatorem zabytków zachowa ducha tamtych lat, a przedmiotowy projekt przywróci zapomnianą świetność zabudowań.
Przykładowe mieszkanie: C9 o powierzchni 68,50 m2 składa się z:
- Pokoju dziennego z aneksem kuchennym - 45,81 m2
- Łazienki - 6,35 m2
- Korytarza - 3,32 m2
W trakcie przebudowy istniejących budynków o zabytkowym charakterze, w ramach inwestycji powstanie 28 lokali mieszkalnych (na parterze, pierwszym i drugim piętrze) oraz 1 lokal usługowy, który dopełni całość osiedla. Budynek składać się będzie z czterech klatek schodowych. Na terenie inwestycji zrealizowany zostanie również parking z naziemnymi miejscami postojowymi.
Dostosowując budynek do szerokiego spektrum potrzeb przyszłych Mieszkańców, w ofercie znalazły się mieszkania o metrażu od 25 m2 do 85 m2, w tym m.in. posiadające niezależne wejścia, z własnymi ogródkami, o ponadstandardowej wysokości do nawet 473 cm, lofty wyposażone w stalowe antresole lub ze sklepieniami o konstrukcji krzyżowej z oryginalnych, zachowanych cegieł.
* Możliwość dokupienia miejsca parkingowego, naziemnego, w cenie 30,000 zł.
* Termin oddania: II kwartał 2024
Lokalizacja:
* Wielkim atutem tej lokalizacji jest dostęp do pełnej i rozbudowanej infrastruktury miejskiej przy jednoczesnym zachowaniu cichej i spokojnej okolicy z zielenią i niską zabudową mieszkaniową. 
* W odległości 600 m znajduje się przystanek autobusowy (linie dzienne 112, 113, 612 i 903, linia nocna 249). 
* W sąsiedztwie znajdują się m.in. liczne restauracje (Stacja Pawia Food &amp; Chillout, Pizzeria Pan Smak, Bistro na Wypasie, Kiss The Cook), apteki (Apteka Wysokogórska, Lege Artis), placówki bankowe, bankomaty, sklepy (Biedronka, Żabka, lokalne sklepy osiedlowe), punkty usługowe, placówka pocztowa, placówki medyczne (gabinety stomatologiczne, prywatne centrum medyczne MedFemina, gabinet podologiczny Uniwersytecki Szpital Kliniczny).
Cena: 606 184 zł 
nr oferty : 8036/10630/OMS
ZAPRASZAM NA BEZPŁATNĄ PREZENTACJĘ
Przy zakupie otrzymasz wsparcie w uzyskaniu finansowania na zakup nieruchomości.
nr tel.: +4████████████6
Kacper Ziorkowski
Specjalista ds. Sprzedaży Nieruchomości
Agencja UNITED Nieruchomości | ul. Młynarska 14/E | 51-116 Wrocław |
Oferta wysłana z programu dla biur nieruchomości ASARI CRM ()
</t>
  </si>
  <si>
    <t>https://www.otodom.pl/pl/oferta/nowe-pawia-55-49-m2-2024-ID4nPFK</t>
  </si>
  <si>
    <t>4nPFK</t>
  </si>
  <si>
    <t>II Etap, Staroniwskie Sady</t>
  </si>
  <si>
    <t>Staroniwa, Rzeszów, podkarpackie</t>
  </si>
  <si>
    <t xml:space="preserve">Przedsprzedaż II etapu!
Przedstawiamy Państwu ofertę sprzedaży nowoczesnych mieszkań zlokalizowanych przy ul. Staroniwskiej. Inwestycja podzielona jest a 29 mieszkań dwu-, trzy- oraz cztero- pokojowych. Przy mieszkaniach na parterze mamy przestronne ogródki z tarasami, na piętrach balkony.
OPIS NIERUCHOMOŚCI:
- mieszkanie o powierzchni: 65,12m2 + balkon 7,00m2
- piętro: trzecie z 3
- ogrzewanie: piec dwufunkcyjny
- ciepła woda – piec dwufunkcyjny
- nowoczesna architektura
- kupujący nie płaci 2% podatku od czynności cywilno-prawnych
- mieszkanie w stanie deweloperskim
- zakończenie inwestycji: II kwartał 2025r.
Deweloper wystawia fakturę oraz udziela gwarancji. Zakup bez PCC!
UKŁAD POMIESZCZEŃ
- hol
- pokój + aneks kuchenny
- sypialnia
- łazienka
- WC
- sypialnia
- garderoba
oraz:
- balkon:
STANDARD WYKOŃCZENIA:
- stan deweloperski - szczegóły w biurze
LOKALIZACJA:
Osiedle zostanie wybudowane w spokojnej okolicy, w otoczeniu zieleni i terenów rekreacyjnych pozwalających na kontakt z przyrodą i aktywny wypoczynek, które zapewnią wysoki komfort mieszkania, idealne dla osób, które cenią sobie cisze i spokój a jednocześnie potrzebują mieć w zasięgu ręki dostęp do pełnej infrastruktury miejskiej.
Dodatkowo: miejsce postojowe zewnętrzne - 15 000 zł  lub garaż w bryle budynku - 40 000 zł
Kontakt:
Mail: [email title="kontakt"]
tel.: 788 342 955
</t>
  </si>
  <si>
    <t>https://www.otodom.pl/pl/oferta/ii-etap-staroniwskie-sady-ID4onrZ</t>
  </si>
  <si>
    <t>4onrZ</t>
  </si>
  <si>
    <t>Mieszkanie 2 pok. w stanie deweloperskim</t>
  </si>
  <si>
    <t>ul. Wielkopolska, Ujeścisko-Łostowice, Gdańsk, pomorskie</t>
  </si>
  <si>
    <t>Cena niższa niż u dewelopera! Mieszkanie dostępne do wydania od zaraz!Lokalizacja:W bliskim otoczeniu, zaledwie kilkaset metrów od nas, rozciąga się pełna infrastruktura miejska. Żłobki i przedszkola znajdują się w odległości mniejszej niż 1 km. W tej samej okolicy można znaleźć sklepy, punkty usługowe, aptekę i restauracje. Tuż obok, przy sąsiedniej posesji, mieści się także szkoła podstawowa. Dzięki dogodnemu położeniu osiedla, zapewniamy swobodny dostęp do każdej części Trójmiasta.Mieszkanie:Mieszkanie w stanie deweloperskim składa się z:- salonu z aneksem kuchennym- sypialni- garderoby- łazienki - przedpokoju - loggiiDo mieszkania należy dokupić komórkę lokatorską 6,14m2 za cenę 13850zł oraz dwa miejsca w hali garażowej w kwocie 50.000zł.Mieszkanie gotowe do odbioru, księga wieczysta w trakcie zakładania. Zakup za gotówkę.Zapraszam na prezentację mieszkania!KUP Z NAMI - KORZYSTNIE I BEZPIECZNIE!- 0% prowizji od Kupującego (dotyczy ofert oznaczonych znaczkiem KUP bez prowizji) i żadnych dodatkowych lub ukrytych kosztów- gwarantujemy bezpieczny zakup i najlepszą cenę- oferujemy skuteczną i bezpłatną pomoc w uzyskaniu kredytu- zapewniamy fachowe doradztwo przy zakupie pod inwestycję</t>
  </si>
  <si>
    <t>https://www.otodom.pl/pl/oferta/mieszkanie-2-pok-w-stanie-deweloperskim-ID4o22L</t>
  </si>
  <si>
    <t>4o22L</t>
  </si>
  <si>
    <t>Kawalerka do własnej aranżacji, Bronowice</t>
  </si>
  <si>
    <t>Biuro VESTA przedstawia wyjątkową nieruchomość znajdującą się w niewielkiej odległości od Państwowego Muzeum na Majdanku w dzielnicy Bronowice. Mieszkanie zostało urządzone tak, by w pełni cieszyć się jego funkcjonalnością.Mieszkanie:Całe mieszkanie składa się z salonu z aneksem kuchennym, łazienki z WC oraz przedpokoju, o łącznej powierzchni 37 m2.Okna wychodzące na północny zachód i północny wschód. Do mieszkania przynależy piwnica.Nieruchomość świetnie sprawdzi się dla pary lub singla. Ze względu na doskonałą lokalizację, mieszkanie jest także, świetnym rozwiązaniem pod zakup inwestycyjny.Lokalizacja:Dojazd do centrum nie zajmie więcej niż 8 minut. W niedalekiej odległości znajdują się przystanki MPK. Nie musimy martwić się również o wszelkie punkty usługowo-handlowe. Oprócz CH Felicity, licznych marketów, znajdziemy w okolicy wiele mniejszych sklepów czy punktów usługowych, w tym apteka, poczta, bank, żłobek, przedszkole, szkoła, plac zabaw, boisko.Zapraszam do obejrzenia tego wyjątkowego mieszkania.Nota prawnaOpis oferty zawarty na stronie internetowej sporządzany jest na podstawie oględzin nieruchomości oraz informacji uzyskanych od właściciela, może podlegać aktualizacji i nie stanowi oferty określonej w art. 66 i następnych K.C.Oferta wysłana z programu dla biur nieruchomości ASARI CRM ()</t>
  </si>
  <si>
    <t>https://www.otodom.pl/pl/oferta/kawalerka-do-wlasnej-aranzacji-bronowice-ID4nDyg</t>
  </si>
  <si>
    <t>4nDyg</t>
  </si>
  <si>
    <t>Wilanów, Ul. Sarmacka -apartament 133 m parter</t>
  </si>
  <si>
    <t>ul. Sarmacka, Błonia Wilanowskie, Wilanów, Warszawa, mazowieckie</t>
  </si>
  <si>
    <t xml:space="preserve">Opis:Miasteczko Wilanów ulica Sarmacka  przestronny apartament 133 m2 4 pokoje ,łazienka , wc , ogródek z tarasem i osobny balkon, podwójne miejsce garażowe ( platforma- płatne  dodatkowi 70 000 PLN), rowerowniaOpis Nieruchomości:Apartament idealny dla rodziny 2+2 jak i 2+3 Ogródek od strony osiedla wraz z  tarasem, a z drugiej strony mieszkania balkon.Okna apartamentu wychodzą na trzy strony Świata.Możliwość aranżacji mieszkania przez projektanta daje dużo nowych możliwości.Apartament jest w świetnej lokalizacji jest komfortowy, jasny  i bardzo przestronny.W skład apartamentu wchodzi:- Salon z jadalnią i wyjściem na taras - Osobna kuchnia plus spiżarnia - Sypialnia z balkonem- Sypialnia  - Sypialnia/ pokój dziecięcy /gabinet - Łazienka z dużym prysznicem- WC- Hol bardzo szeroki Lokalizacja:Bogata  infrastruktura  Miasteczka Wilanów, jest gwarancją wygodnego  codziennego  funkcjonowania w tym miejscu. Liczne restauracje, kawiarnie, sklepy, gabinety kosmetyczne,  szpital, klinika medyczna , place zabaw, bardzo dobre  żłobki i przedszkola, kilka szkół państwowych oraz międzynarodowych (British School, Willy-Brandt-Schule, Szkoła Europejska, Liceum Francuskie)obiekty sportowe - golf, korty tenisowe, kluby fitness.Warto zwrócić uwagę również na bliskość terenów zielonych Park w Wilanowie z pałacem oraz Park Kultury w Powsinie.Dobra komunikacja z centrum Warszawy.Dojazd do Śródmieścia zajmuje 20-25 minut. Osoby korzystające z komunikacji miejskiej szybko dotrą do stacji 1 linii metra, przystanki autobusowe usytuowane są  przy samym osiedlu.Zapraszam Państwa na prezentację tego wyjątkowego Apartamentu.
Oferta wysłana z programu dla biur nieruchomości ASARI CRM ()
</t>
  </si>
  <si>
    <t>https://www.otodom.pl/pl/oferta/wilanow-ul-sarmacka-apartament-133-m-parter-ID4nlaF</t>
  </si>
  <si>
    <t>4nlaF</t>
  </si>
  <si>
    <t>Mieszkanie w centrum miasta przy ul. Waszyngtona</t>
  </si>
  <si>
    <t>ul. Jerzego Waszyngtona 18, Piaski, Białystok, podlaskie</t>
  </si>
  <si>
    <t>Super lokalizacja w sercu miasta, bardzo ładny widok na zieleń z okien po obu stronach bloku.
Salon z balkonikiem i sypialnia z przestronnym widokiem z okien. 
Jadalnia z dużym, wnękowym aneksem kuchennym z przestronnymi oknami.
Miejsca parkingowe przed blokiem dla lokatorów bloku (brama wjazdowa / pilot).
Generalny remont: 8 lat temu.</t>
  </si>
  <si>
    <t>https://www.otodom.pl/pl/oferta/mieszkanie-w-centrum-miasta-przy-ul-waszyngtona-ID4oetI</t>
  </si>
  <si>
    <t>4oetI</t>
  </si>
  <si>
    <t>3-pokojowe mieszkanie. Rossa Park! W Augustowie!!</t>
  </si>
  <si>
    <t>ul. Rosiczkowa 2A, Augustów, augustowski, podlaskie</t>
  </si>
  <si>
    <t xml:space="preserve">Oferujemy na sprzedaż przestronne, ciepłe i dobrze urządzone trzypokojowe mieszkanie w nowym budownictwie. o powierzchni 57,36 m². Nieruchomość usytuowana jest na prestiżowym osiedlu ROSSA PARK w Augustowie przy ulicy Rosiczkowej 2A.  Lokal znajduje się na PARTERZE! &amp;gt;&amp;gt; Nasz Ekspert Finansowy bezpłatnie przygotuje dla Ciebie najlepsze oferty kredytów hipotecznych w tym Bezpieczny Kredyt Hipoteczny 2% z możliwością skorzystania z programu 0% wkładu własnego, obejmujące również środki na remont mieszkania abyś mógł wszystkie formalności załatwić w jednym miejscu u nas w biurze. &amp;lt;&amp;lt;Okolica gdzie znajduje się blok jest spokojna , teren wokół budynku jest bardzo zadbany i wyposażony w monitoring. Nieruchomość składa się z 2 oddzielnych pokoi o pow. (12,02 m² i 9,89 m²) , salonu z aneksem kuchennym (19,21m²),łazienki (9,76 m²) i przedpokoju. Do mieszkania przynależą aż dwa tarasy o powierzchni ( 22,80 m2 i 42,40m²) oraz komórka lokatorka o pow. 2,70 m². Dodatkowo mieszkanie ma dostęp do miejsca parkingowego podziemnego!! Atutem mieszkania jest przede wszystkim lokalizacja - nieruchomość położona jest lekko na uboczu miasta co czyni ją wyjątkową , gdyż nadal mieszkamy w mieście ale mamy możliwość złapania głębszego oddechu i zaznania ciszy ale pomimo tego zawsze szybko możemy dotrzeć do centrum bo przecież cały czas mieszkamy w mieście!! Dodatkowo do mieszkania przynależą dwa tarasy, które sprawiają ,że możemy latem czy też zimą korzystać z otaczającego piękna bez wychodzenia z domu!! Lokal mieszkalny jest świetnie urządzony , ma bardzo dobry rozkład pomieszczeń- każdy z rodziny znajdzie w nim swoją przestrzeń! Osiedle utrzymane w czystości, klatki zadbane, teren wyposażony w monitoring.  W niedalekiej odległości od nieruchomości znajdziemy : Park Handlowy REDMILL , stacje benzynowe, myjnie samochodowe, wielkopowierzchniowe sklepy spożywcze, kościół, aptekę, przychodnię lekarską! Dodatkowo do zakupu mieszkania należy doliczyć miejsce parkingowe podziemne (30 000 tys zł) Dla nowego właściciela mieszkanie pozostaje w większości umeblowane. Czynsz:  704,64 zł (3 osoby) + prądNieruchomość idealna dla pary, rodziny lub pod inwestycję!!!Augustów pod względem turystycznym / wypoczynkowym i rekreacyjnym jest bardzo często odwiedzany . Czeka tutaj na nas wiele atrakcji m.in dobrze wszystkim znany KANAŁ AUGUSTOWSKI , Pustelnia św. Onufrego  czy też Dolina Rospudy. Dodatkowo Augustów jest otoczony aż 9-cioma jeziorami nad którymi możemy wypocząć i skorzystać z rozrywek typu : motorówki, rowery wodne, łódki, zjeżdżalnie wodne i przede wszystkim rejsy statkami po tych pięknych jeziorach!   Może jest właśnie tak ,że to mieszkanie czeka akurat na CIEBIE!! Serdecznie zapraszam na prezentację.Jesteś zainteresowany? Złóż ofertę zakupu :)Zapraszamy do kontaktu oraz na prezentację nieruchomości.Nasz Ekspert Finansowy bezpłatnie przygotuje dla Ciebie najlepsze oferty kredytów hipotecznych abyś mógł wszystkie formalności załatwić w jednym miejscu u nas w biurze. *Informacje dotyczące opisu nieruchomości podane są przez właściciela, mają charakter wyłącznie informacyjny i mogą podlegać aktualizacji. Powyższa oferta nieruchomości stanowi zaproszenie do rokowań zgodnie z Art. 71 KC i nie stanowi oferty określonej w art 66 i następnych KC.
Oferta wysłana z programu dla biur nieruchomości ASARI CRM ()
</t>
  </si>
  <si>
    <t>https://www.otodom.pl/pl/oferta/3-pokojowe-mieszkanie-rossa-park-w-augustowie-ID4nycC</t>
  </si>
  <si>
    <t>4nycC</t>
  </si>
  <si>
    <t>Luksusowy apartament w kameralnej części Pucka A01</t>
  </si>
  <si>
    <t>ul. Polna, Puck, pucki, pomorskie</t>
  </si>
  <si>
    <t xml:space="preserve">Zapraszamy do odkrycia niezwykłego osiedla apartamentów Malachit - Marina &amp;amp; Garden Park położnego w urokliwym Pucku. Ta wyjątkowa inwestycja łączy w sobie luksusowe apartamenty oraz dostęp do nowoczesnej mariny i portu jachtowego, które dzięki połączeniu z naszym osiedlem przepiękną aleją lipową, tworzą idealną ofertę dla ludzi ceniących najwyższą jakość i łatwy dostęp do morza. Dzięki unikalnemu położeniu, mieszkańcy osiedla mogą cieszyć się spokojem i kameralną atmosferą w pięknych nadmorskich okolicach.
Malachit - Marina &amp;amp; Garden Park oferuje nie tylko wspaniałą lokalizację, ale również bogaty pakiet udogodnień. Części wspólne osiedla zostały zaprojektowane z dbałością o najmniejsze szczegóły, oddając wyjątkowy charakter nadmorskiej inwestycji. Do dyspozycji mieszkańców będzie również w pełni wyposażony fitness club, dostępny wyłącznie dla lokatorów. Dla właścicieli przewidziano liczne miejsca parkingowe wewnętrzne jak i zewnętrzne. Dodatkowo, osiedle oferuje nowoczesne i ekologiczne rozwiązania zapewniające najwyższy komfort a na terenie inwestycji oraz jej najbliższej okolicy znajduje się wiele zieleni, tworzącej relaksującą atmosferę i umożliwiającej aktywny wypoczynek oraz relaks na świeżym i czystym nadmorskim powietrzu. Mieszkańcy mogą również skorzystać z opcji wykończenia swojego lokalu pod klucz, dzięki czemu mogą cieszyć się luksusowym apartamentem bez zbędnych utrudnień.
Podczas zakupu deweloper oferuje obsługę Concierge premium, dzięki której nasi Klienci zyskują dedykowaną osobę towarzyszącą podczas całego procesu - od podpisania umowy rezerwacyjnej aż do wydania kluczy do lokalu. Dzięki takiemu podejściu sam proces zakupu będzie niezwykle prosty i komfortowy a nasi Klienci dodatkowo zyskają dostęp do licznych lokalnych atrakcji bez konieczności tracenia cennego czasu.
Apartament o powierzchni 32.09 m2 składający się z pokoju z aneksem kuchenny oraz łazienki. 
Niewątpliwym atutem tej nieruchomości jest ogródek z ekspozycją na kameralną zabudowę jednorodzinną Pucka. 
Malachit - Marina &amp;amp; Garden Park to idealne miejsce dla osób ceniących sobie wygodę, luksus oraz spokój. Zapraszamy do kontaktu i odwiedzenia naszego osiedla - niech Puck stanie się Twoim nowym miejscem na ziemi.
</t>
  </si>
  <si>
    <t>https://www.otodom.pl/pl/oferta/luksusowy-apartament-w-kameralnej-czesci-pucka-a01-ID4lk01</t>
  </si>
  <si>
    <t>4lk01</t>
  </si>
  <si>
    <t xml:space="preserve">SUNDAY Resort Ustronie Morskie jest kameralnym, całorocznym kompleksem dwóch budynków z windami oraz częścią rekreacyjną. Łącznie przewidujemy oddanie 59 samodzielnych lokali z łazienkami, aneksami kuchennymi i balkonami. Niewielka ilość apartamentów zapewni inwestycji prywatny, rodzinny charakter, daleki od zgiełku rozbudowanych molochów apart-hotelowych.
Mieszkania znajdujące się na poddaszu będą dwupoziomowe z częścią mieszkalną lub praktycznym schowkiem na strychu. W tych znajdujących się na parterze przewidzieliśmy ogródki lub tarasy.
Na terenie inwestycji znajdzie się:
- kryty basen
- jacuzzi
- sauna fińska
- parking z miejscami postojowymi ogólnodostępnymi dla mieszkańców.
Zadbaliśmy więc o to, żeby był to obiekt atrakcyjny dla mieszkańców niezależnie od pogody i pory roku.
Podana w ofercie cena dotyczy apartamentów wykończonych „POD KLUCZ”.
W tym standardzie otrzymujecie Państwo gotowy do zamieszkania lokal, w którym wykonane są:
·         gładzie z malowaniem
·         panel podłogowy na posadzce (za wyjątkiem łazienki) wraz z listwami cokołowymi
·         kompletny osprzęt elektryczny oraz oprawy oświetleniowe
·         drzwi zewnętrzne oraz drzwi wewnętrzne w lokalu
·         w łazience glazura i terakota oraz kompletny biały montaż (kabina prysznicowa z brodzikiem, podwieszana miska WC z przyciskiem, szafka z umywalką, baterie umywalkowa i prysznicowa, lustro)
·         kompletna zabudowa aneksu kuchennego – meble na wymiar z oświetleniem LED, wraz ze sprzętem AGD (zmywarka, lodówka podblatowa, płyta indukcyjna 2-palnikowa, okap podszafkowy
·         szafy na wymiar w przedpokoju i sypialni
·         łóżko do sypialni 160x200 z materacem i wezgłowiem tapicerowanym
·         w salonie sofa z funkcją spania
·         stół i krzesła dla 4 osób
·         stolik kawowy
·         szafka RTV
·         telewizor podwieszany SAMSUNG 55”
·         pralka
·         komplet firan typu woal oraz zasłon zaciemniających
·         komplet wyposażenia drobnego kuchni (sztućce, zastawa stołowa, itp.) oraz niezbędnych dodatków
Zachęcamy do skorzystania z naszego doświadczenia i powierzenia nam kompleksowego wykończenia i wyposażenia apartamentu.
Dla osób zainteresowanych indywidualnymi rozwiązaniami istnieje możliwość wykonania odrębnego projektu wnętrza, jego wyceny i realizacji.
Apartamenty oferowane w ramach inwestycji SUNDAY Resort są lokalami mieszkalnymi i objęte są 8% stawką VAT. Ceny podane w ogłoszeniu stanowią wartość brutto.
 O INWESTORZE
Jako inwestor – ARCHICORP – możemy pochwalić się wieloma realizacjami mieszkaniowymi. W każdej zwracamy uwagę na detale i nie szukamy kompromisów w kwestiach jakości. Dzięki doświadczonemu zespołowi i szerokiej bazie sprawdzonych wykonawców, realizujemy mieszkania „pod klucz” nie tylko w zakresie wykończenia ścian czy podłóg, ale również mebli, oświetlenia i dodatków. W naszym portfolio znajdują się prestiżowe obiekty mieszkalne AZURE Premium oraz WESTIN HOUSE Resort w Kołobrzegu. Zapraszamy do zapoznania się z jakością naszych usług na tych realizacjach.
O APARTAMENCIE
Apartament nr: 12, typ E
Piętro: I
Powierzchnia pod ściankami działowymi: 0,56m2
Powierzchnia użytkowa: 34,36m2
Powierzchnia balkonu: 8,87m2
Łącznie: 43,79m2
Ilość pokoi: 2
Cena brutto wraz z podatkiem 8% VAT: 508 792,00zł
Zamów bezpłatny katalog, aby zapoznać się z naszą inwestycją. Prześlij zamówienie na adres:[email title="kontakt"], a niezwłocznie prześlemy do Ciebie komplet materiałów.
Serdecznie zapraszamy,
Zespół ARCHICORP
</t>
  </si>
  <si>
    <t>https://www.otodom.pl/pl/oferta/pod-klucz-apartament-sunday-ustronie-morskie-ID4jrZn</t>
  </si>
  <si>
    <t>4jrZn</t>
  </si>
  <si>
    <t>Piękny dom z ogrodem na malowniczym osiedlu</t>
  </si>
  <si>
    <t>Mam przyjemność zaprezentować Państwu ofertę sprzedaży domu typu szeregowiec wybudowanego z cegły w 1915 roku, usytuowanego na jednej z najstarszych i najbardziej klimatycznych dzielnic Poznania czyli Wildzie, przy ul. 28 Czerwca 1956r.Na nieruchomość o powierzchni całkowitej liczącej 127 m2 przypadają :PARTER :- Pokój dzienny o powierzchni 17,9 m2,- Osobna, jasna kuchnia o powierzchni 11,8 m2,- Korytarz o powierzchni 6,5 m2,- Toaleta o powierzchni 1,1 m2,- Wiatrołap o powierzchni 3,3 m2,I PIĘTRO :- Pokój o powierzchni 12,8 m2,- Pokój o powierzchni 15,0 m2,- Łazienka z toaletą o powierzchni 5,7 m2,- Korytarz o powierzchni 8,1 m2II PIĘTRO :- Poddasze o powierzchni około 40 m2 (po podłodze), które może zostać zaaranżowane również na cele mieszkaniowe.Pod budynkiem mieści się duża piwnica służąca jako pomieszczenie gospodarcze o powierzchni około 25 m2, znajduje się tu również kotłownia z nowym, 2-funkcyjnym piecem gazowym.Dodatkową przestrzenią jest piękny ogród z tarasem o powierzchni około 100 m2, zlokalizowany za domem gdzie możemy w ciszy zrelaksować się pośród zieleni lub organizować spotkania ze znajomymi czy rodziną.Nieruchomość bardzo funkcjonalna, układ pomieszczeń niezależny co przekłada się bez dwóch zdań na komfort życia mieszkańców. Ekspozycja okien z frontu budynku północno-zachodnia, natomiast od strony ogrodu południowo-wschodnia co czyni wnętrze bardzo dobrze doświetlonym.Dużą zaletą nieruchomości są prace remontowe, które zostały przeprowadzone na przekroju poprzednich lat. Podczas prac wymieniono między innymi okna na plastikowe PCV, instalacje elektryczną, instalacje grzewczą, instalację gazową, instalację wodno-kanalizacyjną. Cały budynek został również docieplony, przeprowadzono remont elewacji i dachu.To pozwoli Państwu zaoszczędzić oraz uniknąć dodatkowych kosztów w przyszłości.Wnętrze domu umeblowane oraz wyposażone w sprzęty AGD tj. piekarnik oraz mikrofalówka w zabudowie, dodatkowo zmywarka i lodówka.Nieruchomość usytuowana jest na zamkniętym, malowniczym osiedlu.Wychodząc z budynku dostaniemy się na piękny dziedziniec, gdzie znajdziemy mnóstwo kolorowych kamienic, plac zabaw a nawet boisko. Przechadzając się tamtejszymi uliczkami można się zakochać w klimacie wiszącym w powietrzu.Dla zmotoryzowanych dostępne są również 2 garaże znajdujące się na terenie osiedla, do wyłącznego użytkowania przyszłych właścicieli.Nieruchomość bardzo dobrze skomunikowana z resztą miasta, bardzo blisko przystanków tramwajowych (linie 2, 9, 10 od ul. 28 Czerwca) i autobusowych (linia 71 od ul. Rolnej). W najbliższym sąsiedztwie sklepy spożywcze, w okolicy Lidl, Biedronka, galeria Green Point, park oraz liczne lokale handlowo-usługowe. Dojazd do centrum oraz do zjazdu na autostradę A2 zajmuje mniej niż 10 min.Pełne media: woda, prąd, gaz, kanalizacja. Czynsz administracyjny to zaledwie 125 zł plus opłaty eksploatacyjne według zużycia (przykładowe rachunki za gaz i prąd do wglądu).Stan prawny : Pełna własność. Brak jakichkolwiek obciążeń nieruchomości.BRAK PROWIZJI OD STRONY KUPUJĄCEJ!W RAZIE POTRZEBY POMAGAMY UZYSKAĆ NAJKORZYSTNIEJSZE KREDYTOWANIE!Serdecznie zapraszam!TEKTON PROPERTY TO NAJLEPSZE BIURO NIERUCHOMOŚCI W POLSCE WG KONKURSU LIDER NIERUCHOMOŚCI OTODOM 2020.Znajdź nas w swoim mieście: Gdańsk, ul. Chmielna 10 - Warszawa, Plac Dąbrowskiego 1/311 - Wrocław, ul. Kasztanowa 3A/118 - Kraków, ul. Józefitów 7/4 - Poznań, ul. Rembertowska 15B/2 - Łódź, ul. Zachodnia 70 pok. 223.Podejmując współpracę z przedstawicielami Tekton Property zyskujesz:- oszczędność czasu- weryfikację dokumentów od strony formalno-prawnej- wsparcie agenta na każdym etapie transakcji- pomoc przy uzyskaniu kredytu hipotecznego w kilkunastu bankach- wgląd do umów przed zawarciem aktu notarialnego u sprawdzonych Notariuszy- własne analizy makroekonomiczne i raporty z prowadzonych działań- dostęp do cen transakcyjnych z okolicy Skontaktuj się z opiekunem oferty, a on poprowadzi Cię przez wszystkie etapy transakcji.Zapraszamy do współpracy!Niniejsze ogłoszenie nie stanowi oferty handlowej w rozumieniu przepisów art. 66 k.c., a przedstawione dane mają charakter informacyjny.</t>
  </si>
  <si>
    <t>https://www.otodom.pl/pl/oferta/piekny-dom-z-ogrodem-na-malowniczym-osiedlu-ID4iXu7</t>
  </si>
  <si>
    <t>4iXu7</t>
  </si>
  <si>
    <t>Podwyższony standard deweloperski! Zapraszamy</t>
  </si>
  <si>
    <t>DOM W ZABUDOWIE SZEREGOWEJ - SEGMENT ŚRODKOWY
powierzchnia użytkowa: 74m2
działka: ok.120m2
ilość pokoi: 3 lub 4 (wg życzenia klienta)
pomieszczenia parter: wiatrołap, łazienka, salon z aneksem kuchennym (32m2)
pomieszczenia piętro:  2 x pokój, łazienka, korytarz, schody
strych: dodatkowe 22m2powierzchni
Inwestycja Rodzinny Zakątek zlokalizowana jest nieopodal miasta Kórnik.
Dom wykończony w bogatym pakiecie DEWELOPERSKIM !!!
Na Osiedlu dostępne są również inne rodzaje nieruchomości:
DOM SZEREGOWY 74m2z działką od 120m2w cenie 415.000złbrutto
DOM SZEREGOWY 92m2z działką od 140m2w cenie 480.000zł brutto
DOM SZEREGOWY 92m2skrajny z działką ok 250m2 w cenie od 510.000zł brutto
PAKIET DEWELOPERSKI :• Budynek dwukondygnacyjny z poddaszem użytkowym, ściany nadziemia murowane z silikatów, ściany między domami podwójne, schody żelbetowe• Konstrukcja dachu - wiązary drewniane, dachówka BRASS Romańska w kolorze grafit• Okna PCV siedmiokomorowe (3-szybowe) na profilach Schüco, współczynnik przenikania ciepła szyba U=0,6 w jednostronnej okleinie orzech• Drzwi zewnętrzne PCV o podwyższonym standardzie izolacyjnym• Skrzynki i prowadnice rolet zewnętrznych bez pancerzy• Budynek ocieplony 15-centymetrową warstwą styropianu, z tynkiem silikonowym wraz z obróbkami blacharskimi oraz balustradami• Ściany działowe wewnętrzne gr. 8cm murowane z silikatów, tynk gipsowy, sufit na piętrze ocieplony 20cm wełną i zabudowany płytą G/K, wszystkie ściany i sufity wymalowane w kolorze białym• Posadzki cementowe, izolowane przeciwwilgociowo i cieplnie• Instalacja elektryczna – okablowanie wraz z osprzętem w kolorze białym z wykonaną rozdzielnią• Instalacja RTV-SAT, alarmowa - okablowanie bez osprzętu• Instalacja WOD-KAN-CO-GAZ: kompletny system wodny i grzewczy oparty na produktach firmy VIESSMANN (piec gazowy kondensacyjny, rozdzielacze, ogrzewanie podłogowe i grzejniki, itp.)
W standardzie ogrzewanie podłogowe na całym parterze i w górnej łazience, grzejniki w pokojach na piętrze   
• Nowością w V etapie inwestycji jest wyposażenie domów w nowoczesny bezprzewodowy system sterowania ogrzewaniem wyposażony w regulatory zamontowane w pokojach i łazienkach wraz z siłownikami i zaworami termostatycznymi na grzejnikach oraz z możliwością (za dopłatą) sterownia systemem przez WiFi.
Dzięki temu możemy liczyć na oszczędność oraz wygodę w użytkowaniu domu, system ten będzie pozwalał na sterowanie ogrzewaniem za pomocą smartfona.• Przyłącza: woda miejska, prąd, gaz ziemny, zbiornik bezodpływowy na ścieki o poj. V = 8m³• Taras (16m2), wejście i chodniki wykonane z kostki brukowej• Zagospodarowanie terenu: opłotowanie ogrodu siatką parkanową z obrzeżami trawnikowymi, front wyłożony kostką brukową z miejscem postojowym dla samochodu.• Dom dostosowany pod energię odnawialną - przygotowana wewnętrzna instalacja kablowa do instalacji pod system fotowoltaiczny
DOSTĘPNE MEDIA:• Instalacja światłowodowa INEA(Internet, telewizja kablowa, telefon)• woda AQUANET• gaz miejski PGNiG• energia 3-fazy ENEA• kanaliza, zbiornik bezodpływowy 8m³ z szybkozłączem w płocieCeny domów obejmują całą nieruchomość: dom + działka.Budowane domy w zabudowie szeregowej posiadają pełną własność wraz z działką (działka wydzielona geodezyjnie).Dla wszystkich nieruchomości prowadzone są odrębne księgi wieczyste.Inwestycja objęta rachunkami powierniczymi - dodatkowy środek ochrony klienta.Zachęcamy do obejrzenia naszych osiedli na filmie:https://www.youtube.com/watch?v=1jqXns_Q3nUhttps://youtu.be/ql_rPKxMUd8Płatność za dom w transzach.Pełna możliwość zmian aranżacyjnych (ścianki działowe, instalacja elektryczna i niskoprądowa, instalacja grzewcza itd.). Na życzenie Klienta możemy wykończyć dom „POD KLUCZ” wg wytycznych klienta.
Takie realizacje są ustalane indywidualnie.ZAPRASZAMYwww.kmbuilding.pl</t>
  </si>
  <si>
    <t>https://www.otodom.pl/pl/oferta/podwyzszony-standard-deweloperski-zapraszamy-ID4jJo0</t>
  </si>
  <si>
    <t>4jJo0</t>
  </si>
  <si>
    <t>Piękny lokal w wyremontowanej kamienicy</t>
  </si>
  <si>
    <t>ul. kpt. Pilota Franciszka Żwirki, Centrum, Śródmieście, Łódź, łódzkie</t>
  </si>
  <si>
    <t>Mieszkanie położone na 2 piętrze w kamienicy przy skrzyżowaniu Żwirki i Kościuszki. Lokal po kapitalnym remoncie, idealnie wpasowujący się klimat apartamentu w kamienicy. Mieszkanie z drewnianymi podłogami i stolarką drzwiową co idealnie współgra z historycznym stylem budynku w którym się ono znajduje.Ogrzewanie gazowe. Przed budynkiem duży, miejski parking co korzystnie wpływa na wykorzystanie potencjału lokalu pod siedzibę firmy czy kancelarii. Zachęcam do zapoznania się z wirtualnym spacerem po nieruchomości -link do niego znajdziecie w ogłoszeniu oraz u Agenta.s://sb360.online/eykonx?hlBy kupić nową nieruchomość musisz sprzedać inną?  Skontaktuj się z nami! Zaproponujemy Ci jej odkup lub korzystne warunki sprzedaży i dopilnujemy zgrania terminów.</t>
  </si>
  <si>
    <t>https://www.otodom.pl/pl/oferta/piekny-lokal-w-wyremontowanej-kamienicy-ID4emB6</t>
  </si>
  <si>
    <t>4emB6</t>
  </si>
  <si>
    <t>penthouse | 70m taras | ciche | Miasteczko Wilanów</t>
  </si>
  <si>
    <t>Miasteczko Wilanów, Błonia Wilanowskie, Wilanów, Warszawa, mazowieckie</t>
  </si>
  <si>
    <t xml:space="preserve">Sarmacka | penthouse | taras 70 m2 | 2 sypialnie | ciche | świetny rozkład | PREMIUM
Na sprzedaż apartament z dwiema sypialniami, położony w Miasteczku Wilanów przy ulicy Sarmackiej.
Mieszkanie znajduje się na 4 piętrze budynku na strzeżonym osiedlu. Lokal ma  praktyczny układ pomieszczeń, który pozwoli na komfortowe zamieszkanie rodziny z dzieckiem i został wykończony przy użyciu wysokiej jakości materiałów. W każdym z pomieszczeń znajdują się szafy wnękowe. Niewątpliwym atutem jest duży taras, o powierzchni 70m2 oraz położenie z dala od ulicy (okna wychodzą na ciche patio).
Lokalizacja:
Fantastyczna lokalizacja w samym sercu Miasteczka Wilanów, w pobliżu Pałacu w Wilanowie. Świetna infrastruktura: sklepy, restauracje, punkty usługowe, klubiki dla mam z dziećmi, place zabaw, siłownie, ścieżki rowerowe, siłownie plenerowe. W miewielkiej odległości znajdują się prywatne i państwowe przedszkola oraz żłobki. Atutem również jest dostępność do licznych szkół społecznych i prywatnych, min: British Primary School of Warsaw, Polsko – Niemiecka Szkoła Spotkań i Dialogu im. Willyego Brandta, Szkoła Podstawowa im  Einsteina.
Komunikacja:
Miasteczko Wilanów jest dobrze skomunikowane z pozostałymi dzielnicami i centrum miasta. Łatwy dostęp do licznych linii autobusowych, linia tramwajowa w realizacji. Południowa obwodnica Warszawy w odległości zaledwie 5 minut samochodem. 
Układ pomieszczeń:
salon z wyjściem na taras
otwarta kuchnia
łazienka z wanną
2 sypialnie
Dodatkowe informacje:
miejsce postojowe w garażu dodatkowo płatne (50.000 PLN)
komorka lokatorska dodatkowo płatna (20.000 PLN)
budynek z ochroną
</t>
  </si>
  <si>
    <t>https://www.otodom.pl/pl/oferta/penthouse-70m-taras-ciche-miasteczko-wilanow-ID4lVdS</t>
  </si>
  <si>
    <t>4lVdS</t>
  </si>
  <si>
    <t>Piękne jasne mieszkanie 65 m2 os.Południe</t>
  </si>
  <si>
    <t>ul. Posłów Greckich, Radom, mazowieckie</t>
  </si>
  <si>
    <t>Sprzedam bezpośrednio jasne przytulne mieszkanie na osiedlu Południe.
Nieruchomość o powierzchni 65 m2 składa się z salonu z otwartą kuchnią, dwóch pokoi, przedpokoju, dużego balkonu oraz łazienki z WC. Dodatkowo w cenie mieszkania jest komórka lokatorska.
Kuchnia w pełni umeblowana, zainstalowane sprzęty AGD :  lodówka w zabudowie, zmywarka, piekarnik, mikrofala oraz płyta grzewcza. W jednym z pokoi stoi rozkładana kanapa i zrobiona została szafa na wymiar, natomiast w drugim pokoju znajduje się kanapa i komoda. Z każdego pokoju jest wyjście na balkon. Przedpokój kompleksowo wykończony meblami na zamówienie. We wszystkich oknach zamontowano rolety. Zrobione zostały także maskownice karniszy i szyny zamontowane do sufitu, żeby powieszone firany i zasłony wyglądały jak najlepiej. Dodatkowym atutem jest klimatyzacja w salonie. Mieszkanie zaprojektowano z dbałością o szczególy i wybierano materiały, które sprawdzą się przez lata. 
Czynsz wynosi ok. 700 zł i zawiera m.in. wywóz nieczystości, zaliczkę na c.o., fundusz remontowy, sprzątanie, eksploatacje windy.
Możliwość wykupienia miejsca postojowego w garażu podziemnym koszt 35 000zł.
Budynek z 2020 roku wybudowany materiałami najwyższej jakości z dwoma cichobieżnymi windami.
Jeśli nie dla siebie to IDEALNE mieszkanie pod inwestycje. Nieruchomość znajduje się w bardzo atrakcyjnej okolicy. Osiedle Południe to jedna z najbardziej zielonych i przyjaznych dzielnic Radomia. W pobliżu znajdują się m.in. szkoły, przedszkola, sklepy, przychodnia, park z siłownią oraz dużym placem zabaw.
Świetna komunikacja Osiedla ze wszystkimi częściami miasta. Dojazd do ścisłego centrum zajmuje ok. 10 minut.
Szybki wyjazd do obwodnicy miasta w kierunku Warszawa, Kraków, Lublin, Rzeszów, Łódź.
Polecam serdecznie i zapraszam do oglądania, zdjęcia nie oddają uroku mieszkania.
W razie pytań proszę o kontakt telefoniczny pod numerem 534 740 320.
 </t>
  </si>
  <si>
    <t>https://www.otodom.pl/pl/oferta/piekne-jasne-mieszkanie-65-m2-os-poludnie-ID4ms7u</t>
  </si>
  <si>
    <t>4ms7u</t>
  </si>
  <si>
    <t>3-pokojowe nad jeziorem 0% prowizji dla kupującego</t>
  </si>
  <si>
    <t>Z przyjemnością prezentujemy Państwu wyjątkową ofertę apartamentu o powierzchni 51,51 m2 z tarasami o powierzchni 23,99 m2 i 12,42 m2 oraz balkonem 12,35 m2 na sprzedaż, położonego nad malowniczym jeziorem w urokliwym miejscu Szczecina. Ten ekskluzywny apartament o możliwości wykończenia pod klucz zachwyci nawet najbardziej wymagających klientów, oferując nie tylko doskonały widok na jezioro, ale również unikalny standard życia. Apartamenty znajdują się na nowoczesnym osiedlu, które charakteryzuje się innowacyjnym podejściem do urbanistyki. Zabudowa utrzymana w nowoczesnym stylu harmonijnie komponuje się z otaczającym krajobrazem, tworząc przestrzeń sprzyjającą spokoju i relaksowi. Każde mieszkanie jest wyposażone w przestronne tarasy, skąd można cieszyć się pięknymi widokami na jezioro i okolicę.Dla wygody mieszkańców, osiedle zapewnia liczne miejsca parkingowe, aby zapewnić bezproblemowe parkowanie dla wszystkich mieszkańców i ich gości. Apartamenty zostały zaprojektowane z myślą o podwyższonym standardzie życia klasy premium, z dbałością o najdrobniejsze szczegóły. Wykorzystanie materiałów najwyższej jakości oraz starannie dobrane wykończenia podkreślają luksusowy charakter tych przestrzeni.Wnętrza apartamentów oferują nie tylko komfort, ale również nowoczesność dzięki zastosowaniu inteligentnej instalacji domowej. Dzięki temu mieszkania stają się bardziej funkcjonalne i dostosowane do indywidualnych potrzeb mieszkańców. Ogrzewanie podłogowe zapewnia równomierne i przyjemne ciepło w każdym pomieszczeniu, co pozwala na komfortowe korzystanie z przestrzeni przez cały rok.Na szczycie budynku znajdują się także tarasy na dachu, które stanowią idealne miejsce do odpoczynku, relaksu i podziwiania zachodu słońca nad jeziorem. To doskonałe miejsce, aby spędzić czas z rodziną i przyjaciółmi, ciesząc się wyjątkowymi widokami.Zachęcamy do kontaktu z naszym biurem sprzedaży, aby uzyskać więcej informacji na temat tej unikalnej oferty. Ten apartament nad jeziorem w Szczecinie to prawdziwa perła, która spełni oczekiwania najbardziej wymagających klientów poszukujących luksusowego i komfortowego stylu życia w otoczeniu przyrody i nowoczesnej architektury.Nad Dębską Strugą, tuż przy jeziorze Dąbie Małe, w pobliżu wody, zieleni. Z poranną kawą na świeżym powietrzu, z towarzyskim popołudniem na tarasie na dachu, ze spokojnym wieczorem w kojącej saunie z widokiem na nadbrzeże. I z prywatnym miejscem postojowym na łódź. Wśród niepowtarzalnej przyrody, a jednak w mieście. Takie będzie Twoje mieszkanie w klasie premium na osiedlu nad jeziorem w Szczecinie.Wysokiej jakości apartamenty położone w jedynej w swoim rodzaju lokalizacji będą doskonałym miejscem do zamieszkania, jako second home, czy wartościowa inwestycja pod wynajem.ZAPRASZAMY DO KONTAKTU +48501955010Oferta wysłana z programu dla biur nieruchomości ASARI CRM ()</t>
  </si>
  <si>
    <t>https://www.otodom.pl/pl/oferta/3-pokojowe-nad-jeziorem-0-prowizji-dla-kupujacego-ID4oHJ2</t>
  </si>
  <si>
    <t>4oHJ2</t>
  </si>
  <si>
    <t>4 pokoje z windą blisko pętli 114</t>
  </si>
  <si>
    <t>ul. Boiskowa, Bieńkowice, Krzyki, Wrocław, dolnośląskie</t>
  </si>
  <si>
    <t>Najlepsza cena za 4 pokoje z balkonem i windą na południu Wrocławia!Opiekun oferty:Jacek Mamińskitel. 602 101 602Szczegóły:4-pokojowe mieszkanie o powierzchni 59,88 m2 na 2 piętrze w budynku z windą.Układ mieszkania:- Salon z aneksem kuchennym 18,32 m2- Pokój 9,60 m2- Pokój 9,54 m2- Pokój 8,30 m2 - Łazienka 3,90 m2- Przedpokój 10,22 m2- - Balkon 5,00 m2Najważniejsze informacje:Miejsce w garażu podziemnym 30.000 złNieruchomość w stanie deweloperskimWystawa okien: północno-zachodniaOgrzewanie: miejskie Czynsz: ok. 500 złMożliwość wykończenia pod kluczOtoczenie:Parki: Bieńkowicki, BrochowskiŻłobekSzkołaSzpitalSklepyStacja PKP BrochówRekomendacja eksperta:Doskonałe dla rodziny poszukującej spokoju i zieleni.Opiekun oferty:Jacek Mamińskitel. 602 101 602</t>
  </si>
  <si>
    <t>https://www.otodom.pl/pl/oferta/4-pokoje-z-winda-blisko-petli-114-ID4ng25</t>
  </si>
  <si>
    <t>4ng25</t>
  </si>
  <si>
    <t xml:space="preserve">GURDNIOWE OKAZJE NA ZAKUP MIESZKANIA – OSTATNIA SZANSA NA KREDYT 2 % - UMÓW WIZYTĘ i zobacz na ŻYWO 
UMOWA REZERWACYJNA → GWARANTOWANA NISKA CENA !!!
Bezpośrednia sprzedaż od dewelopera
BEZ PROWIZJI - BRAK PODATKU PCC – 0 zł – RYNEK PIERWOTNY
Wyjątkowe OKAZJE na miejsca postojowe
Oferta dla klientów BEZPIECZNY KREDYT 2 %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3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</si>
  <si>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https://www.otodom.pl/pl/oferta/nowe-4-pokoje-kredyt-2-cena-do-konca-tygodnia-ID4orYL</t>
  </si>
  <si>
    <t>4orYL</t>
  </si>
  <si>
    <t>86 m rozkładowe, centrum, idealne pod inwestycję</t>
  </si>
  <si>
    <t>PO RAZ PIERWSZY WYSTAWIONE NA SPRZEDAŻ. MIESZKANIE 86 METRÓW NA DRUGIM PIĘTRZE KAMIENICY Z CEGŁY NA STARYM POLESIU W ŁODZI. POKÓJ 39M(ILOŚĆ OKIEN UMOŻLIWIA PODZIAŁ NA DWA POKOJE) , POKÓJ 28M, WC1M, ŁAZIENKA 3.7M , PRZEDPOKÓJ I CIĄGI KOMUNIKACYJNE 14M. MIESZKANIE JEST WIDNE, MA 6 OKIEN, 4 WYMIENIONE NA PLASTIKOWE. MIESZKANIE DO REMONTU, OGRZEWANE PRZEZ PIECE KAFLOWE. W MIEJSCE PIECY MOŻNA POSTAWIĆ KOMINKI LUB OGRZEWANIE GAZOWE. PRĄD, WODA W MIESZKANIU, SĄ RÓWNIEŻ INSTALACJE POD GAZ (LICZNIK ZDJĘTY). NA KLATCE SCHODOWEJ NOWE PRZEWODY ELEKTRYCZNE UMOŻLIWIAJĄ PODŁĄCZENIE PŁYTY INDUKCYJNEJ. PIONY KANALIZACYJNE W ŁAZIENCE I WC SĄ JUŻ WYMIENIONE CO UŁATWI REMONT. MIESZKANIE WYSOKIE 3.55M, MOŻLIWOŚĆ ZROBIENIA ANTRESOLI. NA PODŁODZE W POKOJACH PONAD 100-LETNI NIELAKIEROWANY DĘBOWY PARKIET, WYSTARCZY WYCYKLINOWAĆ. 
DO MIESZKANIA PRZYNALEŻY WYSOKA PIWNICA WIELKOŚCI OKOŁO 6M.
TEREN ZAMKNIĘTY Z DOMOFONEM. 
SPRZEDAJĘ JAKO OSOBA PRYWATNA, PEŁNA WŁASNOŚĆ, KSIĘGA WIECZYSTA BEZ ZADŁUŻEŃ, JEDEN WŁAŚCICIEL. MIESZKANIE W MODERNIZOWANEJ OKOLICY W OTOCZENIU NOWYCH BLOKÓW I PIĘKNYCH KAMIENIC. REWITALIZACJA TEJ CZĘŚCI ŁODZI PRZEWIDZIANA JEST W CIĄGU NAJBLIŻSZYCH LAT.
KAMIENICA ZARZĄDZANA PRZEZ WSPÓLNOTĘ. CZYNSZ 450ZŁ.
10MINUT PIESZO DO WAMU, 15 MINUT DO POLITECHNIKI ŁÓDZKIEJ. 
MIESZKANIE DOSTĘPNE OD ZARAZ, CENA 420000ZŁ.
OSOBA DO KONTAKTU:  TOMASZ TEL. 502313811</t>
  </si>
  <si>
    <t>https://www.otodom.pl/pl/oferta/86-m-rozkladowe-centrum-idealne-pod-inwestycje-ID4o2sf</t>
  </si>
  <si>
    <t>4o2sf</t>
  </si>
  <si>
    <t>Dom wolnostojący w otulinie puszczy Kampinoskiej !</t>
  </si>
  <si>
    <t>Sadowa, Łomianki, warszawski zachodni, mazowieckie</t>
  </si>
  <si>
    <t xml:space="preserve">Do sprzedania dom wolnostojący w otulinie  Puszczy Kampinoskiej we wsi Sadowa gmina Łomianki.
Dom 5-cio pokojowy o powierzchni użytkowej 121m2 na działce 680 m2.  
Parter:
- salon z kominkiem z wyjściem na taras częściowo zadaszony,
- jadalnia i kuchnia (z pełnym AGD) w otwartym planie,
- główna sypialnia z własną łazienką (wanna, , umywalka, bidet, wc)
- pokój gościnny (można zamienić na dużą garderobę)
-pomieszczenie techniczne/pralnia
- WC z umywalką.
Piętro:
- dwie sypialnie (wschodnia i zachodnia z loggią)
- łazienka z kabiną prysznicową
Dom jest klimatyzowany, świeżo po generalnym remoncie i całkowitym ociepleniu. Posiada certyfikaty: energetyczny, gazowy, elektryczny,
kominiarski. Własne ujęcie wody, szambo. Dom podłączony światłowodem do Internetu. Monitorowany kamerami.
Ogród porośnięty jest trawą na podłożu z siatki zabezpieczającej przed kretami. W narożniku domek gospodarczy.
Położenie : w sąsiedztwie domy wolnostojące na dużych działkach. Teren bardzo bezpieczny i przyjazny.
przedszkole – 300m
szkoła nowo wybudowana – 500m
przystanek autobusowy – 250m
wejście do Puszczy Kampinoskiej – 350m
dojazd do centrum Warszawy samochodem 20 - 40 minut (w porannym szczycie).
Więcej zdjęć oraz plan pomieszczeń dostępny mailowo. 
cena: 1.690.000
510 620 060 
Serdecznie zapraszam! 
</t>
  </si>
  <si>
    <t>https://www.otodom.pl/pl/oferta/dom-wolnostojacy-w-otulinie-puszczy-kampinoskiej-ID4obzU</t>
  </si>
  <si>
    <t>4obzU</t>
  </si>
  <si>
    <t>Dwupoziomowe mieszkanie blisko Galerii Kazimierz</t>
  </si>
  <si>
    <t xml:space="preserve">   Słoneczne, dwupoziomowe mieszkanie w okolicy Bulwarów Wiślanych i Galerii Kazimierz  [NA WYŁĄCZNOŚĆ]    ENGLISH DESCRIPTION BELOW - PLEASE DO NOT HESITATE TO CONTACT US   Hamilton May prezentuje ofertę sprzedaży 3 pokojowego mieszkania położonego w atrakcyjnej lokalizacji na Grzegórzkach w pobliżu Galerii Kazimierz      → OPIS NIERUCHOMOŚCI   Dwupoziomowe mieszkanie o powierzchni 67m2 położone jest na ostatniej i przedostatniej kondygnacji 4 piętrowego budynku z windą.W skład nieruchomości wchodzą:POZIOM I: salon z otwartą kuchnią, toaleta, 2 balkonyPOZIOM II: gabinet (sypialnia), sypialnia, łazienka.Mieszkanie zostało nowocześnie urządzone oraz wyposażone we wszystkie sprzęty AGD: zmywarka, lodówka, piekarnik, pralka, kuchenka gazowa.Mieszkanie jest bardzo słoneczne.          → BUDYNEK   Nieruchomość mieści się w zadbanym kameralnym budynku z windą.         → LOKALIZACJA   Nieruchomość zlokalizowana jest w malowniczej dzielnicy Grzegórzki, co stanowi doskonałą lokalizację z wieloma atutami. To idealne miejsce dla tych, którzy pragną być blisko serca Krakowa, a jednocześnie cieszyć się spokojem i urokami okolicy. Położenie tej nieruchomości gwarantuje wygodny dostęp zarówno do historycznego Kazimierza, pełnego kulturowych atrakcji i restauracji, jak i urokliwego Starego Miasta z jego zabytkami i klimatycznymi uliczkami. Spacer na te tereny zajmuje zaledwie kilka minut, co czyni tę lokalizację wyjątkowo atrakcyjną. Co więcej, w bezpośrednim sąsiedztwie znajduje się Galeria Kazimierz, co oznacza, że miłośnicy zakupów, rozrywki, czy kulinarnych doznań będą mieli to wszystko na wyciągnięcie ręki. Dodatkowo, Bulwary Wiślane, rozciągające się wzdłuż rzeki Wisły, zapewniają idealne miejsce na spacery, jogging, czy pikniki, co sprawia, że życie w tym miejscu jest pełne możliwości rekreacyjnych. ﻿Bliskość Ronda Grzegórzeckiego zapewnia znakomity dostęp do komunikacji miejskiej.         → OPŁATY   Cena 1 090 000 PLN      W celu obejrzenia nieruchomości prosimy o kontakt z biurem Hamilton May.      Numer oferty: 19471   - - - - - - - - - - - - - - - - - - - - - - - - - - - - - - - - - - - - - - - - - - - - - - - - - -   A sunny, two bedroom apartment, in the vicinity of Bulwary Wiślane and Galeria Kazimierz  [EXCLUSIVE OFFER]    Hamilton May presents an attractively located two bedroom apartment offered for sale in Grzegórzki close to Galeria Kazimierz.      → PROPERTY DESCRIPTION   The presented 2-level apartment has 67m2 and is located on the top two floors of a 4-story building with an elevator.The property consists of:LEVEL I: living room with an open kitchen, toilet, 2 balconies.LEVEL II: study (bedroom), bedroom, bathroom.The apartment has been modernly furnished and equipped with a complete set of household appliances: dishwasher, fridge, oven, washing machine, gas cooker.The property is very sunny.         → BUILDING   The property is located in a well maintaied, discreet building with a lift.         → LOCATION   The property is located in the picturesque Grzegórzki district, which offers an excellent location with numerous advantages. It's an ideal place for those who want to be close to the heart of Krakow while enjoying the tranquility and charms of the area. The location of this property ensures convenient access to both the historic Kazimierz, full of cultural attractions and restaurants, and the charming Old Town with its historic landmarks and atmospheric streets. A walk to these areas takes just a few minutes, making this location exceptionally attractive. Furthermore, in the immediate vicinity, you'll find Galeria Kazimierz, which means that shopping enthusiasts, entertainment seekers, and culinary enthusiasts will have everything at their fingertips. Additionally, the Vistula Boulevards, stretching along the Vistula River, provide an ideal place for walks, jogging, or picnics, making life in this area full of recreational opportunities. The proximity to Rondo Grzegórzeckie ensures excellent access to public transportation.         → PRICING   Price 1,090,000 PLN      Hamilton May invites all interested parties to contact their real-estate agents and arrange a viewing.      Reference number: 19471    </t>
  </si>
  <si>
    <t>https://www.otodom.pl/pl/oferta/dwupoziomowe-mieszkanie-blisko-galerii-kazimierz-ID4nfV2</t>
  </si>
  <si>
    <t>4nfV2</t>
  </si>
  <si>
    <t>Okolice Stabłowickiej / 3 pokoje / rozkładowe / ba</t>
  </si>
  <si>
    <t>Lubomierska, Pracze Odrzańskie, Fabryczna, Wrocław, dolnośląskie</t>
  </si>
  <si>
    <t>Zamieszkaj w trzypokojowym, rozkładowym mieszkaniu, w cichej i spokojnej okolicy, na Stabłowicach!Opiekun oferty:Piotr Kokoszczyktel. 602 101 602Najważniejsze informacje:- Mieszkanie 3-pokojowe, rozkładowe- Balkon- Winda- Piętro 1/4- Ekspozycja okien: wschód / północBardzo dobrze skomunikowane, 3-pokojowe mieszkanie na Stabłowicach. Czysta i przestronna klatka schodowa. Okna PCV, na ścianach gładzie. Miejsca parkingowe dla mieszkańców za szlabanem.Układ pomieszczeń:Mieszkanie jest rozkładowe, o ekspozycji wschodniej (sypialnie i balkon) oraz północnej (aneks).Lokal składa się z:- Salonu z aneksem kuchennym - ok. 19,5 m2- Sypialni - ok. 11,4 m2- Sypialni - ok. 10,3 m2- Łazienki z WC - ok. 4,3 m2- Przedpokoju - ok. 7,7 m2Otoczenie nieruchomości:Mieszkanie znajduje się na nowoczesnym osiedlu, na Stabłowicach. Inwestycja otoczona kameralną zabudową osiedlową. W pobliżu liczne sklepy spożywcze oraz punkty usługowe. Pobliski dworzec i przystanki autobusowe umożliwiają swobodną komunikację na terenie całego Wrocławia. W sąsiedztwie Park Stabłowicki oraz Park Pracki.Rekomendacja Eksperta SDP Nieruchomości:Tę nieruchomość polecam parom oraz rodzinom, które cenią sobie spokojną okolicę z pełną infrastrukturą.Niedostateczne środki? To nie problem:Pomagamy w uzyskaniu finansowania na tę i inne nieruchomości. Zadzwoń i zapytaj o szczegóły.Zapraszam na prezentację:Piotr Kokoszczyktel. 602 101 602</t>
  </si>
  <si>
    <t>https://www.otodom.pl/pl/oferta/okolice-stablowickiej-3-pokoje-rozkladowe-ba-ID4nQys</t>
  </si>
  <si>
    <t>4nQys</t>
  </si>
  <si>
    <t>DOM W ZABUDOWIE SZEREGOWEJ - SEGMENT ŚRODKOWY
powierzchnia użytkowa: 74m2
działka: ok.120m2
ilość pokoi: 3 lub 4 (wg życzenia klienta)
pomieszczenia parter: wiatrołap, łazienka, salon z aneksem kuchennym (32m2)
pomieszczenia piętro:  2 x pokój, łazienka, korytarz, schody
strych: dodatkowe 22m2powierzchni
Inwestycja Rodzinny Zakątek zlokalizowana jest nieopodal miasta Kórnik.
Dom wykończony w bogatym pakiecie DEWELOPERSKIM !!!
Na Osiedlu dostępne są również inne rodzaje nieruchomości:
DOM SZEREGOWY 74m2z działką od 120m2w cenie 415.000złbrutto
DOM SZEREGOWY 92m2z działką od 140m2w cenie 480.000zł brutto
DOM SZEREGOWY 92m2skrajny z działką ok 250m2 w cenie od 510.000zł brutto
PAKIET DEWELOPERSKI :• Budynek dwukondygnacyjny z poddaszem użytkowym, ściany nadziemia murowane z silikatów, ściany między domami podwójne, schody żelbetowe• Konstrukcja dachu - wiązary drewniane, dachówka BRASS Romańska w kolorze grafit• Okna PCV siedmiokomorowe (3-szybowe) na profilach Schüco, współczynnik przenikania ciepła szyba U=0,6 w jednostronnej okleinie orzech• Drzwi zewnętrzne PCV o podwyższonym standardzie izolacyjnym• Skrzynki i prowadnice rolet zewnętrznych bez pancerzy• Budynek ocieplony 15-centymetrową warstwą styropianu, z tynkiem silikonowym wraz z obróbkami blacharskimi oraz balustradami• Ściany działowe wewnętrzne gr. 8cm murowane z silikatów, tynk gipsowy, sufit na piętrze ocieplony 20cm wełną i zabudowany płytą G/K, wszystkie ściany i sufity wymalowane w kolorze białym• Posadzki cementowe, izolowane przeciwwilgociowo i cieplnie• Instalacja elektryczna – okablowanie wraz z osprzętem w kolorze białym z wykonaną rozdzielnią• Instalacja RTV-SAT, alarmowa - okablowanie bez osprzętu• Instalacja WOD-KAN-CO-GAZ: kompletny system wodny i grzewczy oparty na produktach firmy VIESSMANN (piec gazowy kondensacyjny, rozdzielacze, ogrzewanie podłogowe i grzejniki, itp.)
W standardzie ogrzewanie podłogowe na całym parterze i w górnej łazience, grzejniki w pokojach na piętrze   
• Nowością w V etapie inwestycji jest wyposażenie domów w nowoczesny bezprzewodowy system sterowania ogrzewaniem wyposażony w regulatory zamontowane w pokojach i łazienkach wraz z siłownikami i zaworami termostatycznymi na grzejnikach oraz z możliwością (za dopłatą) sterownia systemem przez WiFi.
Dzięki temu możemy liczyć na oszczędność oraz wygodę w użytkowaniu domu, system ten będzie pozwalał na sterowanie ogrzewaniem za pomocą smartfona.• Przyłącza: woda miejska, prąd, gaz ziemny, zbiornik bezodpływowy na ścieki o poj. V = 8m³• Taras (16m2), wejście i chodniki wykonane z kostki brukowej• Zagospodarowanie terenu: opłotowanie ogrodu siatką parkanową z obrzeżami trawnikowymi, front wyłożony kostką brukową z miejscem postojowym dla samochodu.• Dom dostosowany pod energię odnawialną - przygotowana wewnętrzna instalacja kablowa do instalacji pod system fotowoltaiczny
DOSTĘPNE MEDIA:• Instalacja światłowodowa INEA(Internet, telewizja kablowa, telefon)• woda AQUANET• gaz miejski PGNiG• energia 3-fazy ENEA• kanaliza, zbiornik bezodpływowy 8m³ z szybkozłączem w płocieCeny domów obejmują całą nieruchomość: dom + działka.Budowane domy w zabudowie szeregowej posiadają pełną własność wraz z działką (działka wydzielona geodezyjnie).Dla wszystkich nieruchomości prowadzone są odrębne księgi wieczyste.Inwestycja objęta rachunkami powierniczymi - dodatkowy środek ochrony klienta.Zachęcamy do obejrzenia naszych osiedli na filmie:https://www.youtube.com/watch?v=1jqXns_Q3nUhttps://youtu.be/ql_rPKxMUd8Płatność za dom w transzach.Pełna możliwość zmian aranżacyjnych (ścianki działowe, instalacja elektryczna i niskoprądowa, instalacja grzewcza itd.). Na życzenie Klienta możemy wykończyć dom „POD KLUCZ” wg wytycznych klienta.
Takie realizacje są ustalane indywidualnie.ZAPRASZAMYwww.kmbuilding.pl</t>
  </si>
  <si>
    <t>https://www.otodom.pl/pl/oferta/podwyzszony-standard-deweloperski-zapraszamy-ID4iVRg</t>
  </si>
  <si>
    <t>4iVRg</t>
  </si>
  <si>
    <t xml:space="preserve">SUNDAY Resort Ustronie Morskie jest kameralnym, całorocznym kompleksem dwóch budynków z windami oraz częścią rekreacyjną. Łącznie przewidujemy oddanie 59 samodzielnych lokali z łazienkami, aneksami kuchennymi i balkonami. Niewielka ilość apartamentów zapewni inwestycji prywatny, rodzinny charakter, daleki od zgiełku rozbudowanych molochów apart-hotelowych.
Mieszkania znajdujące się na poddaszu będą dwupoziomowe z częścią mieszkalną lub praktycznym schowkiem na strychu. W tych znajdujących się na parterze przewidzieliśmy ogródki lub tarasy.
Na terenie inwestycji znajdzie się:
- kryty basen
- jacuzzi
- sauna fińska
- parking z miejscami postojowymi ogólnodostępnymi dla mieszkańców.
Zadbaliśmy więc o to, żeby był to obiekt atrakcyjny dla mieszkańców niezależnie od pogody i pory roku.
Podana w ofercie cena dotyczy apartamentów wykończonych „POD KLUCZ”.
W tym standardzie otrzymujecie Państwo gotowy do zamieszkania lokal, w którym wykonane są:
·         gładzie z malowaniem
·         panel podłogowy na posadzce (za wyjątkiem łazienki) wraz z listwami cokołowymi
·         kompletny osprzęt elektryczny oraz oprawy oświetleniowe
·         drzwi zewnętrzne oraz drzwi wewnętrzne w lokalu
·         w łazience glazura i terakota oraz kompletny biały montaż (kabina prysznicowa z brodzikiem, podwieszana miska WC z przyciskiem, szafka z umywalką, baterie umywalkowa i prysznicowa, lustro)
·         kompletna zabudowa aneksu kuchennego – meble na wymiar z oświetleniem LED, wraz ze sprzętem AGD (zmywarka, lodówka podblatowa, płyta indukcyjna 2-palnikowa, okap podszafkowy
·         szafy na wymiar w przedpokoju i sypialni
·         łóżko do sypialni 160x200 z materacem i wezgłowiem tapicerowanym
·         w salonie sofa z funkcją spania
·         stół i krzesła dla 4 osób
·         stolik kawowy
·         szafka RTV
·         telewizor podwieszany SAMSUNG 55”
·         pralka
·         komplet firan typu woal oraz zasłon zaciemniających
·         komplet wyposażenia drobnego kuchni (sztućce, zastawa stołowa, itp.) oraz niezbędnych dodatków
Zachęcamy do skorzystania z naszego doświadczenia i powierzenia nam kompleksowego wykończenia i wyposażenia apartamentu.
Dla osób zainteresowanych indywidualnymi rozwiązaniami istnieje możliwość wykonania odrębnego projektu wnętrza, jego wyceny i realizacji.
Apartamenty oferowane w ramach inwestycji SUNDAY Resort są lokalami mieszkalnymi i objęte są 8% stawką VAT. Ceny podane w ogłoszeniu stanowią wartość brutto.
 O INWESTORZE
Jako inwestor – ARCHICORP – możemy pochwalić się wieloma realizacjami mieszkaniowymi. W każdej zwracamy uwagę na detale i nie szukamy kompromisów w kwestiach jakości. Dzięki doświadczonemu zespołowi i szerokiej bazie sprawdzonych wykonawców, realizujemy mieszkania „pod klucz” nie tylko w zakresie wykończenia ścian czy podłóg, ale również mebli, oświetlenia i dodatków. W naszym portfolio znajdują się prestiżowe obiekty mieszkalne AZURE Premium oraz WESTIN HOUSE Resort w Kołobrzegu. Zapraszamy do zapoznania się z jakością naszych usług na tych realizacjach.
O APARTAMENCIE
Apartament nr: 1, typ B
Piętro: Parter
Powierzchnia pod ściankami działowymi: 0,51m2
Powierzchnia użytkowa: 32,85m2
Powierzchnia tarasu: 8,54m2
Łącznie: 41,9m2
Ilość pokoi: 2
Cena brutto wraz z podatkiem 8% VAT: 468 000,00zł
Zamów bezpłatny katalog, aby zapoznać się z naszą inwestycją. Prześlij zamówienie na adres:[email title="kontakt"], a niezwłocznie prześlemy do Ciebie komplet materiałów.
Serdecznie zapraszamy,
Zespół ARCHICORP
</t>
  </si>
  <si>
    <t>https://www.otodom.pl/pl/oferta/pod-klucz-apartament-sunday-ustronie-morskie-ID4jrOS</t>
  </si>
  <si>
    <t>4jrOS</t>
  </si>
  <si>
    <t xml:space="preserve">SUNDAY Resort Ustronie Morskie jest kameralnym, całorocznym kompleksem dwóch budynków z windami oraz częścią rekreacyjną. Łącznie przewidujemy oddanie 59 samodzielnych lokali z łazienkami, aneksami kuchennymi i balkonami. Niewielka ilość apartamentów zapewni inwestycji prywatny, rodzinny charakter, daleki od zgiełku rozbudowanych molochów apart-hotelowych.
Mieszkania znajdujące się na poddaszu będą dwupoziomowe z częścią mieszkalną lub praktycznym schowkiem na strychu. W tych znajdujących się na parterze przewidzieliśmy ogródki lub tarasy.
Na terenie inwestycji znajdzie się:
- kryty basen
- jacuzzi
- sauna fińska
- parking z miejscami postojowymi ogólnodostępnymi dla mieszkańców.
Zadbaliśmy więc o to, żeby był to obiekt atrakcyjny dla mieszkańców niezależnie od pogody i pory roku.
Podana w ofercie cena dotyczy apartamentów wykończonych „POD KLUCZ”.
W tym standardzie otrzymujecie Państwo gotowy do zamieszkania lokal, w którym wykonane są:
·         gładzie z malowaniem
·         panel podłogowy na posadzce (za wyjątkiem łazienki) wraz z listwami cokołowymi
·         kompletny osprzęt elektryczny oraz oprawy oświetleniowe
·         drzwi zewnętrzne oraz drzwi wewnętrzne w lokalu
·         w łazience glazura i terakota oraz kompletny biały montaż (kabina prysznicowa z brodzikiem, podwieszana miska WC z przyciskiem, szafka z umywalką, baterie umywalkowa i prysznicowa, lustro)
·         kompletna zabudowa aneksu kuchennego – meble na wymiar z oświetleniem LED, wraz ze sprzętem AGD (zmywarka, lodówka podblatowa, płyta indukcyjna 2-palnikowa, okap podszafkowy
·         szafy na wymiar w przedpokoju i sypialni
·         łóżko do sypialni 160x200 z materacem i wezgłowiem tapicerowanym
·         w salonie sofa z funkcją spania
·         stół i krzesła dla 4 osób
·         stolik kawowy
·         szafka RTV
·         telewizor podwieszany SAMSUNG 55”
·         pralka
·         komplet firan typu woal oraz zasłon zaciemniających
·         komplet wyposażenia drobnego kuchni (sztućce, zastawa stołowa, itp.) oraz niezbędnych dodatków
Zachęcamy do skorzystania z naszego doświadczenia i powierzenia nam kompleksowego wykończenia i wyposażenia apartamentu.
Dla osób zainteresowanych indywidualnymi rozwiązaniami istnieje możliwość wykonania odrębnego projektu wnętrza, jego wyceny i realizacji.
Apartamenty oferowane w ramach inwestycji SUNDAY Resort są lokalami mieszkalnymi i objęte są 8% stawką VAT. Ceny podane w ogłoszeniu stanowią wartość brutto.
 O INWESTORZE
Jako inwestor – ARCHICORP – możemy pochwalić się wieloma realizacjami mieszkaniowymi. W każdej zwracamy uwagę na detale i nie szukamy kompromisów w kwestiach jakości. Dzięki doświadczonemu zespołowi i szerokiej bazie sprawdzonych wykonawców, realizujemy mieszkania „pod klucz” nie tylko w zakresie wykończenia ścian czy podłóg, ale również mebli, oświetlenia i dodatków. W naszym portfolio znajdują się prestiżowe obiekty mieszkalne AZURE Premium oraz WESTIN HOUSE Resort w Kołobrzegu. Zapraszamy do zapoznania się z jakością naszych usług na tych realizacjach.
O APARTAMENCIE
Apartament nr: 15, typ A
Piętro: II
Powierzchnia pod ściankami działowymi: 0,47m2
Powierzchnia użytkowa: 38,47m2
Powierzchnia balkonu 1: 7,21m2
Powierzchnia balkonu 2: 5,6m2
Łącznie: 51,75m2
Ilość pokoi: 2
Cena brutto wraz z podatkiem 8% VAT: 605 464,00zł
Zamów bezpłatny katalog, aby zapoznać się z naszą inwestycją. Prześlij zamówienie na adres:[email title="kontakt"], a niezwłocznie prześlemy do Ciebie komplet materiałów.
Serdecznie zapraszamy,
Zespół ARCHICORP
</t>
  </si>
  <si>
    <t>https://www.otodom.pl/pl/oferta/pod-klucz-apartament-sunday-ustronie-morskie-ID4js5k</t>
  </si>
  <si>
    <t>4js5k</t>
  </si>
  <si>
    <t>Pod LASEM-DOM-szeregówka 101m2+ogródek</t>
  </si>
  <si>
    <t>Smolec, Kąty Wrocławskie, wrocławski, dolnośląskie</t>
  </si>
  <si>
    <t>Pragniemy Państwa poinformować, iż rozpoczęliśmy sprzedaż SZEREGÓWEK na Osiedlu Smolec przy lesie – etap I – termin wydania kluczy: LIPIEC 2023 rok.
DOM – 101 m² z ogródkiem na Osiedlu Smolec przy lesie SZEREGÓWKI:
I poziom – parter: 40,90 m²
- przedsionek – 2,60 m²,
- salon z aneksem kuchennym – 37 m²,
- toaleta – 1,30 m²
II poziom – piętro: 42,10 m²
- sypialnia – 12,5 m²,
- sypialnia – 8 m²,
- sypialnia – 9,50 m²,
- łazienka – 4,60 m²,
- klatka schodowa – 4,20 m²,
- korytarz – 3,30 m²
Antresola: 18 m².
W cenie DOMU: 2 miejsca postojowe, ogródek,  piec CO oraz grzejniki na parterze i piętrze, rolety na parterze, na antresoli wyprowadzona instalacja co, wodno-kanalizacyjna, elektryczna oraz 2 okna połaciowe.
Zapraszamy Państwa do naszego BIURA SPRZEDAŻY – ul. Kasztanowa 33 w Smolcu – od poniedziałku do piątku w godz. od 8:30 do 16:00.
Biuro sprzedaży jest również czynne w soboty – po wcześniejszym – telefonicznym ustaleniu godziny spotkania.
Zadzwoń i umów się na prezentację:
- tel.: 579 631 343 - Kinga
- tel.: 720 480 480 - Rafał</t>
  </si>
  <si>
    <t>https://www.otodom.pl/pl/oferta/pod-lasem-dom-szeregowka-101m2-ogrodek-ID4eckK</t>
  </si>
  <si>
    <t>4eckK</t>
  </si>
  <si>
    <t>Ładne mieszkanie 60m2, dobra cena</t>
  </si>
  <si>
    <t>ul. Gajowa, Dziesięciny II, Białystok, podlaskie</t>
  </si>
  <si>
    <t>-- Nowa -- Oferta okazyjna --Ładne, bardzo jasne, dwustronne mieszkanie na o pow. 60 m2. Dogodna lokalizacja przy ul. Gajowej, w bloku na V piętrze z windą.Wnętrza umeblowane! Gotowe do wprowadzenia od zaraz !Zabudowy na wymiar, meble, sprzęt AGD.Powierzchnie  prezentują się bardzo atrakcyjnie, jasno, komfortowo.Generalny remont całkowity, po którym mieszkanie nie  wymaga żadnych dodatkowych nakładów finansowych.Funkcjonalny układ pomieszczeń:- salon z wyjściem na duży balkon- 2 osobne pokoje nieprzechodnie- urządzona kuchnia z pełną zabudową- 2 wyposażone łazienki z prysznicem i wanną- korytarz- piwnicaBardzo atrakcyjna cena! - mieszkanie wraz z wyposażeniem 499.000 zł.Miesięczna opłata czynszowa 650 zł .------------------ Oferta okazyjna -Wyjątkowa nieruchomość warta polecenia.Serdecznie zapraszamy!Tomasz tel. 886 693 886Nieruchomości EM5  ::oferta eksportowana z programu mediaRent::</t>
  </si>
  <si>
    <t>https://www.otodom.pl/pl/oferta/ladne-mieszkanie-60m2-dobra-cena-ID4oG1v</t>
  </si>
  <si>
    <t>4oG1v</t>
  </si>
  <si>
    <t>Kawalerka w Nowej Hucie</t>
  </si>
  <si>
    <t>Kawalerka w inwestycji przy ul. Poniatowskiego w Nowej Hucie.  
Lokal bez ryzyka może generować stały miesięczny dochód w umowie długoterminowej dla inwestorów.
Bezpośrednio, bez prowizji. 
Lokal składa się z:
- pokoju z aneksem kuchennym 
- łazienki z toaletą
Lokal oddawany do użytku w stanie deweloperskim:
- na ścianach tynk
- na podłodze wylewki
- zamontowane grzejniki
- zainstalowany osprzęt elektryczny 
Na życzenie lokal przygotujemy "pod klucz". 
Budynek zostanie oddany do użytku po generalnym remoncie, który obejmuje między innymi: 
- wymianę instalacji elektrycznej, wod-kan.
- wymianę stolarki okiennej
- montaż kotłowni
- ocieplenie z zewnątrz
Dodatkowo możliwość wykupienia miejsca parkingowego w cenie 19 000 zł oraz komórki lokatorskiej w cenie 13 500 zł. 
Położenie w cichej, spokojnej okolicy, wśród zabudowy jednorodzinnej. Najbliższy przystanek MPK 250 metrów. Dojazd co centrum miasta komunikacją zajmuje do 30 minut. 
W budynku dostępne jeszcze inne lokale. Posiadam też inne kawalerki w innych częściach Krakowa.
 Zapraszam do oglądania!
Mateusz 
729833184</t>
  </si>
  <si>
    <t>https://www.otodom.pl/pl/oferta/kawalerka-w-nowej-hucie-ID4ozxn</t>
  </si>
  <si>
    <t>4ozxn</t>
  </si>
  <si>
    <t>zadbana kamienica | Śródmieście</t>
  </si>
  <si>
    <t>ul. Jana Dziewanowskiego, Śródmieście, Gdańsk, pomorskie</t>
  </si>
  <si>
    <t>Oferta dostępna wyłącznie w Naszym biurze!Wyjątkowe mieszkanie w kamienicy położone w dzielnicy Gdańsk Śródmieście przy ul. Jana Dziewanowskiego 8 w Gdańsku. Nieruchomość zlokalizowana na wysokim parterze w 4. piętrowej kamienicy z unikatowym widokiem na Motławę oraz koło widokowe AmberSky.Zabytkowa kamienica z 1928 roku, wejście do klatki zabezpieczone domofonem. Budynek oraz teren zielony w nienagannym stanie, zadbana klatka schodowa, elewacja oraz dach ocieplony. W poprzednim roku w mieszkaniu zostały wymienione okna. W jednej z sypialni zachowano oryginalne drzwi, które podkreślają klimat tego miejsca (warte odrestaurowania). Mieszkanie gotowe do wprowadzenia, nie wymaga większych nakładów finansowych. Dla osób, które chcą zainwestować środki stanowi świetną bazę pod kątem inwestycyjnym (w mieszkaniu wszystkie ściany są działowe, co pozwala na wyodrębnienie dwóch niezależnych mieszkań).Przed kamienicą liczne miejsca postojowe oraz teren rekreacyjny wzdłuż Motławy. Na wyciągnięcie ręki znajduje się wiele punktów historycznych na mapie Gdańska oraz miejsc kulturowych (Filharmonia Bałtycka, AmberSky, wyspa Spichrzów, Ołowianka, Centrum Sztuki Współczesnej ŁAŹNIA 1). W okolicy znajduje się również wiele restauracji czy barów (Restauracja ritz, Chleb i Wino, Riverside, Mała Sztuka Coctail Bar) oraz punkty usługowo-handlowe (sklepy spożywcze, kwiaciarnia, przychodnia, apteka, weterynarz, salon urody, hotele, stacja benzynowa).Mieszkanie idealne dla miłośników życia w ścisłym centrum, lubiących korzystać z atrakcji oferowanych przez Trójmiasto lub dla inwestora jako lokata kapitału, z którego można oczekiwać stałą stopę zwrotu z tytułu najmu długo lub krótkoterminowego. Mieszkanie jest idealnie skomunikowane (dostęp do dworca PKP, SKM, lotniska, przystanku autobusowego czy przystanku tramwajowego na wyciągnięcie ręki). W pobliżu znajduje się pełna infrastruktura handlowo-usługowa, a odległość do Starego Miasta można zrealizować podczas 5-minutowego spaceru promenadą wzdłuż rzeki Motława.Nieruchomość o powierzchni 85,15m2 składająca się z:- przestronnej kuchni i jadalni (25,94m2);- jasnego, przestronnego salonu z oknami wychodzącymi na Motławę (21,66m2);- komfortowej sypialni z widokiem (19,09m2);- dodatkowego pokoju (9,90m2);- łazienki z WC (3,08m2);- miejsca do przechowywania/garderoba (3,48m2);- przedpokoju.Do mieszkania przynależy sporych rozmiarów piwnica oraz ogólnodostępny strych (część wspólna). Ogromnym atutem jest wysokość w pomieszczeniach (3m) oraz wysokie okna, przez które wpływa światło dzienne. Wysokie okna wychodzące na stronę zachodnią oraz wschodnią sprawiają, że jest ono jasne i słoneczne. Mieszkanie jest przestronne, idealne do dowolnej aranżacji. Czynsz wraz z funduszem remontowym wynosi średnio 590zł + opłaty gazu i wody według zużycia.Zapraszam na prezentację - nie czekaj, aż ktoś Cię uprzedzi!</t>
  </si>
  <si>
    <t>https://www.otodom.pl/pl/oferta/zadbana-kamienica-srodmiescie-ID4nqnJ</t>
  </si>
  <si>
    <t>4nqnJ</t>
  </si>
  <si>
    <t>1 pokojowe z ogródkiem</t>
  </si>
  <si>
    <t>*zdjęcia należą do właściciela ofertyOferujemy Państwu mieszkanie z ogr&amp;oacute;dkiem zlokalizowane na ŻabińcuLokalizacja:Nieruchomość położona przy ul. Żabiniec na osiedlu powstałym w 2017r. Mieszkanie dzięki temu idealnie nadaje się pod inwestycje kapitału jak i os&amp;oacute;b chcących zamieszkać w centrum Krakowa. Jako inwestycja wpływ ma na to bliskość Krakowskich uczelni ( UR, PK), komunikacja miejska (5 min do tramwaju i autobusu-przystanek &amp;#39;&amp;#39;Szpital Narutowicza&amp;#39;&amp;#39;), świetnie rozwinięta infrastruktura handlowo-usługowa. Dla os&amp;oacute;b chcących zamieszkać  w mieszkaniu niewątpliwym atutem jest mały ruch uliczny, bliskość przedszkoli, szk&amp;oacute;ł podstawowych, sklep&amp;oacute;w itd.Nieruchomość:Mieszkanie położone jest na parterze, składa się z pokoju w aneksie z kuchnią, przedpokoju, łazienki oraz ogr&amp;oacute;dka o powierzchni około 24m. Powierzchnia całkowita  wynosi 25,91m. Podłogi pokryte wysokiej klasy panelami i terakotą, okna PCV o ekspozycji zachodniej dzięki czemu mieszkanie jest jasne, ogrzewanie z sieci miejskiej. Czynsz administracyjny z zaliczkami na ogrzewanie, wodę zimną i ciepłą, wyw&amp;oacute;z nieczystości, wynosi 450złMieszkanie gotowe do zamieszkania, aktualnie jest wynajmowane w atrakcyjnej cenie. Budynek:Blok wybudowany w 2017r, zadbana klatka schodowa, 5 pięter, pięknie zagospodarowany teren wok&amp;oacute;ł osiedla, monitoring, brama wjazdowa ze szlabanem. Więcej informacjiKuba Obcowski+4████████████3 Biuro &amp;#39;&amp;#39;Bracia Sadurscy&amp;#39;&amp;#39; pomaga otrzymać najkorzystniejszą ofertę kredytową na zakup nieruchomości.Dla naszych klient&amp;oacute;w umowa przedwstępna notarialna bezpłatna. ::DODATKOWE INFORMACJE Rodzaj budynku: nowe budownictwoDozór budynku: tak - jestGłośność: cicheWidok: na podwórkoGaz: brakWoda: jestDojazd: asfaltOtoczenie: działki zabudowaneOgrzewanie: C.O. miejskieInternet: TAKTelewizja kablowa: TAKKomunikacja publ.: autobus miejskiWinda: TAKLiczba wind: 1Rozkład: jednostronneUsytuowanie: jednostronneOpłaty w czynszu: wywóz śmieci, woda, Części wspólne, CO, administracjaOpłaty wg liczników: prądRodzaj mieszkania: jednopoziomoweStan lokalu: bardzo dobryOkna: PCVInstalacje: dobreTarasy: tarasPowierzchnia ogródka [m2]: 24Rok budowy: 2017Liczba pokoi: 1Wysokość pomieszczeń [m]: 2,6000Liczba sypialni: 1Podłogi pokoi: paneleWystawa okien - pokoje : ZachTyp kuchni: aneks kuchenny - połączony z salonemRodzaj kuchni: aneks kuchennyPodłoga kuchni: terakotaTyp łazienki: razem z wcLiczba łazienek: 1Glazura łazienki: glazuraPodłoga łazienki: płytkiŚciany łazienki: glazuraLiczba przedpokoi: 1Podłoga przedpokoi: płytkiŚciany przedpokoi: zwykłe::KONTAKT DO AGENTA Jakub Obcowski+48 510-087-993::DANE BIURA Oddział BS4, KrólewskaKrólewska 6730-081 Kraków12 633-90-20Pośrednik odpowiedzialny zawodowo za wykonanie umowy pośrednictwa: Dariusz Sadurski (licencja nr: 803)</t>
  </si>
  <si>
    <t>https://www.otodom.pl/pl/oferta/1-pokojowe-z-ogrodkiem-ID4owhG</t>
  </si>
  <si>
    <t>4owhG</t>
  </si>
  <si>
    <t>WŁAŚCICIEL /-20tyś./ - 2pok, 41.3m+garaż, Zadbane</t>
  </si>
  <si>
    <t>                                     OFERTA BEZPOŚREDNIA OD WŁAŚCICIELA Tel. 601 283 074
W super lokalizacji polecam mieszkanie zadbane, czyste, suche, zimą ciepłe, ergonomiczne,  świeżo po malowaniu i sprawdzeniach serwisowych, wszystkie urządzenia techniczne sprawne, do zamieszkania od zaraz, z balkonem o powierzchni 9,7m2, z miejscem postojowym w garażu podziemnym za cenę 40 000zł.
- Salon z aneksem kuchennym - 23,6m2
- Mały pokój- 8m2
- Łazienka- 4,5m2
- Przedpokój – 5,3m2
- Balkon – 9,7m2
- Miejsce postojowe w garażu podziemnym (dojazd bezpośrednio windą)– 40000zł
OPIS:
- Mieszkanie składa się z : salonu z aneksem kuchennym, sypialni, łazienki, przedpokoju,    balkonu oraz przynależnego miejsca postojowego w garażu podziemnym.
- Położenie : III piętro.
- Balkon bardzo pojemny, swobodnie na raz może pomieścic np. dwa rowery, stolik kawowy z fotelikami i   suszarkę.
- Do poziomu garaży schodzi pojemna, wygodna i nowoczesna winda.
- Centralne ogrzewanie i woda ciepła: z MPEC (miejskie).
- Czynsz administracyjny: około 430 zł i zależny od własnego zużycia mediów.
- Prąd : wysokość zależna od własnego zużycia,
- Wszystkie media opomiarowane,
- Drzwi antywłamaniowe.
- Ustawna i pojemna łazienka.
- Każda zabudowa z rygipsu przy sufitach łatwa do demontażu.
- Wiele możliwości dodatkowej konfiguracji zabudowy systemowej kuchni i przedpokoju.
BARDZO DOBRY DOJAZD do:
- Stary Rynek.
- PKP, PKS.
- Galeria Krakowska i Galeria Serenada.
- Aquapark przy Galerii Serenada.
- Multikino przy Galerii Serenada.
- Sklepy z akcesoriami budowlanymi: OBI, Castorama, Jula.
- W zasięgu Plac Targowy „Plac Imbramowski”.
- Blisko Markety spożywcze: Auchan, Biedronka, Lidl, Żabka, Netto, itp.,
- Blisko Pizzerie, bary, usługi mechaniczne, przychodnie, apteki itp.,
- Blisko Przedszkole i żłobek.
PONADTO :
- Najlepszy dojazd na wszystkie kierunki Krakowa.
- Wygodny wyjazd z miasta autem na kierunek płn., zach., płd., i wsch.
- Budynek odizolowany od hałasu miejskiego.
- Na ukończeniu Obwodnica północna Krakowa z wygodnym wyjazdem w kierunku Kielce-Warszawa.</t>
  </si>
  <si>
    <t>https://www.otodom.pl/pl/oferta/wlasciciel-20tys-2pok-41-3m-garaz-zadbane-ID4oc8Z</t>
  </si>
  <si>
    <t>4oc8Z</t>
  </si>
  <si>
    <t>2 Pokoje z balkonem, Tramwaj, Zieleń, Garaż /Bk 2%</t>
  </si>
  <si>
    <t>Poświętne, Psie Pole, Wrocław, dolnośląskie</t>
  </si>
  <si>
    <t xml:space="preserve">Oferta bez PCC, bez prowizji!Mamy przyjemność zaprezentować Państwu mieszkanie dwupokojowe o powierzchni 36,88 M2 z balkonem, zlokalizowane we Wrocławiu, na osiedlu Poświętne.Mieszkanie mieści się na 2. piętrze w nowo powstającym budynku czteropiętrowym z windą, garażem podziemnym oraz komórkami lokatorskimi.ROZKŁAD:Pokój dzienny z aneksem kuchennym 15,56 M2,Sypialnia 9,72 M2,Łazienka 5,24 M2,Korytarz 6,16 M2oraz BALKON 1,75 M2OSIEDLE:Budynek czteropiętrowy z garażami podziemnymi oraz komórkami lokatorskimi, Dostępny parking naziemny oraz stojaki rowerowe,Zielone tereny spacerowe w okolicy,Ogrodzone oraz objęte monitoringiem.STANDARD:Tynk gipsowy,Okna PCV,Drzwi antywłamaniowe klasy C,Media miejskie,Wysokość mieszkania - 260 CMKamienne parapetyLOKALIZACJA/KOMUNIKACJA:Wrocław - Poświętne,Zaledwie 750m od Pętli tramwajowej Poświętne,W okolicy liczne tereny spacerowe oraz rekreacyjne, m.in. Park Marii Dąbrowskiej, liczne ścieżki spacerowe i rowerowe,W promieniu 1,5 km znajdują się niezbędnie punkty usługowe, edukacyjne: przedszkole (ok. 400 m), szkoła podstawowa (ok. 1 km), apteka (ok. 400 m), sklep (ok. 200 m), lokale gastronimiczne (ok. 400m), weterynarz (ok. 800m), siłownia (ok. 1000m).Komunikacja miejska dostępna jest poprzez linie autobusowe (przystanek autobusowy w odległości ok. 300m)Bezproblemowa komunikacja samochodowa dzięki Autostradowej Obwodnicy Wrocławia, obwodnicy numer 5 oraz dzięki przewidzianym licznym miejscom parkingowym.Planowane oddanie: Q3 2025-Zapraszam na spotkanie informacyjne.PCC 0%Prowizja 0%Oznaczenie nieruchomości: K6/W6-Przy zakupie oferujemy wsparcie przy uzyskaniu  finansowania na zakup nieruchomości z opcją dodatkowych korzyści! Szczegóły u Doradcy Finansowego.Oferujemy szereg innych usług związanych z rynkiem nieruchomości. Zapraszamy do współpracy z naszym biurem.N-Home Nieruchomości dla RT Rudawska V.*Prezentowana oferta nie stanowi oferty handlowej w rozumieniu Art. 66 par. 1 Kodeksu Cywilnego, a dane w niej zawarte mają charakter jedynie informacyjny i mogą ulec zmianie. </t>
  </si>
  <si>
    <t>https://www.otodom.pl/pl/oferta/2-pokoje-z-balkonem-tramwaj-zielen-garaz-bk-2-ID4oqPV</t>
  </si>
  <si>
    <t>4oqPV</t>
  </si>
  <si>
    <t>Kołobrzeg-mieszkanie wykończone po klucz</t>
  </si>
  <si>
    <t xml:space="preserve">MIESZKANIE WYKOŃCZONE POD KLUCZ !!!
Zapraszamy do zapoznania się z ofertą mieszkania zlokalizowanego na III piętrze ,o powierzchni 41,91 m².Głównymi atutami nieruchomości jest wschodnio-południowa ekspozycja, przestronny taras o powierzchni 10,8 m².
Mieszkanie składa się z salonu połączonego z aneksem kuchennym, osobnej sypialni, przestronnej garderoby oraz łazienki.
Do każdego mieszkania oferujemy zakup miejsca postojowego zarówno w hali garażowej jak i na zewnątrz, 
Ta inwestycja deweloperska zlokalizowana jest w dzielnicy zachodniej Kołobrzegu. Budynek mieszkalny z garażem podziemnym lub miejscami postojowymi usytuowanymi na zewnątrz wraz z niezbędną infrastrukturą techniczną.
Budynek posiada 29 lokale mieszkalne jest bardzo kameralnym obiektem mieszkalnym 
</t>
  </si>
  <si>
    <t>https://www.otodom.pl/pl/oferta/kolobrzeg-mieszkanie-wykonczone-po-klucz-ID4oBmB</t>
  </si>
  <si>
    <t>4oBmB</t>
  </si>
  <si>
    <t>Duże mieszkanie w kamienicy na Wildzie</t>
  </si>
  <si>
    <t>Wilda to dzielnica z historią. Kiedyś typowo robotnicza, później w latach 90. mogliśmy o niej posłuchać w Ezoterycznym Poznaniu Pidżamy Porno. Dzisiaj staje się modnym miejscem, gdzie tętni życie towarzyskie i kulturalne. Jest to miejsce, które jest idealnie skomunikowane z innymi dzielnicami Poznania, jest to miejsce gdzie chce się mieszkać i pracować. Jest to miejsce bezpieczne i przyjazne. Śmiało mogę powiedzieć, że jest to miejsce idealne dla Ciebie.To właśnie tu, na ulicy Fabrycznej możesz kupić duże (prawie 160 metrowe) mieszkanie i zaaranżować je wg własnych potrzeb.Lokal ten, położony na pierwszym piętrze, idealnie nadaje się na:- cele mieszkaniowe,- trzy lub czteropak inwestycyjny,- doskonale sprawdzi się również na kancelarie lub biura.Rozkład pomieszczeń:- pokój 25,14 m2- pokój 26,62- pokój 19,65- pokój 15,99- pokój 17,78- łazienka 3,10 m2- wc 3 m2- kuchnia 17,55 m2 ze spiżarnią 5,53 m2- korytarz 20,19 m2- dwa balkony po 2,22 m2- dodatkowe pomieszczenie przynależne piwnica o powierzchni 23,45 m2Ekspozycja okien pokoi od ulicy (strona zachodnia).Mieszkanie zadbane, ogrzewanie gazowe (dodatkowo pozostały piece węglowe). Forma prawna: udział ze wskazaniem na lokal.Lokalizacja kamienicy przy zbiegu ulic Fabrycznej i Pamiątkowej, zapewnia względną ciszę jak na miasto, przy jednoczesnym bezproblemowym dostępie do komunikacji publicznej.Serdecznie zapraszam na prezentację. Przyjdź i sam się przekonaj, że to mieszkanie jest właśnie dla Ciebie.-Właścicielem ogłoszenia wraz z jej elementami jest Doctor House Nieruchomości sp. z o.o. Wszelkie prawa zastrzeżone. Kopiowanie, rozpowszechnianie oraz korzystanie z niniejszych materiałów w jakikolwiek inny sposób wykraczający poza dozwolony użytek określony przepisami ustawy z 4 lutego 1994 r. o prawie autorskim i prawach pokrewnych.Niniejsze ogłoszenie nie stanowi oferty w rozumieniu Kodeksu Cywilnego, lecz ma charakter informacyjny.Oferta wysłana z programu dla biur nieruchomości ASARI CRM ()</t>
  </si>
  <si>
    <t>udział</t>
  </si>
  <si>
    <t>https://www.otodom.pl/pl/oferta/duze-mieszkanie-w-kamienicy-na-wildzie-ID4lGbD</t>
  </si>
  <si>
    <t>4lGbD</t>
  </si>
  <si>
    <t>Zgrabne mieszkanko, 3 pokoje, niski blok!</t>
  </si>
  <si>
    <t>ul. Zygmunta Augusta, Słupsk, pomorskie</t>
  </si>
  <si>
    <t>PROWIZJĘ BIURA POKRYWA STRONA SPRZEDAJĄCA !!!Polecam Państwa uwadze ładne, zadbane trzy pokojowe mieszkanie, w Słupsku przy ul Zygmunta Augusta (osiedle Piastów w dzielnicy Zatorze)Niski blok z płyty, wybudowany w 1970r, piętro 3/4.Powierzchnia mieszkania to : 48,16m2 na którą składa się - korytarz z szafą;- salon o powierzchni ok 15m2 z aneksem kuchennym o powierzchni : 4,80m2 oraz kratką balkonową;- sypialnia o powierzchni 7,50m2 z wbudowaną białą szafą;- pokój o powierzchni :12m2 z szafą w zabudowie typu &amp;quot;Komandor&amp;quot;;- łazienka z wanną w beżowo - kremowych kaflach , połączona z WC( powierzchnia :ok 3,50m2) Może pozostać w cenie - pralka.Na podłogach - parkiet drewniany - w dobrym stanie (był odświeżany 5 lat temu), w korytarzu - panele.Zabudowa kuchni - w płytkach w kolorze szaro -zielonym, na podłodze - kafle.Okna PCV, bardzo dobre, trzy szybowe. Grzejniki żeliwne z odczytem radiowym C.O. Przynależy do mieszkania standardowa - piwnica ok 3m2.Szeroka, wygodna klatka schodowa. Wysokość pomieszczeń : 2,45mOgrzewanie miejskie Instalacja elektryczna - aluminiowa.Czynsz : ok 496zl (zawiera zaliczkę wody, C.O. fundusz remontowy) Doskonała INWESTYCJA POD WYNAJEM a także ŚWIETNE MIEJSCE DO ŻYCIA rodzinnego.Miejsca parkingowe dostępne pod blokiem lub na parkingu strzeżonym. Widok - z balkonu na rozległy skwer z placem zabaw dla dzieci.Ekspozycja okien : jednostronna : wschód.Statut prawny nieruchomości : własność (bez obciążeń w KW)Świetna infrastruktura zarówno pod względem handlu i usług (liczne sklepy i markety) jak i edukacji : żłobek, przedszkole, szkoła, biblioteka, przychodnia, kościół. Bardzo dobra komunikacja z całym miastem - autobusy z ulicy Sobieskiego, zaledwie 400m od mieszkania.CENA OFERTOWA : 275 000 złA może to &amp;quot;miejscówka&amp;quot; dobra dla Ciebie ? Mieszkanie klimatyczne i zadbane !!!Zapraszam serdecznie do oglądania &amp;quot;na żywo&amp;quot; !Lucyna Szych607-042-445&amp;quot;Szych Nieruchomości&amp;quot;Lic.zaw nr 14702Treść niniejszego ogłoszenia nie stanowi oferty handlowej w rozumieniu Kodeksu Cywilnego.</t>
  </si>
  <si>
    <t>https://www.otodom.pl/pl/oferta/zgrabne-mieszkanko-3-pokoje-niski-blok-ID4kFJ4</t>
  </si>
  <si>
    <t>4kFJ4</t>
  </si>
  <si>
    <t>Widokowe Tarasy | Mieszkanie nr 13 | 1 Piętro</t>
  </si>
  <si>
    <t>ul. Stefana Okrzei, Śródmieście, Kielce, świętokrzyskie</t>
  </si>
  <si>
    <t>Przedmiotem ogłoszenia jest 3-pokojowe mieszkanie położone na parterze w inwestycji Widokowe Tarasy. To wyjątkowy lokal o powierzchni 64,58  m².
Widokowe Tarasy to inwestycja apartamentowa, doskonała dla osób, które pragną odnaleźć chwilę spokoju w szybkim tempie miasta. Zlokalizowana w Kielcach, w kameralnej części przy ulicy Stefana Okrzei 31 Realizowana w najwyższym standardzie wykończenia, zachwyca architekturą i pełną gamą udogodnień.
Dlaczego my?
Widokowe Tarasy duże panoramiczne tarasy zastosowane w inwestycji Widokowe Tarasy zapewnią dostęp do naturalnego dziennego światła oraz kontakt z otaczającą kompleks naturą bez wychodzenia z domu.
Funkcjonalne Apartamenty zaprojektowano tak, aby były jak najbardziej przyjazne i funkcjonalne. Dwie łazienki, garderoba, duże pokoje i przestronny salon tworzą harmonijną całość.
Elegancja w każdym detalu, części wspólne budynku zaprojektowano z dbałością o każdy element. Do ich wykończenia wybrano odpowiednio wyselekcjonowane materiały budowlane.
Kameralna Inwestycja, niska zabudowa, mała liczba apartamentów oraz kameralna klatka schodowa to nie tylko komfort i swoboda, ale przede wszystkim poczucie prywatności na co dzień.
Pokaż mniej</t>
  </si>
  <si>
    <t>https://www.otodom.pl/pl/oferta/widokowe-tarasy-mieszkanie-nr-13-1-pietro-ID4k3za</t>
  </si>
  <si>
    <t>4k3za</t>
  </si>
  <si>
    <t>Nowy Czteropokojowy Apartament - Nowa Cena !!</t>
  </si>
  <si>
    <t>Nowe czteropokojowe mieszkanie w nowym apartamentowcu w cichej, spokojnej i bardzo zielonej części Sosnowca !!Przedstawiam ofertę sprzedaży nowego, wygodnego, czteropokojowego mieszkania o powierzchni 65,89 m2 usytuowanego na trzecim piętrze nowej, kameralnej inwestycji.W jego skład wchodzą: salon, sypialnia, aneks kuchenny, pokój, pokój, hol, garderoba, łazienka z WC, balkon ( 7,90 m2 ), balkon ( 7,90 m2 ).NOWA CENA !!Spokojna, zielona okolica !!Atrakcyjna, niska zabudowa !!Niskie koszty utrzymania !!Doskonała komunikacja !!MIEJSCE POSTOJOWE W GARAŻU PODZIEMNYM WYSOKI STANDARD WYKONANIA !!BEZ PODATKU PCC !!Termin oddania:  30. 06. 2024.Zalety nieruchomości:- Lokal jest przestronny i funkcjonalnie zaprojektowany.- W mieszkaniach znajduje się centralne ogrzewanie oraz ciepła woda z sieci miejskiej.- Mieszkanie jest bezczynszowe. Pięcioletnia rękojmia dewelopera.- znakomity dojazd do centrum Sosnowca oraz miast ościennych- zielona i spokojna okolica- atrakcyjna lokalizacja w Sosnowcu- wysoki standard wykończenia- mieszkanie do zamieszkania oraz pod inwestycję- niskie koszty utrzymania- panoramiczne okna- miejsca postojowe w podziemnym garażu ( 40000, 00 PLN )- miejsce postojowe zewnętrzne ( 20000, 00 PLN )- komórka lokatorska ( 4 000, 00 PLN / m2 )- unikalna architekturaMieszkanie jest w stanie deweloperskim !!W pobliżu:- szkoła- przedszkole- żłobek- park / las- przychodnia / szpital- sklepy- przystanekOPIEKUN OFERTY:  JANUSZ KUDALA    ALL   ESTATE  oddział  KATOWICE  ul. DĄBROWSKIEGO 1 lok. 7                                       t. +48  797  124  543Oferta wysłana z programu dla biur nieruchomości ASARI CRM ()</t>
  </si>
  <si>
    <t>https://www.otodom.pl/pl/oferta/nowy-czteropokojowy-apartament-nowa-cena-ID4kCkJ</t>
  </si>
  <si>
    <t>4kCkJ</t>
  </si>
  <si>
    <t>NOWE MIESZKANIA na granicy Leszna i Święciechowy</t>
  </si>
  <si>
    <t>NOWA INWESTYCJA!
ZAREZERWUJ JUŻ TERAZ MIESZKANIE W KAMERALNYM MIEJSCU I W NAJNIŻSZEJ CENIE!LOKALIZACJA: granica Leszna - Zatorza i Święciechowy - ul. Owocowa.Wejdź na stronę: POBIERZ KARTĘ MIESZKANIATermin zakończenia budowy: I KWARTAŁ 2024 r.CENA MIESZKAŃ: od 6.300 PLN do 6.800 PLN/m2.CENA GARAŻY: od 35.000 PLN do 49.000 PLN.CENA MIEJSC POSTOJOWYCH NAZIEMNYCH: 10.000 PLN.CENA KOMÓREK LOKATORSKICH: od 9.000 PLN do 14.500 PLN.OPIS INWESTYCJI:Inwestycja przewiduje postawienie nowoczesnego trzykondygnacyjnego budynku mieszkalnego z 41 lokalami mieszalnymi 1, 2, i 3 pokojowymi.Powierzchnie mieszkań: od 28 m2 do 60 m2.Budynek zostanie wyposażony w parking naziemny, zamykane garaże w budynku oraz komórki lokatorskie. Mieszkania usytuowane na parterze będą posiadały wejście na prywatny ogródek. Z kolei mieszkania na piętrach od I do II będą posiadały przestronne balkony.Standard wykończenia - DEWELOPERSKI, w tym:- ściany i sufity - tynki gipsowe,- posadzki betonowe, zatarte na gładko,- okna PCV z roletami zewnętrznymi,- parapety zewnętrzne i wewnętrzne,- zamontowane drzwi zewnętrzne,- instalacje wodno - kanalizacyjne i centralnego ogrzewania,- instalacje elektryczne z zamontowanym osprzętem (gniazdka, kontakty),- domofony,- sieć antenowa.Lokalizacja: spokojna okolica, w sąsiedztwie zabudowań mieszkaniowych jednorodzinnych.</t>
  </si>
  <si>
    <t>https://otodom.pl/pl/oferta/nowe-mieszkania-na-granicy-leszna-i-swieciechowy-ID4jwDQ</t>
  </si>
  <si>
    <t>4jwDQ</t>
  </si>
  <si>
    <t>nowe mieszkanie na sprzedaż Jankowo k. Wągrowca</t>
  </si>
  <si>
    <t>Nowe dwupokojowe mieszkanie z balkonem wyłożonym deską kompozytową wyposażone w instalacje TV, SAT, światłowód, wentylację mechaniczną, grzejniki, piec CO, kontakty, gniazdka elektryczne, drzwi wejściowe Porta.
Dostępne również w kredycie 2%.
Wokół budynku 35 bezpłatnych miejsc parkingowych a w bryle budynku 15 miejsc garażowych do kupienia lub wynajęcia.
Pomieszczenie na wózki, rowery.
Blok położony w spokojnej i pięknej okolicy, wokół mnóstwo zieleni.
Opłaty:
czynsz do wspólnoty mieszkaniowej - 173,91 plus wywóz odpadów
prąd, gaz, woda wg zużycia
W najbliższej okolicy:
przystanek autobusowy - 75m
obwodnica Wągrowca - 200m
stacja Orlen - 800m
Piekarnia-Cukiernia - 1km
przedszkole - 1,9km
Dino - 1,9 km
Biedronka 2,1km
Szkoła Podstawowa - 2,4km
Centrum Handlowe Karuzela - 2,6km
Restauracja McDonalds - 2,6km
Dworzec PKP - 2,7km</t>
  </si>
  <si>
    <t>https://otodom.pl/pl/oferta/nowe-mieszkanie-na-sprzedaz-jankowo-k-wagrowca-ID4me6T</t>
  </si>
  <si>
    <t>4me6T</t>
  </si>
  <si>
    <t>Nowe 3-pok, wysoki standard osiedla, tramwaj</t>
  </si>
  <si>
    <t>ZAKUP OD DEWELOPERA, BEZ PROWIZJI, BEZ PODATKU PCC.MOŻLIWOŚĆ WYKOŃCZENIA POD KLUCZ.Na sprzedaż 3-pok. mieszkanie w kameralnej i nowoczesnej inwestycji na Prądniku Białym, zaledwie kilka minut od centrum miasta.INWESTYCJAInwestycja to pierwsze osiedle z własnym parkiem, realizowana na gruncie własnościowym (brak opłaty przekształceniowej).Najważniejsze cechy, którymi się wyróżnia to znakomita lokalizacja, oryginalna architektura i bardzo wysoka jakość wykonania. Projekt przewiduje wiele innowacyjnych rozwiązań, klatki schodowe zostaną wyposażone w oświetlenie LED, inteligentne windy z odzyskiem energii, własny paczkomat na osiedlu czy osobny parking dla rowerów i hulajnóg.W mieszkaniach montowana jest wysokiej jakości aluminiowa stolarka okienna oraz wideo domofony.Na terenie inwestycji znajdzie się park o powierzchni ponad 1ha z wyspecjalizowanymi strefami sportu, między innymi:• Boisko wielofunkcyjne• Zewnętrzna siłownia• Trasy biegowe• Polany - joga, fitness• Dystrybutory z wodąPrzyszli mieszkańcy osiedla otrzymają również dostęp do placów zabaw dla dzieci oraz wybiegów dla czworonogów. Dla zapewnienia bezpieczeństwa zastosowane zostaną następujące rozwiązania.• strefy uspokojonego ruchu • zwiększone bezpieczeństwo przy strefach w których będą dzieci, rowerzyści, rodzice z wózkami • ułatwiający poruszanie się system identyfikacji osiedla • monitoring 24/7 • wewnętrzne ronda i przejazdy • progi zwalniające przy przejściach dla pieszych • komunikaty dla dzieci, znaki ostrzegawcze i kierunkowe • zminimalizowany ruch kołowyOsiedle posiadać będzie pełną infrastrukturę towarzyszącą, w tym sklepy oraz restauracje a kompleks docelowo będzie stanowił samowystarczalną całość, dając przyszłym mieszkańcom dostęp do szerokiej gamy usług. LOKALIZACJALokalizacja osiedla daje dostęp do pełnej infrastruktury handlowo usługowej, edukacyjnej oraz komunikacji miejskiej która niebawem zostanie rozszerzona. W pobliżu jest prowadzona nowa trasa tramwajowa, z peronem w odległości 600 m od inwestycji oraz parkingiem P+R.Planowana droga uwzględnia również ścieżki rowerowe, ruch pieszy i połączenie z Trasą Wolbromską. Obecnie dojazd do centrum trwa zaledwie 15 minut rowerem, a będzie jeszcze krótszy.W bliskiej odległości znajduje się 12 żłobków i przedszkoli oraz 4 szkoły podstawowe a także liczne tereny zielone; parki, skwery.Współpracujemy z zespołem ekspertów finansowych z wieloletnim stażem, pomagamy w uzyskaniu finansowania na najlepszych dostępnych warunkach.W razie pytań zapraszam do kontaktu.Adrian Kieca573 385 529</t>
  </si>
  <si>
    <t>https://otodom.pl/pl/oferta/nowe-3-pok-wysoki-standard-osiedla-tramwaj-ID4lYsw</t>
  </si>
  <si>
    <t>4lYsw</t>
  </si>
  <si>
    <t>Nowy Zastal | 3-pok. mieszkanie A.2.1.05 | M11</t>
  </si>
  <si>
    <t>Oferta
Przedmiotem ogłoszenia jest 3-pokojowy lokal mieszkalny położony na 1 piętrze w inwestycji Nowy Zastal. To wyjątkowe mieszkanie o powierzchni 62,09 m kw. Główną cechą inwestycji jest wysoki standard i świetna lokalizacja. Zapraszamy do zapoznania się z ofertą oraz do kontaktu.
Inwestycja
Nowy Zastal  to najnowsza inwestycja Grupy PBS Deweloper Sp.z o.o. Nowe mieszkania  i apartamenty powstaną w bezpośrednim sąsiedztwie pięknej Doliny Luizy i rzeki Gęśnik, z myślą o osobach poszukujących połącznia wysokiej jakości oraz atrakcyjnej lokalizacji, pełnej zieleni.
W ramach inwestycji powstaną trzy budynki mieszkaniowe wielorodzinne z garażami podziemnymi i lokalami usługowymi. W budynkach zaprojektowano mieszkania oraz apartamenty w układach 1-, 2-, 3- ,4-,-5-, 6- pokojowych mieszczące się w przedziale od 32 do 98 m2. Lokale mieszkalne posiadać będą balkon, loggie, ogródek lub na ostatniej  kondygnacji przestronne tarasy z widokiem na miasto.
Inwestycję Nowy Zastal wyróżnia widok na zieleń, tarasowy układ budynków, industrialna, ponadczasowa architektura zaprojektowana z wykorzystaniem elementów cegły klinkierowej oraz liczne przeszklenia. Ponadto w ramach projektu powstanie hala garażowa, stacje ładowania dla samochodów elektrycznych, windy, komórki lokatorskie, plac zabaw, lokale usługowe, strefa wypoczynku, dziedziniec z ograniczonym ruchem pojazdów mechanicznych.
 Nasza nowa inwestycja to niezaprzeczalnie ważny dla Zielonej Góry i regionu projekt rewitalizacyjny, chroniący pamięć o wieloletniej działalności fabryki Beuchelt&amp;amp; CO powojennego Zastalu. Twórcy znanych w Polsce i na świecie mostów, dworców kolejowych, hal targowych, wagonów i lokomotyw. Architektura miejsca wpisuję się w najbardziej udane procesy rewitalizacyjne zlokalizowane na terenach przemysłowych.
Lokalizacja
Lokalizacja w centrum miasta z dala od zgiełku
Osiedle doskonale skomunikowane z resztą miasta
W sąsiedztwie unikalnej w skali miasta Doliny Gęśnika
Nieopodal sklepy, usługi, lokale gastronomiczne, szkoły i przedszkola
Bogata infrastruktura sportowa, wypoczynkowa i rekreacyjna zlokalizowana w dolinie Gęśnika
Idealne miejsce do życia podnoszące jego jakość
Niespotykane widoki i rozległy horyzont
 </t>
  </si>
  <si>
    <t>https://otodom.pl/pl/oferta/nowy-zastal-3-pok-mieszkanie-a-2-1-05-m11-ID4iDsC</t>
  </si>
  <si>
    <t>4iDsC</t>
  </si>
  <si>
    <t>Apartament 3-pok.| 2 balkony | pogrzewany podjazd</t>
  </si>
  <si>
    <t>ul. Cyganka, Złotno, Polesie, Łódź, łódzkie</t>
  </si>
  <si>
    <t>Przedstawiam wyjątkową ofertę apartamentu na zamkniętym osiedlu na Zdrowiu.
Mieszkanie z trzema pokojami i dużą ilością dodatkowej przestrzeni do przechowywania
Dwa przestronne balkony, wyjście na balkony z trzech pomieszczeń: salonu, sypialni i pokoju (idealnego jako gabinet lub pokój dla dziecka)
Osiedle zamknięte, zapewniające bezpieczeństwo i spokój
Unikalne atuty to ogrzewany podjazd, chodnik oraz rynny, dzięki którym zima staje się przyjemnością
O zieleń dba doświadczony ogrodnik
Niskie koszty utrzymania nieruchomości
Dostęp do stojaków rowerowych dla wygody mieszkańców.
Miejsce parkingowe dostępne (koszt: 20 000 zł)
Apartament doskonale zlokalizowany - w bliskości lasu, sklepów i restauracji.
Serdecznie zapraszam na prezentację tej niezwykłej nieruchomości.</t>
  </si>
  <si>
    <t>https://www.otodom.pl/pl/oferta/apartament-3-pok-2-balkony-pogrzewany-podjazd-ID4ofkK</t>
  </si>
  <si>
    <t>4ofkK</t>
  </si>
  <si>
    <t>Mieszkanie 2-pokoje oś. Słowiki w Olkuszu 48,80m2</t>
  </si>
  <si>
    <t>POWER INVEST Agencja i Biuro Nieruchomości z oddziałem w Olkuszu prezentuje Państwu: 2-POKOJOWE bardzo przestronne i bardzo funkcjonalne mieszkanie na Osiedlu Słowiki w Olkuszu na ul. Kosynierów.   - Położenie: III piętro  - Cisza i spokój przed blokiem - Powierzchnia użytkowa (z uwzględnieniem skosów): 43,20m2  - Powierzchnia po podłodze: 48,80m2 - Duży ustawny salon 20m2  - Dodatkowo drugi niezależny pokój  - Kuchnia umeblowana z oknem  - Łazienka w płytkach z prysznicem  - Osobne pomieszczenie WC     MIESZKANIE W BARDZO DOBREJ LOKALIZACJI  ŚWIETNY PRODUKT INWESTYCYJNY DUŻY POTENCJAŁ WYKORZYSTANIA JAKO MIESZKANIE POD WYNAJEM   2 NIEZALEŻNE POKOJE  Mieszkanie posiada formę prawną jako własnościowe prawo do lokalu mieszkalnego bez założonej KW. Blok jest dobrze ocieplony. Wystaw okien na południowy zachód. Mieszkanie idealne dla rodziny lub młodej pary (osobna sypialnia oraz duży 20m2 salon). Nieruchomość nadaje się również pod wynajem (możliwość 2 pokoi z osobną kuchnią i łazienką i WC). Mieszkanie jest w dobrym stanie. Ściany proste i czyste. Mieszkanie mieści na III piętrze i nie posiada balkonu. Mieszkanie o łącznej powierzchni użytkowej 43,20m2 ze względu na skosy, natomiast po podłodze powierzchnia wynosi 48,80m2. Do mieszkania przynależy piwnica o powierzchni w kształcie litery L o powierzchni 9m2. Dodatkowo dla mieszkańców jest do dyspozycji zamykane pomieszczenie typu wózkownia / rowerowania.      Lokalizacja: - Rynek Olkusz – odległość 3km - Szpital Olkusz – odległość 3km - Duże Centrum handlowe– odległość 2,5km - Droga Krajowa nr. 94 – odległość 1km - Kraków – odległość 40km - Katowice - odległość 45km   Zdjęcia przedstawiają stan nieruchomości. Kuchnia jest wyposażona w meble kuchenne, zlew, kuchenkę gazową. Na podłogach w mieszkaniu są położone płytki. Łazienka z prysznicem, umywalką z szafką, lustrem oraz osobne pomieszczenie z WC. Blok jest wyposażony w domofon oraz elektro zamek co zwiększa bezpieczeństwo w budynku.   Dogodny dojazd do centrum zapewnia komunikacja miejska. W pobliżu rozwinięta infrastruktura handlowo - usługowa: sklepy, lokale usługowe, fryzjerzy, przedszkola i szkoły, restauracje. Mieszkanie również idealne na wynajem dla studentów dojeżdżających na uczelnie Krakowskie czy Śląskie.                 W skład mieszkania wchodzą następujące pomieszczenia: - Kuchnia z oknem; - Salon duży i jasny z oknem; - Łazienka w której znajduje się prysznic, umywalka;  - Osobne WC; - Pokój, który może służyć jako sypialnia dla pary lub niezależne pomieszczenie w podnajmie; - Korytarz z możliwością pod zabudowaną szafę; - Do mieszkania przynależy duża 9m2 piwnica.    Mieszkanie wyposażone w okna plastykowe w dobrym stanie. W mieszkaniu jest założony gaz do kuchni. Ogrzewanie C.O. miejskie oraz centralna woda użytkowa też miejska.   Miejsca parkingowe dla mieszkańców są przed budynkiem.   Układ pomieszczeń pozwala na ciekawe aranżację i lokal jest bardzo ustawny.      Mieszkanie: typu apartament – rozkładowe.  Stan lokalu: dobry do odświeżenia.   Czynsz: ok 700zł.  Księga Wieczysta: brak. Status mieszkania: własnościowe prawo do lokalu mieszkalnego.  Pomieszczenie przynależne: piwnica ok 9m2.  Dodatkowo: dostęp do pomieszczenia wspólnego typu rowerowania.   Korzyści z zakupu:  - mieszkanie do lekkiego odświeżenia i zamieszkania;  - zrobiona łazienka i wyposażona w meble kuchnia kuchnia; - pod wynajem lub na własny użytek; - cicha, spokojna okolica; - bogata infrastruktura w okolicy; - świetna lokalizacja i sprawny dostęp do centrum; - bliskość przystanku komunikacji miejskiej - blisko Droga krajowa nr 94   Nasi Eksperci z POWER FINANCES pomogą w uzyskaniu najlepszego finansowania/kredytu w rozumieniu Państwa potrzeb. Zapewniają też bezpłatną konsultację w zakresie finansowania.  Dodatkowo dzięki ekspertom z POWER INSURANCE doświadczonym specjalistom z branży ubezpieczeń życiowych i majątkowych jesteśmy w stanie sprostać wymaganiom najbardziej wymagających Klientów.     Zapraszam do umówienia spotkania i prezentacji na żywo!  Opiekun oferty: Tobiasz Kocot tel. 500613132 mail:    Treść niniejszego ogłoszenia nie stanowi oferty handlowej w rozumieniu Kodeksu Cywilnego, a dane w niej zawarte maja jedynie charakter informacyjny i mogą podlegać aktualizacji.   Właścicielem ogłoszenia wraz ze zdjęciami jest firma POWER Tobiasz Kocot. Rozpowszechnianie, kopiowanie oraz korzystanie z materiałów zawartych w tym ogłoszeniu w sposób wykraczający poza dozwolony użytek określony przepisami ustawy z 4 lutego 1994 r. o prawie autorskim i prawach pokrewnych (Dz. U. 1994, nr 24 poz. 83 z późn. zm.) bez pisemnej zgody POWER Tobiasz Kocot jest zabronione i może stanowić podstawę odpowiedzialności cywilnej oraz karnej.Oferta wysłana z programu dla biur nieruchomości ASARI CRM ()</t>
  </si>
  <si>
    <t>https://www.otodom.pl/pl/oferta/mieszkanie-2-pokoje-os-slowiki-w-olkuszu-48-80m2-ID4n6uU</t>
  </si>
  <si>
    <t>4n6uU</t>
  </si>
  <si>
    <t>Dom, wolnostojący, 5 pokoi, Tczew, sprzedaż</t>
  </si>
  <si>
    <t>Na sprzedaż  dom wolnostojący w Tczewie 
Z przyjemnością informujemy o możliwości nabycia uroczego domu wolnostojącego na spokojnym osiedlu domków jednorodzinnych w Tczewie.
- Powierzchnia działki: 0,0671 ha
- Powierzchnia użytkowa domu: 123,30 m²
- Dwukondygnacyjny, podpiwniczony
Cena: 499 tys. zł
Więcej informacji na priv 793 360 441
Serdecznie zapraszamy do zapoznania się z tą unikalną ofertą‼️
Nie pobieramy prowizji od Kupującego, Pośrednik wynagradzany jest przez Sprzedającego.Wyróżnia nas profesjonalizm, skuteczność i doświadczenie.Zapewniamy pełną i profesjonalną obsługę przy całej transakcji, dodatkowo pomagamy w uzyskaniu kredytu bankowego na zakup, budowę lub remont nieruchomości. Dzięki ofercie 25 banków, klient może wybrać kredyt najkorzystniejszy dla siebie. Z oferty kredytowej możesz skorzystać również wtedy, kiedy nie kupisz nieruchomości za naszym pośrednictwem.Nr licencji pośrednika odpowiedzialnego za ofertę 8527WGN Międzynarodowy Koncern Obrotu Nieruchomościamioddział w Tczewie, ul. Armii Krajowej 3Akom. 793-360-441tel. +4███████0-96-25/Niniejsza propozycja nie stanowi oferty handlowej w rozumieniu Kodeksu Cywilnego lecz ma charakter informacyjny, zalecamy jej weryfikację./</t>
  </si>
  <si>
    <t>https://www.otodom.pl/pl/oferta/dom-wolnostojacy-5-pokoi-tczew-sprzedaz-ID4og5G</t>
  </si>
  <si>
    <t>4og5G</t>
  </si>
  <si>
    <t>Apartament w malowniczej okolicy !!!</t>
  </si>
  <si>
    <t> 
Apartamenty na Wzgórzach to inwestycja, która w I etapie składa się z 9 3-kondygnacyjnych budynków zlokalizowanych w otoczeniu terenów zielonych w miejscowości Zawada koło Myślenic.
Jesteśmy wyjątkowi i niepowtarzalni z kilku powodów. Pierwszy z nich to technologia budownictwa- technologia szkieletowa w konstrukcji drewnianej, dzięki takiej technologii budynki stają się ekologiczne. Warto wspomnieć, że powstają one w naszych fabrykach pod Warszawą.
Kolejnym elementem to podwyższony standard deweloperski w skład którego wchodzi ogrzewanie podłogowe, pompa ciepła, panele fotowoltaiczne oraz rekuperacja. Udogodnienia te wraz z technologią budownictwa sprawiają, że dom staje się nie tylko ekologiczne ale również ergonomiczny i pozwala nam zaoszczędzić na rachunkach.
Jesteśmy niepowtarzalni również ze względu na położenie. Więcej niż 50 % z 30 ha działki to tereny zielone, a to oznacza niskie nasycenie zabudowy.
Mieszkańcy będą mieli dostęp między innymi do prywatnego lasu ze ścieżkami spacerowymi,  kortu tenisowego, czy wiaty gillowej z paleniskiem.
Oferujemy mieszkania w metrażu 25-57 m2.
Każdy budynek posiada windę. Dostępne są również miejsca postojowe naziemne.
Adres inwestycji to Zawada 273. Miejscowość położona w odległości 6 km od Myślenic oraz 18 km od Krakowa z doskonałą komunikacją i dostępem do drogi ekspresowej S7.</t>
  </si>
  <si>
    <t>https://www.otodom.pl/pl/oferta/apartament-w-malowniczej-okolicy-ID4nKxu</t>
  </si>
  <si>
    <t>4nKxu</t>
  </si>
  <si>
    <t>3-pokojowe mieszkanie 61m2 + 3 balkony</t>
  </si>
  <si>
    <t>ul. Architektów, Zawiszy Czarnego, Rzeszów, podkarpackie</t>
  </si>
  <si>
    <t>Przedmiotem ogłoszenia jest 3-pokojowe mieszkanie numer A_112 położone na 2. piętrze w inwestycji Osiedle Architektów. To wyjątkowy lokal o powierzchni 61,9 m kw. Cechą inwestycji jest wysoki standard i świetna lokalizacja.Istnieje możliwość zakupienia komórki lokatorskiej lub miejsca postojowego w garażu podziemnym.
O inwestycji
Osiedle Architektów to kompleks dwóch eleganckich budynków mieszkalnych realizowany w południowej części Rzeszowa.
Nowoczesna bryła budynku, dogodne układy i dobre doświetlenie pomieszczeń zapewnią przyszłym mieszkańcom wysoki komfort każdego dnia. Osiedle Architektów proponuje zarówno funkcjonalne mieszkania, jak i nietuzinkowe rozwiązania!
Prestiżu dodadzą mu przeszklone tarasy oraz loftowy charakter elewacji.
Co nas wyróżnia?
Jakość wykonania i podejście do potrzeb przyszłych mieszkańców!
Kawa na tarasie z widokiem na panoramę miasta czy odpoczynek na leżaku we własnym ogródku? Wybór należy do Ciebie. Pomożemy Ci wybrać wymarzone mieszkanie!
To idealne miejsce dla par, singli oraz rodzin z dziećmi. 
Osiedle Architektów to także zieleń blisko Ciebie!
W trosce o estetykę osiedla oraz środowisko wpisaliśmy w projekt liczne zielone nasadzenia oraz wydzieliliśmy teren zielony bogaty w drzewa oraz krzewy gdzie odpoczniesz czytając ulubioną książkę, zaś dla małych mieszkańców oddamy nowoczesne i bezpieczne place zabaw.
Ponadto przestronna hala garażowa, komórki lokatorskie, nowoczesne windy, dostępne dla mieszkańców rowerownie oraz stojaki rowerowe - to wszystko dla usprawnienia codziennej komunikacji.
Topowa lokalizacja
Osiedle Architektów zlokalizowane jest u zbiegu ulic Architektów i Solidarności w południowej części Rzeszowa.Usytuowanie inwestycji pozwala na szybkie przedostanie się do innych części miasta oraz dostęp do sklepów i restauracji, placówek oświaty oraz komunikacji miejskiej.
Tutaj wszędzie jest blisko!
Sklep spożywczy Delikatesy Centrum 90m
Przychodnia 90m
Żabka 110m
Apteka 130m
Kościół 200m
Sklep spożywczy Stokrotka 230m
Plac Zabaw 330m
Poczta 420m
Stacja Paliw ORLEN 480m
Fly Park 630m
Restauracja Gościniec 740m
Politechnika Rzeszowska 790m
Biedronka 820m
Kino Helios 1,4km
Mc Donald's 1,6km
O deweloperzeARCH-DOM Development S.A. to spółka - córka Przedsiębiorstwa Handlowo- Usługowego DOMAR Sp. z o.o., które na rynku podkarpackim działa w oparciu o 50-letnie doświadczenie.
Nieruchomości to nasza pasja!
Spółka ta powstała z myślą o stworzeniu idealnego miejsca do zamieszkania, w którym każdy poczuje się bezpiecznie, wyjątkowo i komfortowo.
Zadowolenie naszych klientów jest naszym najwyższym priorytetem.
Zazdwoń i poznaj szczegóły naszej oferty!</t>
  </si>
  <si>
    <t>https://www.otodom.pl/pl/oferta/3-pokojowe-mieszkanie-61m2-3-balkony-ID4l96H</t>
  </si>
  <si>
    <t>4l96H</t>
  </si>
  <si>
    <t>Apartament 77 m2 Kras Resort Szklarska Poręba</t>
  </si>
  <si>
    <t>https://www.otodom.pl/pl/oferta/apartament-77-m2-kras-resort-szklarska-poreba-ID4l2fr</t>
  </si>
  <si>
    <t>4l2fr</t>
  </si>
  <si>
    <t>4 pokoje z widokiem na zieleń w wielu lokaliza-ch;</t>
  </si>
  <si>
    <t>Żerniki, Fabryczna, Wrocław, dolnośląskie</t>
  </si>
  <si>
    <t>Opiekun oferty:Krzysztof Dudektel: 602 101 602DZIAŁ DEWELOPERSKI SDP NIERUCHOMOŚCI -OTOCZENIE NIERUCHOMOŚCI:Mieszkanie znajduje się w nowej inwestycji, w dzielnicy Krzyki. Niska i kameralna zabudowa. W niedalekiej odległości znajdziemy zarówno linie autobusowe, jak i tramwajowe. Tuż obok pełna infrastruktura, sklepy, przychodnie, szkoły. Do Parku Grabiszyńskiego około 500m.UKŁAD POMIESZCZEŃ:- Salon z aneksem kuchennym 18,1m2- Sypialnia 10,1m2- Sypialnia 10,5m2- Sypialnia 8,9m2- Łazienka 4,9m2- WC 2,6m2- Przedpokój 12,0m2Przynależy balkon o powierzchni 5,3m2. Możliwość dokupienia miejsc postojowych i komórek lokatorskich.NAJWAŻNIEJSZE INFORMACJE:- Termin realizacji - 04.2024- Brak podatku PCC- Do własnej aranżacji- Niska zabudowa osiedla- Wysokość pomieszczeń 2,92mRekomendacja eksperta SDP Nieruchomości:Nieruchomość polecam szczególnie osobom ceniącym nowe budownictwo i kameralną zabudowę w poszukiwanej lokalizacji.Niedostateczne środki? To nie problem!Pomagam w uzyskaniu finansowania na nieruchomości. Zadzwoń i zapytaj o szczegóły!Zapraszam do kontaktu!Opiekun oferty:Krzysztof Dudektel: 602 101 602</t>
  </si>
  <si>
    <t>https://www.otodom.pl/pl/oferta/4-pokoje-z-widokiem-na-zielen-w-wielu-lokaliza-ch-ID4l0Yg</t>
  </si>
  <si>
    <t>4l0Yg</t>
  </si>
  <si>
    <t>Mieszkanie blisko centrum możliwa zamiana</t>
  </si>
  <si>
    <t>os. Leona Klimeckiego, Łuków, łukowski, lubelskie</t>
  </si>
  <si>
    <t>Przedstawiamy do sprzedaży mieszkanie 3 pokojowe mieszczące się na 4 piętrze w budynku mieszkalnym na osiedlu Klimeckiego w Łukowie.Niewątpliwym atutem  jest lokalizacja, cicha i spokojna okolica oferuje bliskość wszelkich udogodnień infrastrukturalnych jak np. sklepy, plac zabaw, szkoła, przedszkole, przychodnia lekarska, tereny zieloneMiłe i spokojne sąsiedztwo.Lokal mieszkalny o powierzchni użytkowej 49m2. jest przestronny i słoneczny, z oknami po obu stronach.Mieszkanie składa się z:-Salon z balkonem-pokój 1-pokój 2-kuchnia-łazienka z toaletąDo lokalu przynależy piwnica o powierzchni około 6m2Mieszkanie w pełni umeblowane.Nieruchomość gotowa do zamieszkania, nie wymaga remontu.Możliwość przebudowy ścianki działowej w celu powiększenia przestrzeni salonowej.Blok po termomodernizacji i wymianie okien, niski czynsz administracyjnyIstnieje możliwość zamiany Mieszkania na mniejsze.Zapraszam do kontaktu w celu uzyskania dodatkowych informacji oraz umówienia się na prezentację.Bezpieczna transakcja za pośrednictwem INVESTOR NIERUCHOMOŚCI :- darmowa pomoc przy uzyskaniu najkorzystniejszego kredytu hipotecznego na rynku,- preferencyjne warunki opłat i terminy u Notariusza,- pełne bezpieczeństwo kupna i sprzedaży na podstawie polisy OC PZU,- kompleksowe wsparcie agenta podczas całego procesu transakcji.Szczegóły oferty: INVESTOR NIERUCHOMOŚCI SIEDLCE - Mariusz Oleszczuk, tel. 600 733 837Nota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</si>
  <si>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https://www.otodom.pl/pl/oferta/mieszkanie-blisko-centrum-mozliwa-zamiana-ID4mipA</t>
  </si>
  <si>
    <t>4mipA</t>
  </si>
  <si>
    <t>Nowe 2 Pokoje z Tarasem/Przy Nospr</t>
  </si>
  <si>
    <t>Bogucice, Katowice, śląskie</t>
  </si>
  <si>
    <t>Top najbardziej ekskluzywnych apartamentowców w Polsce! Bez prowizji! Bez podatku PCC!Świadectwo Energetyczne.Przedstawiam nowy, 2 pokojowy apartament, z tarasem 11,07m2 Oraz z dostępem do 10 Sal części Wspólnych, dostępnych tylko dla mieszkańców, w tym Sauny i Sali Fitness!W Katowickiej Strefie Kultury, 600 metrów od Spodka powstają dwa unikatowe, luksusowe budynki 11 piętrowe, z podziemną halą garażową, z instalacją smart home oraz ze specjalną strefą Części Wspólnych do wyłącznej dyspozycji mieszkańców.Projekt składa się z 286 mieszkań od 25 do 135 m2, wraz z tarasami, loggiami i parterowymi ogródkami.Inwestycja ma być oddana do zamieszkania w I kwartale 2024 roku.W skład części wspólnych wchodzi:- Pokój klubowy dla mieszkańców i ich gości.- Home Oficce z czytelnią dla tych, którzy nie chcą pracować w domu.- Pokój gier dla miłośników playstation, flipperów, piłkarzyków, rzutek i planszówek.- Profesjonalna sala kinowa.- Sala fitness, prywatna sfera treningu z wyposażeniem.- Studio masażu- Sauna- Pokój majsterkowicza z wyposażeniem.- Strefa dla dzieci.- Garaż dla pojazdów motorowych, samochodów, stacja ładowania pojazdów.- Myjnia dla aut.- Myjnia dla piesków.Ponadto:efektowne lobby z poczekalnią dla gości,konsjerż - gotowy do pomocy w załatwieniu różnych spraw,pokój paczek z chłodnią - tu kurier zostawi dla Ciebie paczkę, a jedzenie z cateringu poczeka na Ciebie w odpowiednich warunkach,pokój listowy - obok skrzynek na listy znajdziesz tu kontuar z niszczarką, by od razu móc pozbyć się niepotrzebnej korespondencji,wash dog - czyli specjalna myjnia dla Twojego czworonoga,wózki na zakupy w garażu - już nie musisz dźwigać ciężkich toreb do domu,komórki lokatorskie na piętrach,12 lokali usługowych w budynku B1, dzięki którym pilne sprawy załatwisz od ręki,aplikacja mobilna - żeby wszystko dopiąć na ostatni guzik.Do Państwa dyspozycji pozostają nasi profesjonalni doradcy finansowi, którzy ZA DARMO pomogą w dopasowaniu najlepszej oferty kredytu hipotecznego dopasowanego do Państwa potrzeb.Dodatkowo oferujemy usługi naszej firmy wykończeniowej, która przygotuje dla Państwa mieszkanie pod klucz! Przy zakupie mieszkania DARMOWA konsultacja z architektem!Zapraszam do kontaktuIzabela PopławskaTel. 575 936 009Niniejsza oferta nie stanowi oferty w rozumieniu Kodeksu cywilnego.Oferta wysłana z programu dla biur nieruchomości ASARI CRM ()</t>
  </si>
  <si>
    <t>https://otodom.pl/pl/oferta/nowe-2-pokoje-z-tarasem-przy-nospr-ID4m9cZ</t>
  </si>
  <si>
    <t>4m9cZ</t>
  </si>
  <si>
    <t>Nowa Oferta - Częstochowa, Parkitka</t>
  </si>
  <si>
    <t>gen. Leopolda Okulickiego, Parkitka, Częstochówka-Parkitka, Częstochowa, śląskie</t>
  </si>
  <si>
    <t>TRZYPOKOJOWE NA SPRZEDAŻ, OSOBNO WC, BALKON, PIWNICA - 5m2Lokalizacja:Budynek zlokalizowany w dzielnicy Parkitka-Częstochówka, na osiedlu Parkitka. W pobliżu dobrze rozbudowana infrastruktura Handlowo - usługowa, przystanki komunikacji miejskiej. Usytuowanie bloku to niewątpliwy atut nieruchomości, dojazd do centrum samochodem zajmuje około 10 minut. tereny bardzo zielone, zapewniające ciszę i spokój, przyjemne miejsca na spacery, wycieczki rowerowe.. nieopodal Aleja Brzozowa, skwer.Budynek:Budynek wybudowany z cegły w latach 90, czteropiętrowy, podpiwniczony, po termomodernizacji: ocieplenie styropianem 15cm, nowe drzwi wejściowe do budynku. Domofon, Klatka schodowa odmalowana.Mieszkanie:Trzypokojowe mieszkanie o powierzchni 63,80m2, składające się z: trzech pokoi, kuchni,  łazienki, osobnego wc, przedpokoju, piwnicy. Okna PCV, nasłonecznienie: zachód/północ. Na ścianach tapety i boazerie. Na podłogach parkiet (idealny do wycyklinowania) płytki ceramiczne. Wyposażenie i umeblowanie całego mieszkania widoczne na zdjęciach w cenie. Mieszkanie obecnie wynajmowane. Łazienka w glazurze i terakocie starego typu, z wanną. Stolarka wewnętrzna starszego typu. W przedpokoju szafy i pawlacze. Ogrzewanie miejskie. Ciepła woda z junkresa. Do mieszkania przynależna piwnica.Opłaty:Czynsz: 569,25 zł, w tym ogrzewanie, woda, fundusz remontowy, opłata administracyjna, domofon. wywóz nieczystości.Kredyt:NASZ SPRAWDZONY DORADCA POMOŻE CI W UZYSKANIU NAJTAŃSZEGO I NAJLEPSZEGO KREDYTU HIPOTECZNEGO NA RYNKU.Zapraszamy.</t>
  </si>
  <si>
    <t>https://otodom.pl/pl/oferta/nowa-oferta-czestochowa-parkitka-ID4lBWQ</t>
  </si>
  <si>
    <t>4lBWQ</t>
  </si>
  <si>
    <t>Gotowe do zamieszkania 3 pokoje, 62,80m2, Cisowa</t>
  </si>
  <si>
    <t>ul. Janowska, Cisowa, Gdynia, pomorskie</t>
  </si>
  <si>
    <t>Mieszkanie gotowe do zamieszkania w Gdyni-Cisowej.  Lokal o powierzchni 62,8 m2 składa się z 3 pokoi, oddzielnej kuchni, łazienki, WC oraz korytarza z dwoma szafami wnękowymi. Mieszkanie znajduje się na 1 piętrze w bloku ogrodzonym z automatyczną bramą. Posiada duży słoneczny balkon. W kuchni znajduje się: lodówka, kuchenka gazowa z piekarnikiem elektrycznym, kuchenka mikrofalowa.  Mieszkanie posiada piwnicę. Mieszkanie jest jasne i ciepłe. Dzięki przestrzennej organizacji pomieszczeń możesz zaaranżować komfortowe wnętrze według własnego uznania. Szybki dostęp do komunikacji miejskiej i SKM. W pobliżu szkoła, sklep, przedszkole.  Parking dla mieszkańców przed budynkiemZapraszam na prezentacjeZapraszam na prezentacjeUmów się na prezentację i zaproponuj swoje warunki.Przeprowadzimy Cię przez cały proces zakupu nieruchomości i zweryfikujemy wszystkie dokumenty wymagane do sfinalizowania transakcji.- Ochrona formalno-prawna,- Kompleksowa obsługa każdego klienta,- Bezpłatna pomoc rzetelnych ekspertów kredytowych, którzy zagwarantują najlepsze warunki przyznania kredyt,- Zakres usług mających na celu obniżenie kosztów nabycia nieruchomości.Communication in English is available - please contact us on presented number.Wir sprechen deutsch - bitte telefonieren.Мы говорим по-русски, звоните нам.</t>
  </si>
  <si>
    <t>https://otodom.pl/pl/oferta/gotowe-do-zamieszkania-3-pokoje-62-80m2-cisowa-ID4k9TP</t>
  </si>
  <si>
    <t>4k9TP</t>
  </si>
  <si>
    <t>Gotowe! Poznan Wrzesnia Czerniejewo</t>
  </si>
  <si>
    <t>W PROPOZYCJI SPRZEDAŻY PROPONUJEMY NOWO POWSTAŁE OSIEDLE DOMÓW JEDNORODZINNYCH W ZABUDOWIE SZEREGOWEJ.
19 domów gotowych dla przyszłych właścicieli już czeka.
UWAGA KREDYT 2%
KREDYTUJEMY NASZE NIERUCHOMOSCI NAJKORZYSTNIEJ W REGIONIE BEZ DODATKOWYCH KOSZTOW.
SPRAWDZENIE ZDOLNOŚCI KREDYTOWEJ NA MIEJSCU.
DZWON 602662313
Wysoki standard wykończenia, ogrzewanie podłogowe , tynki wewnętrzne. Każdy z naszych domów liczy ok 96m2 w skład którego wchodzi ustawny salon z aneksem kuchennym z ogrzewaniem podłogowym, wyjściem na taras, garazem w bryle budynku oraz łazienka.
Na pietrze mieści się garderoba, komfortowa łazienka oraz trzy niezależne pokoje.
DOM WYPOSAŻONY W OKNA Z ROLETAMI ZEWNETRZNYMI ,BRAMĘ GARAŻOWA ORAZ DRZWI WEJSCIOWE FIRMY; WISNIOWSKI.
UWAGA DOMY GOTOWE ! ZAPRASZAMY NA PREZENTACJE.
JESTEŚMY DOSTĘPNI 7 DNI W TYGODNIU
Dzwon 602662313
Oferujemy korzystne warunki kredytowania Kredyt 2% Dofinansowanie odsetek
Sprawdzenie zdolności kredytowej na miejscu.
Powyższy opis ma charakter jedynie informacyjny i może ulec zmianie. W świetle Kodeksu Cywilnego nie stanowi oferty.
Dział sprzedaży : Mild Haus Nieruchomosci
Ulica Fabryczna 10
Gniezno</t>
  </si>
  <si>
    <t>https://otodom.pl/pl/oferta/gotowe-poznan-wrzesnia-czerniejewo-ID4lBh3</t>
  </si>
  <si>
    <t>4lBh3</t>
  </si>
  <si>
    <t>Apartament 2 pokoje z balkonem+parking w hali</t>
  </si>
  <si>
    <t>ul. Szpaków, Pogoń, Sosnowiec, śląskie</t>
  </si>
  <si>
    <t xml:space="preserve">Geltag Sp. z o.o. prezentuję ofertę wyjątkowego apartamentu z przestronnym tarasem zlokalizowanego na aktualnie realizowane inwestycji Apartamenty Aria w Sosnowcu.
Aria to przemyślane przedsięwzięcie deweloperskie, w skład którego wchodzą mieszkania o powierzchni użytkowej od 31 do 84 m2. Do mieszkań przynależne są balkony lub tarasy w zależności od kondygnacji. Mając przede wszystkim na uwadze komfort przyszłych mieszkańców, budynek wyposażony został w dwie cichobieżne windy. Lokalizacja nieruchomości doskonale łączy ze sobą ciszę i spokój, przy jednoczesnym dostępie do pełnej infrastruktury miejskiej oraz komunikacji drogowej. 
Mieszkanie:
Przedmiotem ogłoszenia jest mieszkanie o powierzchni użytkowej 43,56 m2 wraz z balkonem o powierzchni 3,84 m2. 
W skład apartamentu wchodzą:
Salon / Aneks kuchenny - 20,19 m2
Pokój - 12,24 m2
Łazienka - 4,68 m2
Korytarz - 6,45 m2
Dodatkowo możliwość zakupu miejsca parkingowego w hali garażowej oraz komórki lokatorskiej. 
Zaletą przedstawianej nieruchomości są wykończone w najwyższym standardzie części wspólne. Deweloper podszedł z największą starannością do zaprojektowania obiektu, dzięki temu wygospodarowane zostało funkcjonalne pomieszczenie z przeznaczeniem m.in. na wózkownię i rowerowanie na każdej kondygnacji, jasna kolorystyka oraz wysokiej jakości wykończenia tworzą harmonijną całość. Architektura budynku oparta została o materiały odzwierciedlające naturalne drewno oraz granity, które połączone zostały ze starannie wkomponowanymi detalami na najwyższym poziomie wykonania.
Lokalizacja:
Opisywana inwestycja jest miejscem szczególnie atrakcyjnym dla osób ceniących sobie bliskość terenów zielonych, dobry dojazd komunikacją miejską oraz drogową i przede wszystkim bezpieczną okolicę.
Oprócz wyjątkowego standardu inwestycji, osiedle cechuje także bliskość przedszkoli, szkół, zieleni i infrastruktury miejskiej. Wszystko to sprawia, że jest to miejsce idealne dla rodzin z dziećmi oraz ludzi o dynamicznym trybie życia.
Nieruchomość stanowić może również doskonałe zabezpieczenie kapitału na lata. Dzięki wysokiemu standardowi wykończenia, jak również doskonałej lokalizacji dostajemy rodzaj aktywa bezpiecznego na zawirowania gospodarcze.  
Odbiór mieszkań zaplanowany jest na IV. kwartał 2023. Już dziś umów się na oglądanie nieruchomości!
W razie jakichkolwiek pytań zapraszam do kontaktu wskazanego powyżej.
Oferujemy kompleksową obsługę zakupu/sprzedaży nieruchomości.
Przedstawione informacje nie stanowią oferty handlowej w rozumieniu art. 66 §1 kodeksu cywilnego oraz innych przepisów prawnych.
</t>
  </si>
  <si>
    <t>https://otodom.pl/pl/oferta/nowe-mieszkanie-2-pokoje-z-balkonem-parking-w-hali-ID4mcMi</t>
  </si>
  <si>
    <t>4mcMi</t>
  </si>
  <si>
    <t>O%, pompa ciepła, fotowoltaika, ogród, parking</t>
  </si>
  <si>
    <t>Krzeczyn, Krzeczyn, Oleśnica, oleśnicki, dolnośląskie</t>
  </si>
  <si>
    <t>Na sprzedaż mieszkania z ogródkiem w czworakach położone w miejscowości Krzeczyn położonej około 20 km od Wrocławia, 6 km od Oleśnicy. Malownicza wioska otoczona lasem, osiedle realizowane na końcu wioski z widokiem na las przy ślepej uliczce.Zakończenie inwestycji planowane jest na II kwartał 2024. Oddanie budynków w stanie deweloperskim, szczegółowy zakres poniżej:- ŁAWY FUNDAMENTOWE ŻELBETOWE,- ŚCIANY FUNDAMENTOWE IZOLOWANE TERMICZNIE I PRZECIWWILGOCIOWO,- WYLEWKA BETONOWA POD POSADZKĘ PARTERU,- ŚCIANY KONSTRUKCYJNE Z PUSTAKÓW BETON KOMÓRKOWY, GRUBOŚĆ 24CM,- NADPROŻA  L19,- KOMINY WENTYLACYJNE Z KSZTAŁTEK WENTYLACYJNYCH,- WIEŃCE ŻELBETOWE,- DACH SAMONOŚNY NA WIĄZARACH Z DREWNA SUSZONEGO KLASY C24, MPREGNOWANEGO METODĄ ZANURZENIOWĄ ŚRODKIEM OGNIOCHRONNYM,- FOLIA PARO PRZEPUSZCZALNA, KONTRŁATY I ŁATY,- DACHÓWKA BETONOWA, - ŚCIANY DZIAŁOWE Z PUSTAKA YTONG LUB SUPOREX,- OKNA PCV (OKLEINA ZEWNĘTRZNA W KOLORZE GRAFITOWYM , WEWNĄTRZ BIAŁE),- DRZWI ZEWNĘTRZNE METALOWE,- INSTALACJA HYDRAULICZNA,- INSTALACJA ELEKTRYCZNA BEZ OSPRZĘTU,- TYNKI GIPSOWE KATEGORII III,- POSADZKI WRAZ Z OCIEPLENIEM I FOLIĄ,- SUFIT NA PIĘTRZE PODWIESZANY Z PŁYTY GK OCIEPLENIE WEŁNĄ MINERALNĄ 30 CM,- SCHODY SKŁADANE SUFITOWE (WEJŚCIE NA STRYCH),- SCHODY BETONOWE NA PIĘTRO,- OGRZEWANIE PODŁOGOWE W CAŁYM BUDYNKU, POMPA CIEPŁA POWIETRZNO-WODNA,- PODOKIENNIKI ZEWNĘTRZNE METALOWE LUB PLASTIKOWE,- TYNKI ZEWNĘTRZNE AKRYLOWE W KOLORZE PRZYBLIŻONYM DO WIZUALIZACJI,- RYNNY I RURY SPUSTOWE PCV,- OCIEPLENIE BUDYNKU STYROPIANEM 20 CM,- DOJŚCIE DO BUDYNKÓW I PARKING  WYKONANE Z KOSTKI BRUKOWEJ,- OGRODZENIE WYKONANE Z PANELI OGRODZENIOWYCH,- UPORZĄDKOWANIE I WYRÓWNANIE TERENU PO ZAKOŃCZENIU PRAC BUDOWLANYCH,- INSTALACJA FOTOWOLTAICZNA 3 KW.Na powierzchnie każdego lokalu składa się:Parter - 30,76 (31,91 po podłodze) m2:- wiatrołap - 2,9 m2- salon z kuchnią - 25,86 m2- wc - 2 (3,15) m2Piętro - 29,84 (33,98 powierzchni całkowitej) m2:- komunikacja - 3,21 m2 (7,35 ze schodami) m2- pokój - 10,15 m2- pokój - 12,31 m2- łazienka - 4,17 m2Dostępne media: woda, prąd, pompa ciepła, zbiornik bezodpływowy. Do każdego segmentu przynależy indywidualny ogródek oraz miejsce parkingowe.Ceny od 370 za mieszkania od drogi wewnętrznej do 399 tys. zł. za lokal na skraju osiedla.Zapraszam na prezentacje! Oferta deweloperska bez prowizji i pcc.Rzetelna i kompleksowa obsługa całej transakcji. Bezpłatnie sprawdzamy również zdolność kredytową oraz załatwiamy wszelkie formalności niezbędne do uzyskania kredytu hipotecznego - wycena nieruchomości gratis.Dla naszych klientów mam również specjalną ofertę rabatu na zakupy w sieci Leroy Merlin w wysokości 10% wartości dowolnego zamówienia.Kontakt:Maciej Bodasińskitel: 694 108 408</t>
  </si>
  <si>
    <t>https://otodom.pl/pl/oferta/o-pompa-ciepla-fotowoltaika-ogrod-parking-ID4meWO</t>
  </si>
  <si>
    <t>4meWO</t>
  </si>
  <si>
    <t>Mieszkanie 2-pokoje 52,49m2 ZAREZERWOWANE</t>
  </si>
  <si>
    <t>ul. Karola Adamieckiego 16, Skorosze, Ursus, Warszawa, mazowieckie</t>
  </si>
  <si>
    <t>MIESZKANIE ZAREZERWOWANE!
Oferta bezpośrednio od właściciela, nie korzystam z pomocy pośredników i agencji.
BRAK PROWIZJI!
MOŻLIWOŚĆ ZAKUPU Z KREDYTOWANIEM NA "BEZPIECZNY KREDYT 2%"
Mieszkanie:
Na sprzedaż przedstawiam Państwu 2-pokojowe mieszkanie o powierzchni 52,49m2z oddzielną kuchnią i WC. Stan mieszkania po lekkim doposażeniu umożliwia szybkie wprowadzenie się nowych lokatorów, ewentualnie wedle uznania można je odświeżyć bądź wyremontować. Mieszkanie składa się z następujących pomieszczeń:
Przedpokój – 5,36m2
Kuchnia – 6,30m2
WC – 0,92m2
Łazienka – 3,87m2
Pokój – 15,72m2
Pokój – 20,32m2
Do mieszkania przynależy duża komórka lokatorska/piwnica o pow. 4,74m2
Budynek:
Mieszkanie znajduje się na podwyższonym parterze budynku z lat 60-tych, wykonanym w technologii tradycyjnej - murowanej, aktualnie ocieplony. Budynek jest podłączony do miejskiej sieci grzewczej, sieci wodnej, kanalizacyjnej, gazowej oraz elektroenergetycznej. Dostęp do telewizji i internetu zapewnia kilku operatorów sieci kablowej.
Lokalizacja:
Budynek położony jest przy ul. Adamieckiego w Warszawskim Ursusie, to bardzo cicha i spokojna okolica o ustabilizowanej zabudowie z ukształtowaną infrastrukturą towarzyszącą, w najbliższej odległości znajdują się:
Przystanki autobusowe – 220m i 300m
Stacja PKP i SKM – 550m
Szkoła podstawowa – 200m
Park Miejski - 200m
Sklep spożywczy – 150m
Apteka – 300m
Publiczny ośrodek zdrowia – 450m
Poczta – 220m
Stan prawny:
Sprzedaży podlega spółdzielcze własnościowe prawo do lokalu oraz prawo do wyłącznego korzystania z komórki lokatorskiej/piwnicy. Lokal nie posiada aktualnie księgi wieczystej, ale istnieje możliwość jej założenia, więc nie stanowi to przeszkody do finansowania zakupu kredytem hipotecznym.
Nieruchomość ze względu na doskonałą lokalizację oraz bliskość wszelkich udogodnień jest idealnym miejscem do zamieszkania dla rodziny, jak również świetnym rozwiązaniem inwestycyjnym.
Zachęcam do kontaktu i obejrzenia mieszkania osobiście.
Niniejsze ogłoszenie nie stanowi oferty handlowej w rozumieniu przepisów art. 661k.c., a przedstawione dane mają charakter wyłącznie informacyjny.</t>
  </si>
  <si>
    <t>https://otodom.pl/pl/oferta/mieszkanie-2-pokoje-52-49m2-duza-komorka-ID4lo9s</t>
  </si>
  <si>
    <t>4lo9s</t>
  </si>
  <si>
    <t>Nowe Mieszkanie Dwupoziomowe Po Zachodniej Stronie</t>
  </si>
  <si>
    <t>ul. Edwarda Łady-Cybulskiego, Słupsk, pomorskie</t>
  </si>
  <si>
    <t>Na zakończenie inwestycji SŁONECZNE WZGÓRZE - BUDYNEK NR 1 usytuowanej przy ulicy Edwarda Łady Cybulskiego nr 6 na słupskim Osiedlu Hubalczyków-Westerplatte WYŁĄCZNY SPRZEDAWCA - biuro VIVIR Nieruchomości oferuje Państwu nowoczesne MIESZKANIE Z ANTRESOLĄ! Proponujemy do zakupu LOKAL nr 46 o powierzchni 57,02 mkw. wraz z balkonem o powierzchni 7,52 mkw. Oferowany lokal znajduje się na najwyższym tj. III piętrze apartamentowca o wysokim standardzie wykończenia, z okien którego rozpościera się efektowny widok. W miejscu tym chciałbym przytoczyć kilka faktów, które z pewnością pomogą Państwu w podjęciu decyzji dotyczącej nabycia prezentowanego lokalu. A zatem:    Wkrótce otrzymają Państwo klucze do lokalu w standardzie deweloperskim PODWYŻSZONYM!, który zakłada m.in. wykonane na ścianach i sufitach SZPACHLOWANE GŁADZIE. Ponadto mieszkanie jest już POMALOWANE NA BIAŁO (jak zresztą widać na załączonych do niniejszej oferty zdjęciach). Tynki w łazience ZATARTE NA OSTRO, przygotowane do klejenia i aranżacji pomieszczenia. W lokalu zastaną Państwo również już rozprowadzone podtynkowo instalacje WOD-KAN., ELEKTR., INTERNET., ŚWIATŁOWÓD, TV NAZIEMNĄ oraz SATELITARNĄ.    Oferowany PODWYŻSZONY STANDARD DEWELOPERSKI uwzględnia także zamontowane GRZEJNIKI, KONTAKTY, WŁĄCZNIKI, SYSTEM WENTYLACJI HIGROSTEROWANEJ jak również nowoczesny VIDEODOMOFON.   W MIESZKANIU oraz na ANTRESOLI mamy zamontowane OKNA TRZYSZYBOWE, PIĘCIOKOMOROWE firmy WIKĘD. CIEPŁA WODA i C.O. z SIECI MIEJSKIEJ (w budynku NIE MA GAZU!), Osiedle docelowo będzie ogrodzone Z MONITORINGIEM CZĘŚCI WSPÓLNYCH, Do mieszkania dojadą Państwo od kondygnacji -1 (HALA GARAŻOWA) cichobieżną WINDĄ. Gorąco zachęcam do nabycia niezwykłego MIESZKANIA Z ANTRESOLĄ w budynku SŁONECZNE WZGÓRZE NR 1. To zdecydowanie najwyższa jakość wykonania i wykończenia na lokalnym rynku deweloperskim! UWAGA! Budynek z HALĄ GARAŻOWĄ * wraz z KOMÓRKAMI LOKATORSKIMI **.    ZAPRASZAM DO KONTAKTU i OGLĘDZIN INWESTYCJI, BUDYNKU ORAZ DOSTĘPNYCH LOKALI! Mają Państwo zamiar zakupić nieruchomość i skorzystać z finansowania banku?Pomożemy Państwu bezpłatnie dokonać wyboru najlepszej oferty spośród wielu banków. Nasz doradca dostosuje ofertę kredytu do indywidualnych oczekiwań Państwa, a także będzie pomocny na każdym etapie procesu kredytowego.Niniejsza oferta nie stanowi oferty w rozumieniu Kodeksu Cywilnego, a dane w niej zawarte mają jedynie charakter informacyjny i mogą ulec zmianie.Piotr Wojciechowskitel. 697-86-73-73lub 786-107-108VIVIR Nieruchomościul. Nowobramska 2/2c76-200 Słupsk</t>
  </si>
  <si>
    <t>https://otodom.pl/pl/oferta/nowe-mieszkanie-dwupoziomowe-po-zachodniej-stronie-ID4miNT</t>
  </si>
  <si>
    <t>4miNT</t>
  </si>
  <si>
    <t>Sprzedam mieszkanie pełna własność</t>
  </si>
  <si>
    <t>ul. Katowicka, Czeladź, będziński, śląskie</t>
  </si>
  <si>
    <t xml:space="preserve">Sprzedam mieszkanie pełna własność ,do mieszkania przynależy piwnica,  posiadamy projekt zrobiony przez projektanta, Nowa instalacja elektryczna, licznik trzyfazowy, nowe drzwi wejściowe, ogrzewanie na gaz do zrobienia Mieszkanie się znajduje w Czeladzi ulica Katowicka dobra lokalizacja, przestanek autobusowy 1min, naprzeciwko Park Grabek do centrum Katowic autem 10-15min 
mieszkanie dobre na start
</t>
  </si>
  <si>
    <t>https://www.otodom.pl/pl/oferta/sprzedam-mieszkanie-pelna-wlasnosc-ID4oziU</t>
  </si>
  <si>
    <t>4oziU</t>
  </si>
  <si>
    <t>Segment Top / 5 pok. + ogródek / klucze w lutym</t>
  </si>
  <si>
    <t>SEGMENT TOP / 5 pok. + ogródek / klucze w lutymZapraszamy do zapoznania się z ofertą sprzedaży samodzielnych lokali mieszkalnych w zabudowie szeregowej.Obecnie trwa etap zakończenia prac budowlanych, chętnych zapraszamy na prezentację nieruchomości.Nieruchomość stanowią lokale mieszkalne z przynależnymi ogródkami i miejscami postojowymi w zabudowie szeregowej.Domy w zabudowie szeregowej znajdują się w spokojnej okolicy, na wzniesieniu, w otoczeniu niskiej zabudowy jednorodzinnej, z dostępem do sklepów (kilka minut pieszo) i terenów spacerowych.Dużym atutem jest korzystne połączenie PKP z centrum Wrocławia - do stacji oddalonej o ok 300m dojdziemy chodnikiem.Przedstawiamy środkowy segment o powierzchni 89m2 + powierzchnia działki 155m2 (dostępne są również skrajne segmenty z większymi ogródkami).Pomieszczenia:PARTER:- wiatrołap,- hol,- pokój,- wc,- pokój dzienny z aneksem kuchennym,- taras,PIĘTRO:- pokój,- pokój, - pokój z garderobą,- hol,- łazienka,- balkon.Standard wykończenia:- stan deweloperski,- pompa ciepła gruntowa sprzedawana i montowana jest dodatkowo (+50tys. zł - możliwość odzyskania ok 19tys. zł z dotacji)- ogrzewanie podłogowe - wodne na górze i na dole,- wysokiej jakości okna trzyszybowe w tym przesuwne okno w systemie HS,- rolety okienne zewnętrzne sterowane elektrycznie (parter i piętro),- podjazd z kostki,- dachówka ceramiczna,- wnętrze: tynki, posadzki, gniazdka elektryczne, zasobnik do podgrzewania wody, schody betonowe, ścianki działowe, Gotowe mieszkania w stanie deweloperskim będą dostępne pod koniec stycznia!!!Zapraszamy do kontaktu po więcej i informacji:+4████████5 316Oferta wysłana z programu dla biur nieruchomości ASARI CRM ()</t>
  </si>
  <si>
    <t>https://www.otodom.pl/pl/oferta/segment-top-5-pok-ogrodek-klucze-w-lutym-ID4oGT3</t>
  </si>
  <si>
    <t>4oGT3</t>
  </si>
  <si>
    <t>Przestronne 3 pokojowe przy Trzebnickiej</t>
  </si>
  <si>
    <t>ul. Trzebnicka, Kleczków, Psie Pole, Wrocław, dolnośląskie</t>
  </si>
  <si>
    <t>Przedstawiam Państwu ofertę sprzedaży mieszkania przy ulicy Trzebnickiej we Wrocławiu o powierzchni 73,44 m². Mieszkanie znajduje się na trzecim piętrze w pięknej przedwojennej kamienicy, co nadaje mu unikalny urok i charakter.  To rozkładowe mieszkanie składa się z trzech pokoi, z których dwie sypialnie posiadają antresolę. To idealne rozwiązanie dla rodzin z dziećmi, gdzie antresola może pełnić funkcję dodatkowego miejsca do spania lub stanowić przestrzeń do pracy lub odpoczynku.  Mieszkanie ma przestronną i widną kuchnię, która zapewnia odpowiednią ilość miejsca do przygotowywania posiłków. Osobne WC to dodatkowy atut, który zapewnia wygodę dla domowników oraz gości.  W łazience znajduje się okno, wanna i prysznic, co daje możliwość wyboru preferowanej formy relaksu podczas codziennych czynności higienicznych.  Dodatkowym udogodnieniem jest przynależna piwnica, która dostarcza dodatkowej przestrzeni do przechowywania różnych rzeczy.  Mieszkanie położone jest w pięknej okolicy, co sprawia, że jest to idealne miejsce do zamieszkania. Bliskość sklepów, restauracji, szkół, przedszkoli oraz innych niezbędnych udogodnień zapewnia wygodę codziennego życia.  Piękna przedwojenna kamienica, w której znajduje się to mieszkanie, dodaje mu wyjątkowego charakteru i historycznego uroku.  To mieszkanie przy ulicy Trzebnickiej we Wrocławiu o powierzchni 73,44 m² oferuje przestronne i rozkładowe wnętrze, piękne otoczenie oraz dogodną lokalizację. Jest to atrakcyjna propozycja dla osób poszukujących unikalnej nieruchomości. Zachęcam do kontaktu w celu umówienia się na oglądanie i uzyskania dodatkowych informacji na temat tej wyjątkowej oferty.  Serdecznie polecam i zapraszam na prezentację Elżbieta Mrowiec Tel. 692747024  Profesjonalnie przygotowujemy nieruchomości do sprzedaży Zadbamy o bezpieczeństwo twojej transakcji  Prezentowana oferta nie stanowi oferty handlowej w rozumieniu Art.66 1 Kodeksu Cywilnego, a dane w niej zawarte mają charakter informacyjny i mogą ulec zmianie.</t>
  </si>
  <si>
    <t>https://www.otodom.pl/pl/oferta/przestronne-3-pokojowe-przy-trzebnickiej-ID4nOT3</t>
  </si>
  <si>
    <t>4nOT3</t>
  </si>
  <si>
    <t>3 pok. mieszkanie z ogródkiem 20m przy metrze</t>
  </si>
  <si>
    <t>ul. Batalionów Chłopskich, Chrzanów, Bemowo, Warszawa, mazowieckie</t>
  </si>
  <si>
    <t xml:space="preserve">  Sprzedam przytulne mieszkanie 3 pok. (67,76m) usytuowane na parterze -  czteropiętrowego budynku z 2014r, położone na Bemowie przy ul. Batalionów Chłopskich 87.  Składa się z salonu połączonego z aneksem kuchennym (22m) w pełni wyposażonym (lodówka z zamrażarką, zmywarka, płyta indukcyjna, piekarnik, kuchenka mikrofalowa, okap), dwóch sypialni (14,40m i 13,60m), przestronnej łazienki z wanną i prysznicem (8,5m) oraz holu.  Na podłogach deska merbau i terakota. Z salonu wyjdziemy na kameralny, cichy taras z ogródkiem (19,70m).  Mieszkanie do wprowadzenia w stanie bardzo dobrym, dwustronne z zachodnią i wschodnią ekspozycją okien.    W okolicy pełna infrastruktura handlowo – usługowa.  W pobliżu szkoły i przedszkola.   Dobra komunikacja z innymi dzielnicami. 7 min piechotą do najbliższego przystanku autobusowego.  Stacja metra Chrzanów oddana zostanie w 2026 roku – (ok. 500m). Dobry dostęp do trasy S8.   Obligatoryjnie do kupienia:  - miejsce postojowe w garażu podziemnym – 40 000 zł - komórka lokatorska (2,5m2) – 15 000 zł   Mieszkanie doskonałe również pod inwestycję.   - Stan prawny:  własnościowe z kw bez hipoteki, - Czynsz – 900 zł.  z zaliczkami, - podatek od nieruchomości – 392 zł. Polecam i zapraszam na prezentację.
Oferta wysłana z programu dla biur nieruchomości ASARI CRM ()
</t>
  </si>
  <si>
    <t>https://www.otodom.pl/pl/oferta/3-pok-mieszkanie-z-ogrodkiem-20m-przy-metrze-ID4oqZ6</t>
  </si>
  <si>
    <t>4oqZ6</t>
  </si>
  <si>
    <t>Oferta Premium !!!</t>
  </si>
  <si>
    <t>Międzyzdroje, Międzyzdroje, kamieński, zachodniopomorskie</t>
  </si>
  <si>
    <t>Czy  Twoim  marzeniem  jest  wypoczynek nad morzem komfortowo urządzonym własnym "M" ?Szukasz sposobu na zainwestowanie oszczędności i oczekujesz szybkiego zwrotu inwestycji ?Pomożemy Ci zrealizować Twój pomysł !!!Zapraszamy do zapoznania się z ofertą ATRAKCYJNEGO,  W PEŁNI WYPOSAŻONEGO LOKALU MIESZKALNEGO położonego w Międzyzdrojach, przy ul. Książąt Pomorskich, w apartamentowcu z 2019 roku.Lokal w wysokim standardzie o powierzchni 36,24 m2, składa się z salonu z aneksem kuchennym, sypialni, łazienki wraz z wc, przedpokoju.Do mieszkania przynależy balkon o pow. 4,0 m2. STANDARD WYKOŃCZENIA:   - ściany gładzone i malowane,    - drzwi wejściowe wzmacniane, antywłamaniowe firmy PORTA,   - okna PCV 3 szybowe z wentylacją,   - wentylacja mechaniczna,   - panele winylowe, w łazience terakota,   - drzwi wewnętrzne, bezprzylgowe firmy PORTA,   - umeblowana kuchnia - meble na wymiar z całym sprzętem AGD oraz zastawą kuchenną,   - łazienka wyposażona w kabinę prysznicową, wc w zabudowie, szafkę z umywalką, pralkę.WYPOSAŻENIE WIDOCZNE NA ZDJĘCIACH W CENIE.OPŁATY ZA UTRZYMANIE LOKALU:    - miesięczny czynsz do zarządcy MTBS Międzyzdroje - ok. 390,00 zł  w tym: centralne ogrzewanie, opłaty zaliczkowe za utrzymanie nieruchomości wspólnej, zimną wodę, śmieci, fundusz remontowy,    - dodatkowo prąd - wg zużycia, co 2 miesiące,    - internet T-MobileIDEALNA LOKALIZACJA.Obiekt położony jest zaledwie 300 m od centralnego i najczęściej uczęszczanego miejsca w Międzyzdrojach - Promenady GWIAZD.Spacer na Promenadę zajmuje 3 minuty !Teren posesji ogrodzony, miejsca parkingowe do wyłącznego korzystania przez mieszkańców.BARDZO DOBRA INWESTYCJA !!!Zainwestuj swoje środki finansowe w pewną lokalizację. Możesz cieszyć się ze spędzania wolnego czasu nad Bałtykiem lub czerpać korzyści z wynajmu. Międzyzdroje to jedna z najbardziej popularnych miejscowości nadmorskich, która jest odwiedzana nie tylko w sezonie letnim, ale i w pozostałych porach roku !ZAPRASZAMY  DO  KONTAKTU  I  UMÓWIENIA  SIĘ  NA  PREZENTACJĘ !Jesteśmy członkiem Zachodniopomorskiego Stowarzyszenia w Obrocie Nieruchomościami oraz Zachodniopomorskiego Systemu Wymiany Ofert. Posiadamy obowiązkowe ubezpieczenie od odpowiedzialności cywilnej.Informujemy, że administratorem danych osobowych, pozyskanych na potrzeby nawiązania kontaktu/udzielenia odpowiedzi na zgłoszenie/zapytanie w sprawie oferty nieruchomości będzie firma Mint Invest Spółka Cywilna Anna Boćko, Karolina Czerwińska-Karmazyn z siedzibą w Goleniowie.Treść niniejszego ogłoszenia nie stanowi oferty handlowej w rozumieniu Kodeksu Cywilnego art. 66 §1. Treść ma charakter informacyjny i została utworzona na podstawie oświadczeń właściciela nieruchomości. Zalecamy ich osobistą weryfikację.Kontaktując się z naszą firmą Klient wyraża zgodę na przetwarzanie danych osobowych zgodnie z przepisami ustawy z dnia 29 sierpnia 1997 roku o ochronie danych osobowych / Dz.U.Nr. 133 poz. 883/. Klientowi przysługuje prawo do wglądu do swoich danych osobowych i ich aktualizacji.Zdjęcia oraz filmy w ogłoszeniach są własnością Mint Invest Spółka Cywilna Anna Boćko, Karolina Czerwińska-Karmazyn z siedzibą w Goleniowie, co oznacza zakaz kopiowania całości lub fragmentów bez uzyskania odpowiedniej zgody.Oferta wysłana z programu dla biur nieruchomości ASARI CRM ()</t>
  </si>
  <si>
    <t>https://www.otodom.pl/pl/oferta/oferta-premium-ID4nN2v</t>
  </si>
  <si>
    <t>4nN2v</t>
  </si>
  <si>
    <t>Atrakcyjna cena, 4 pokoje;66m2 dla dużej rodziny.</t>
  </si>
  <si>
    <t xml:space="preserve">Atrakcyjna cena,4 pokoje;66m2 dla dużej rodzinyWitam posiadam do sprzedania w atrakcyjnej cenie 4 pokojowe mieszkanie; 66m2 na Przedmieściu Oławskim; okolice ulicy Kościuszki.Mieszkanie mieści się na 5 tym piętrze/ Kamienica 5 pięter z 1910 roku/ .  2pokoje duże i 2 mniejsze.Najważniejsze atuty mieszkania:-Jak na ten metraż i lokalizację niska cena mieszkania/ 66m2; 520 000 zł !!/-4 osobne pokoje idealne dla rodziny z dziećmi.-Blisko sklepy, szkoły, przedszkola.-Blisko park na niskich łąkach / spacery rodzinne/-Świeżo wyremontowana klatka schodowa; dla bezpieczeństwa monitoring i domofon.-Wszędzie blisko- komunikacja doskonała!-B. niski czynsz pozwala zaoszczędzić pieniądze.Szczegóły:Mieszkanie ma duży potencjał, ale wymaga remontu. 4 osobne pokoje idealne dla rodziny z dziećmi; blisko sklepy, szkoły, przedszkola.W pobliżu park na niskich łąkach idealny do rodzinnych spacerów. Ciepła woda w kuchni i łazience/ bojler elektryczny/. Bardzo niski czynsz 350 zł mc. Ogrzewanie elektryczne/ grzejniki na podczerwień/;obecnie Zarząd Gminy Wrocławia zaczyna  już podłączać kamienice w mieście  do c.o!/Klatka schodowa i dach świeżo wyremontowane; monitoring i domofon. Osobne wc i łazienka. Kuchnia wyposażona w AGD; w łazience prysznic i pralka. Przystanek autobusowy 3 min., przystanek tramwajowy 5 min pieszo;  do Rynku 15 min. pieszo;Jak na ten metraż i lokalizację niska cena mieszkania/ 66m2; 520 000 zł !!/Zapraszam na prezentację !   Jeśli zainteresowała Cię ta nieruchomość- skontaktuj się z nami.   Opiekun nieruchomości Arkadiusz Adamus Tel. 798 881 688   Doradca ds. nieruchomości. Numer licencji PFRN 28690  Adamus Nieruchomości Sp. z o.o. 53-656 Wrocław ul. Rybacka 7/404  Nota prawna: * Niniejsze ogłoszenie jest wyłącznie informacją handlową i nie może stanowić podstawy do dochodzenia roszczeń w myśl ustawy z dnia 27.07.2002 r. o szczególnych warunkach sprzedaży konsumenckiej oraz o zmianie Kodeksu Cywilnego (Dz. U. Nr 141, poz. 1176 wraz ze zmianami), a także nie stanowi oferty w rozumieniu przepisów ustawy z dnia 23 kwietnia 1964 r. o kodeksie cywilnym w myśl art. 66. 1 (Dz.U. Nr 16, poz. 93 ze zmianami).        
Oferta wysłana z programu dla biur nieruchomości ASARI CRM ()
</t>
  </si>
  <si>
    <t>https://www.otodom.pl/pl/oferta/atrakcyjna-cena-4-pokoje66m2-dla-duzej-rodziny-ID4oyeE</t>
  </si>
  <si>
    <t>4oyeE</t>
  </si>
  <si>
    <t>Duże 3-pokojowe mieszkanie na Pradze-Północ</t>
  </si>
  <si>
    <t>Nowa Praga, Praga-Północ, Warszawa, mazowieckie</t>
  </si>
  <si>
    <t>Na sprzedaż przestronne mieszkanie 88m2 o trzech pokojach w dzielnicy Praga-Północ. Mieszkanie znajduje się w budynku, który został niedawno poddany termomodernizacji i posiada dostęp do wszystkich miejskich mediów. Wymienione instalacje gazowe.Mieszkanie jest usytuowane na drugim piętrze czteropiętrowej kamienicy z roku 1933. Lokalizacja - Warszawa, Praga-Północ. Blisko jest Warszawskie ZOO, Galeria Wileńska oraz Metro, autobusy i tramwaje. Mieszkanie posiada balkon, piwnicę 8m2 oraz osobną kuchnię z oknem z widokiem na zamknięty podwórek. Również jest możliwość parkowania się na tym podwórku: najczęściej jest pusty. Nieruchomość jest objęta odrębną własnością z księgą wieczystą.Serdecznie zapraszam Państwo na prezentację, aby obejrzeć to mieszkanie. Chętnie odpowiem Państwu na wszystkie pytania. Ogłoszenie rozmieszczone przez EM5 Nieruchomości.Marcin, 535 897 404 ::oferta eksportowana z programu mediaRent::</t>
  </si>
  <si>
    <t>https://www.otodom.pl/pl/oferta/duze-3-pokojowe-mieszkanie-na-pradze-polnoc-ID4nFc6</t>
  </si>
  <si>
    <t>4nFc6</t>
  </si>
  <si>
    <t>Nowoczesne 2-pokojowe mieszkanie od developera</t>
  </si>
  <si>
    <t>ul. Konopnickiej, Skarżysko-Kamienna, skarżyski, świętokrzyskie</t>
  </si>
  <si>
    <t>Szanowni Państwo,Z przyjemnością prezentujemy Państwu naszą ofertę sprzedaży nowoczesnego mieszkania 2-pokojowego, zlokalizowanego w prestiżowej dzielnicy miasta (u zbiegu ulic Mickiewicza i Konopnickiej w Skarżysku-Kamiennej).Mieszkanie o powierzchni 38,74 m² (usytuowane na 3 piętrze) składa się z:1) Przedpokój: 6,94 m2,2) Salon z aneksem: 18,28 m2,3) Pokój: 9,73 m2,4) Łazienka: 3,79 m,Do mieszkania przynależy balkon o pow. 29,44 m2Możliwość zakupu miejsca postojowego w garażu podziemnym w cenie: 36 000 PLN - 38 000 PLN, lub miejsca postojowego zewnętrznego, w cenie 19 000 PLN.Komórka lokatorska w cenie: 14 000 PLN.Planowany termin ukończenia inwestycji: II kwartał 2024r.Wszystkie pomieszczenia zostały zaprojektowane z myślą o maksymalnym komforcie i wygodzie mieszkańców. Nowoczesna aranżacja wnętrz oraz wysokiej jakości materiały budowlane, które zostały zastosowane w trakcie budowy, zapewnią Państwu nie tylko komfortowe warunki mieszkalne, ale również estetyczny wygląd mieszkania.Budynek, w którym znajduje się mieszkanie, został wybudowany zgodnie z najnowszymi standardami, dzięki czemu zapewnia on swoim mieszkańcom bezpieczeństwo, cichą atmosferę oraz wygodne funkcjonowanie. W budynku znajduje się winda, co umożliwia łatwy dostęp do mieszkania bez konieczności pokonywania schodów.Dodatkowym atutem nieruchomości jest jej doskonała lokalizacja. W okolicy znajdują się liczne sklepy, restauracje oraz punkty usługowe.Kupujący zwolniony z kosztów obsługi biura i podatku PCCWynagrodzenie biura pokrywa strona sprzedającaCena: 7.300 PLN/m2Całość: 282.802,00 PLNKupując u nas otrzymujesz także zniżki:1) 10% - w naszym biurze projektowym Lookart Kielce.2) do 15% od PSB Mrówka Kielce.3) 10% - u naszego partnera Rodar-Elektro, na rozwiązania inteligentnych mieszkań/budynków, instalacji elektrycznych, zabezpieczeń systemami alarmowymi oraz monitoringiem wizyjnym.4) Zastosowany w ogłoszeniu projekt wizualizacji mieszkania.Zachęcamy do skorzystania z naszej oferty oraz zapraszamy do kontaktu w celu uzyskania szczegółowych informacji oraz umówienia się na prezentację.Kontakt ws. oferty:Łukasz ArcabARCAB Investments Sp. z o.o.Oddział KielceAl. IX Wieków Kielc 6 lok. 3025-516 Kielcetel. kom. +4████████████8</t>
  </si>
  <si>
    <t>https://otodom.pl/pl/oferta/nowoczesne-2-pokojowe-mieszkanie-od-developera-ID4lma5</t>
  </si>
  <si>
    <t>4lma5</t>
  </si>
  <si>
    <t>Mechelinki "Anchoria Apartamenty", wysoki standard</t>
  </si>
  <si>
    <t>Regatowa, Mechelinki, Kosakowo, pucki, pomorskie</t>
  </si>
  <si>
    <t>Oferujemy nowocześnie i gustownie zaaranżowany apartament, kompletnie umeblowany i wyposażony.  Idealna propozycja na tzw. "second home", lub inwestycje (obecnie obiekt wynajmowany na doby z możliwością przejęcia booking i strony )Mechelinki to wyjątkowe miejsce położone nad zatoką. W bezpośrednim sąsiedztwie Mechelinek znajduje się rezerwat przyrody "Mechelińskie Łąki" oraz słynny Klif Mecheliński.Odległości:do mola w Mechelinkach 8 minut pieszodo Gdyni 14km 20minut autemdo słynnego klifu w Mechelinkach  20 minut pieszoApartament  to niejako piętrowa rezydencja: na parterze znajduje się przestronny salon z aneksem kuchennym (39,74m2)łazienka z prysznicem (6,78m2)wygodna sypialnia z podwójnym łóżkiem (14,91m2)na piętrze rozlokowane są dwie sypialnie w tym jedna z obszerną garderobą (15,08m2; 17,90m2)duża wygodna łazienkaZ kolei na dachu budynku znajduje się taras (56m2), który umożliwi przyjemny wypoczynek oraz możliwość opalania się jako alternatywy dla zatłoczonej plaży. Całość została wykończona z najwyższej jakości materiału i utrzymana w nadmorskim kojącym stylu i kolorystyce. Do apartamentu przynależy miejsce parkingowe zewnętrzne oraz zamykany garaż z bramą na pilota - wliczone cenę. W całym apartamencie ogrzewanie podłogowe. Wskaźnik rocznego zapotrzebowania na energię użytkową (EU): 54 kWh/(m2 · rok).Wskaźnik rocznego zapotrzebowania na energię końcową (EK): 72 kWh/(m2 · rok).Wskaźnik rocznego zapotrzebowania na nieodnawialną energię pierwotną (EP): 61 kWh/(m2 · rok).Jednostkowa wielkość emisji CO2 (E CO2): 0,026 t CO2/(m2 · rok).Udział odnawialnych źródeł energii w rocznym zapotrzebowaniu na energię końcową (U OZE): 0 %.</t>
  </si>
  <si>
    <t>https://otodom.pl/pl/oferta/mechelinki-anchoria-apartamenty-wysoki-standard-ID4kuiV</t>
  </si>
  <si>
    <t>4kuiV</t>
  </si>
  <si>
    <t>Nowe 41 m2 / 2 pok / Ostatni ogród 84 m2 /Piątkowo</t>
  </si>
  <si>
    <t>Szanowni Państwo - oferta dostępna wyłącznie w naszym biurze. Mamy do zaoferowania ostatnie i jedyne już dostępne tego typu mieszkanie  na inwestycji EVEREST mieszkanie , które  znajduje się na ulicy  Teofila Mateckiego 20 w Poznaniu ( Piątkowo ) Nowa inwestycja, doskonale skomunikowana z centrum miasta. Bliskość przystanków MPK ( ul.Mateckiego , ul.Obornicka ) oraz bliskość pętli tramwajowej na oś.Sobieskiego .Dodatkowym atutem jest niedaleka odległość od rezerwatu Morasko a także pełna infrastruktura w zakresie lokali usługowych i sklepów spożywczych. Mieszkanie  2 pokojowe o wielkości ok 41 m2.Mieszkanie znajduje się na parterze i posiada bardzo duży ogród  84 m2Jest możliwość zakupu mieszkania w stanie deweloperskim już lub z możliwością wykończenia pod klucz z terminem oddania pod koniec roku. Cena w ogłoszeniu jest za mieszkania bez remontu  - Mieszkanie D16 cena za mieszkanie 429.000 zł cena miejsca postojowego w hali garażowej 35 000 zł  Poniżej przedstawiamy cenę za mieszkania wykończone pod klucz oraz w pełni wyposażone. wyposażenie mieszkania : przedpokój : - szafa  łazienka: - wanna z parawanem nawannowym - geberit - szafka z umywalką - lustro - pralka - oświetlenie salon z aneksem kuchennym: - zabudowa kuchenna - piekarnik - płyta indukcyjna - okap - lodówka w zabudowie - zmywarka w zabudowie - stół - krzesła - szafka TV - kanapa z funkcją spania - stolik kawowy - zasłony - oświetlenie sypialnia: - szafa  - łóżko - szafki nocne - zasłony - oświetlenie Mieszkanie D16 parter 40,99 m2 z ogrodem 84,33 m2 cena za mieszkanie: 515 479 zł miejsce postojowe w hali garażowej: 35 000 zł  cena łączna ( mieszkanie + miejsce postojowe ): 549 000 zł Zapraszam do kontaktu w zakresie szczegółów Kacper Olejnik 502 622 930Bezpieczna transakcja za pośrednictwem INVESTOR NIERUCHOMOŚCI:-darmowa pomoc przy uzyskaniu najkorzystniejszego kredytu hipotecznego na rynku-preferencyjne warunki opłat i terminy u Notariusza-pełne bezpieczeństwo kupna i sprzedaży w oparciu o polisę OC PZU-doradztwo prawne-kompleksowe wsparcie agenta podczas całego procesu transakcjiWszystkie nasze oferty są dokładnie sprawdzane pod względem formalno-prawym.Przeprowadzając transakcję w naszym biurze masz pewność, że będziesz w pełni bezpieczny.Nota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KC.Oferta wysłana z programu dla biur nieruchomości ASARI CRM ()</t>
  </si>
  <si>
    <t>https://otodom.pl/pl/oferta/nowe-41-m2-2-pok-ostatni-ogrod-84-m2-piatkowo-ID4misA</t>
  </si>
  <si>
    <t>4misA</t>
  </si>
  <si>
    <t>* W cenie garaż 18 m2, komórka 8 m2, dwa miejsca *</t>
  </si>
  <si>
    <t>ul. Brzozowicka, Będzin, będziński, śląskie</t>
  </si>
  <si>
    <t>* BRZOZOWICA * ZAMKNIĘTE OSIEDLE * GARAŻ o pow. 18m2 * 1 PIĘTRO * 2 MIEJSCA PARKINGOWE
* KOMÓRKA o pow. 8,30 m2 * DUŻY BALKON * WYSOKI STANDARD *
Sam garaż w okolicy kosztuje min. 50.000 zł, a tutaj mamy go w cenie i wiele innych Oferujemy do sprzedaży piękne mieszkanie zlokalizowane na 1 piętrze w niskim, nowszym bloku na prestiżowym osiedlu Brzozowica w Będzinie.Do mieszkania przynależy garaż w bryle budynku, miejsce postojowe przed garażem oraz jedno miejsce parkingowe na osiedlu.Do mieszkania przynależy duży balkon z pięknym widokiem na otaczające budynek tereny zielone.Mieszkanie jest przestronne i posiada funkcjonalny układ pomieszczeń - duży salon z wyjściem na balkon , częściowo otwarta kuchnia, duża sypialnia, dwa przedpokoje ,dwie garderoby, pomieszczenie gospodarcze z możliwością przerobienia na dodatkowe WC, duża łazienka.Dotychczasowy właściciel przerobił jeden pokój na garderobę i powiększył sypialnię( w tej chwili w mieszkaniu są dwa pokoje ) ale istnieje możliwość powrotu do wcześniejszego układu przy niewielkich przeróbkach.Mieszkanie w bardzo dobrym stanie technicznym - wysoki standard.W cenie pozostaje pełne wyposażenie mieszkania tj. meble i sprzęty w kuchni , meble w pokojach, zabudowane szafy, garderoba.Media : centralne ogrzewanie i ciepła woda z pieca 2funkcyjnego gazowego.Niskie koszty utrzymania mieszkania - opłaty do zarządcy ok 570 zł plus media.Dodatkowe udogodnienia :- właściciel posiada zainstalowany w piwnicy zmiękczacz do wody co zdecydowanie podnosi jej jakość,- kominek grzewczy w salonie ( na prąd) służy przede wszystkim do podniesienia atrakcyjności wizualnej pomieszczenia ale może dawać też dodatkowe ciepło w zimowe wieczory.- osiedle zamknięte - każdy właściciel ma pilot do bramy wjazdowej przy której wartę pełni stróż- na osiedlu ławki do siedzenia , boisko, plac zabaw dla dzieciDoskonała lokalizacja osiedla. Blisko szkoła, przedszkole, sklepy, przystanki komunikacji miejskiej, szybki dojazd do miast sąsiednich oraz wyjazd na trasę szybkiego ruchu.Cena do negocjacji !Zapraszam do oglądania ! Kontakt: Mateusz Kołacz , licencja nr 7568, tel. 883 797 842,M2 Nieruchomości</t>
  </si>
  <si>
    <t>https://otodom.pl/pl/oferta/nowa-oferta-apartament-brzozowica-ID4male</t>
  </si>
  <si>
    <t>4male</t>
  </si>
  <si>
    <t>Słupsk -osiedle Niepodległości !!! OSTATNI OGRÓDEK</t>
  </si>
  <si>
    <t xml:space="preserve">Moya - skorzystaj z różnorodnej oferty nowych lokali na Osiedlu Niepodległości w Słupsku.
Opis:
Mieszkanie o powierzchni 55,67 m2 zlokalizowane na inwestycji Moya na Osiedlu Niepodległości na pierwszej kondygnacji,
Lokal znajduje się w 3 etapie inwestycji i jest w trakcie budowy. Zdjęcia przedstawiają taki sam lokal w 1 i 2 etapie inwestycji MOYA. Na przykładzie tych lokali można zobaczyć jak docelowo będą wyglądały oferowane mieszkania.
salon z aneksem
2 sypialnie,
oddzielna kuchnia,
ustawna łazienka,
Atrakcyjna zachodnia ekspozycja prywatnego ogrodu,
Co wyróżnia naszą inwestycję:
Nowa inwestycja blisko świetnie rozwiniętej infrastruktury Osiedla Niepodległości- placówki oświatowe, sklepy, park, centrum handlowe, przystanki autobusowe,
Największe odległości między budynkami w porównaniu z innymi osiedlami deweloperskimi,
Inwestycja położona przy Parku Zachodnim
Strefa relaksu wraz z prywatną „ścieżką zdrowia”, siłownią na świeżym powietrzu dla mieszkańców inwestycji Moya- jedyna taka w Słupsku,
Zielona okolica zachęca do spacerów, a ścieżka rowerowa w Parku Zachodnim umożliwia bezpieczną jazdę na rowerze czy rolkach,
Lokalizację cechuje również doskonała komunikacja z każdą częścią miasta
Przystanek autobusowy 300m
Wysokiej jakości materiały elewacyjne (farby silikonowe i płytki elewacyjne klasy premium)
Płaski dach o grubości ocieplenia 25 cm
Metalowe, ocynkowane orynnowanie o najwyższej jakości,
Duże przestrzenie między domami,
Nowoczesna stylistyka budynków,
Chodniki, podjazdy i droga wewnętrzna osiedla wykonana z kostki w standardzie Premium,
Drzwi antywłamaniowe z pochwytami,
Ogrodzenia panelowe w kolorze antracytowym,
Starannie zaprojektowana zieleń,
Na terenach wspólnych energooszczędne latarnie LED oświetlające cały teren inwestycji.
Kondensacyjne piece gazowe,
Stolarka okienna rekomendowana do budownictwa energooszczędnego o niskim współczynniku przenikalności cieplnej: 
Okna trójszybowe z trzema uszczelkami 
Grubość pakietów szybowych aż 48 mm
Grubość ramy okiennej 82 mm
Porównaj tą Inwestycję z innymi na lokalnym rynku i przekonaj się sam co ją wyróżnia.
Istotne punkty w okolicy inwestycji:
Przystanek autobusowy (300 m – ok 7 minut spacerem)
Market Auchan (800 m – ok 15 minut spacerem)
Przedszkola, szkoła (800 m – ok 15 minut spacerem)
Centrum Handlowe Jantar – 1600 m (20 minut spacerem)
Po więcej szczegółów serdecznie zapraszamy Państwa do naszego biura mieszczącego się przy ulicy Westerplatte 23 w Słupsku.
Pracujemy od poniedziałku do czwartku w godzinach 9:00 - 17:00. W piątki zapraszamy od 9:00 - 15:00.
Niniejsza oferta nie stanowi oferty w rozumieniu Kodeksu Cywilnego, a dane w niej zawarte mają jedynie charakter informacyjny i mogą ulec zmianie (informacje o aktualnych cenach i dostępności lokali można uzyskać bezpośrednio w biurze dewelopera) 
</t>
  </si>
  <si>
    <t>https://otodom.pl/pl/oferta/nowe-mieszkanie-z-ogrodem-os-niepodleglosci-ID4a04H</t>
  </si>
  <si>
    <t>4a04H</t>
  </si>
  <si>
    <t>Słoneczne Mieszkanie 3 Pokoje Balkon Ogródek</t>
  </si>
  <si>
    <t>OFERTA W RAMACH PROGRAMU " BEZPIECZNY KREDYT 2%"!NOWE, WYKOŃCZONE MIESZKANIE Z BALKONEM I DUŻYM PODDASZEMZapraszam do zapoznania się z ofertą sprzedaży nowego, komfortowo wykończonego mieszkania o powierzchni 64 m2 (salon z aneksem kuchennym i dwie sypialnie) z balkonem , ogródkiem i dwoma miejscami postojowymi, położonego na I piętrze nowego budynku wielorodzinnego, znajdującego się przy ulicy Różany Potok na nowo wybudowanym Osiedlu Różanym w Cerekwicy w gminie Rokietnica, znajdującej się w odległości 18 km od Poznania, z bardzo dobrym dojazdem autostradą!Do mieszkania przynależy wysokie poddasze z oknem o powierzchni po podłodze ok. 40 m2, gdzie można wygospodarować dodatkowy pokój!MIESZKANIE JEST BEZCZYNSZOWE - BRAK OPŁAT DO WSPÓLNOTY!Położenie, powierzchnia i bliskość natury sprawiają, że mieszkanie nadaje się idealnie dla pary lub rodziny.Jeśli cenisz sobie komfort życia, wygodę i bliskość natury - ta nieruchomość jest idealnie dla Ciebie!OPIS MIESZKANIAeleganckie, komfortowo wykończone, sloneczne mieszkanie, położone na I piętrze w budynku czterorodzinnym. Bardzo dobrze doświetlone, okna PCV z ekspozycją na dwie strony świata. W oknach rolety zewnętrzne: w salonie sterowne elektrycznie, w sypialniach ręcznie. Mieszkanie zostało zaprojektowane funkcjonalnie, każda powierzchnia została jak najlepiej wykorzystana. Wszystko tu czyste i pachnąceUKŁAD- przestronny salon z aneksem kuchennym, z którego wychodzimy na duży balkon - .25 m2- sypialnia - 11,86 m2- sypialnia - 11,17 m2- przedpokój - 3,24 m2- łazienka - 4,82 m2- wysokie poddasze z oknem - ok. 40 m2- wiatrołap - 1,74 m2- komunikacja - 6,68 m2- do mieszkania prowadzi własna klatka schodowa z podświetlanymi schodamiDo mieszkania przynależy ogródek o powierzchni ok.60 m2 i dwa miejsca postojowe na zewnątrz budynku.WYPOSAŻENIEW aneksie kuchennym - zabudowa: szafki dolne, górne  ze sprzętem AGD: płyta indukcyjna, okap, piekarnik, zmywarka, miejsce w zabudowie na lodówkę.W łazience: biały montaż: umywalka wkomponowana w szafkę z szufladami, toaleta, prysznic, piec gazowyBUDYNEKJednopiętrowy budynek kameralny wybudowany przez firmę deweloperską w ramach projektu budowy osiedla budynków czterorodzinnych pod nazwą Osiedla Różane. Każde mieszkanie ma osobne wejście tak, że nie mamy kontaktu z sąsiadami. Elegancka, nowoczesna klatka schodowa znajduje się wewnątrz mieszkania. Z boku budynku znajduje się ogrodzony, przynależny do mieszkania ogródek.Budynek położony jest przy osiedlowej drodze o małym natężeniu ruchu. Z okien rozciąga się ładny widok.LOKALIZACJABudynek zlokalizowany w Cerekwicy, miejscowości oddalonej 18 km od Poznania. Znakomity dojazd do stolicy Wielkopolski autostradami i drogami szybkiego ruchu. Do Poznania dojedziemy w 30 minut. W miejscowości znajduje się zabytkowy kościół z 1872 r., pałac Bojanowskich z XVII w. oraz park z początków XIX w. W okolicy lasy, co jest szczególnie ważne dla miłośników aktywnego spędzania czasu wolnego. W odległości kilkuminutowego spaceru znajdują się sklepy: Dino, Żabka, punkty usługowe, szkoła, przedszkole.FORMA WŁASNOŚCIpełna własność z KWOPŁATY- mieszkanie bezczynszoweCena mieszkania z ogródkiem i dwoma naziemnymi miejscami postojowymi: 475.000,- zł.Nie czekaj z kontaktem w sprawie tej nieruchomości - zadzwoń do mnie i umów się na prezentację!Małgorzata WojciechowskaOTO HOUSE NIERUCHOMOŚCItel. 570 993 110Oferujemy kompleksową obsługę notarialną, doradczą i finansową transakcji. Istnieje możliwość zakupu nieruchomości na kredyt na atrakcyjnych warunkach.</t>
  </si>
  <si>
    <t>https://otodom.pl/pl/oferta/nowe-wykonczone-mieszkanie-z-balkonem-i-ogrodem-ID4jIZU</t>
  </si>
  <si>
    <t>4jIZU</t>
  </si>
  <si>
    <t>Portofino Residence | Gąski | apartament nr A6</t>
  </si>
  <si>
    <t>ul. Nadbrzeżna, Gąski, Mielno, koszaliński, zachodniopomorskie</t>
  </si>
  <si>
    <t>https://www.otodom.pl/pl/oferta/portofino-residence-gaski-apartament-nr-a6-ID4msts</t>
  </si>
  <si>
    <t>4msts</t>
  </si>
  <si>
    <t>UM. PRZEDWSTĘPNA/ Wyżyny/ 3 Pok./ 53 m²/ BALKON</t>
  </si>
  <si>
    <t>ul. Adama Grzymały-Siedleckiego, Wyżyny, Bydgoszcz, kujawsko-pomorskie</t>
  </si>
  <si>
    <t>PODPISANA PRZEDWSTĘPNA UMOWA SPRZEDAŻY!
EKSKLUZYWNE M4 na osiedlu WYŻYNY (ul. Adama Grzymały Siedleckiego), III piętro niskiego bloku, 53 m2 + balkon + piwnica 3m2 - BEZPOŚREDNIO OD WŁAŚCICIELA
W TRAKCIE GENERALNEGO REMONU!
TERMIN UKOŃCZENIA PRAC LUTY 2024!
OBECNE ZDJĘCIA POGLĄDOWO UKAZUJĄ POPRZEDNIE NASZE REALIZACJE
NIEPOWTARZALNE, NOWOCZEŚNIE URZĄDZONE, ZAPROJEKTOWANE ZGODNIE Z NAJNOWOCZEŚNIEJSZYMI TRENDAMI, TRZYPOKOJOWE MIESZKANIE POŁOŻONE W POŻĄDANEJ LOKALIZACJI, NA CICHYM I SPOKOJNYM OSIEDLU WYŻYNY! 
BUDYNEK
Lokal mieszkalny znajduje się na III piętrze niskiego, czteropiętrowego bloku po termomodernizacji. 
Budynek jest podłączony do miejskiej sieci ciepłownictwa. 
MIESZKANIE
Powierzchnia użytkowa mieszkania wynosi 53 m2. Do lokalu przynależy piwnica o powierzchni ok. 3 m2.
W skład mieszkania wchodzą: salon, osobna kuchnia z oknem, dwie sypialnie, łazienka, WC oraz przedpokój.
Mieszkanie jest w układzie szczecińskim, dwustronne, słoneczne, łatwe do przewietrzenia.
Metraż poszczególnych pomieszczeń:
Salon z wyjściem na balkon ~16 m2
Pokój I ~11 m2
Pokój II ~9 m2
Kuchnia z oknem ~7 m2
Przedpokój ~6 m2
Łazienka ~3 m2
WC ~ 1 m2
ŁĄCZNIE - LOKAL 53 m2 + BALKON + PIWNICA ~3m2
Standard i wykończenie
Mieszkania przechodzi obecnie generalny remont, który zakończy się w lutym 2024 roku i obejmuje:
- położenie nowych tynków oraz gładzi
- wyrównanie poziomu podłogi
- wykonanie podwieszanych sufitów w przedpokoju, kuchni i łazience,
- zabudowę rur
- wymianę parapetów - w całym mieszkaniu zastosowano kamienne parapety wykonane z konglomeratu marmurowego
- wymianę instalacji: elektrycznej oraz wodno-kanalizacyjnej od pionów
- likwidację instalacji gazowej w mieszkaniu
- wymianę grzejników
- wymianę stolarki drzwiowej
Mieszkanie zostanie wykończone według skrojonego na miarę projektu, zgodnie z najnowocześniejszymi trendami, z materiałów najwyższej jakości. Bez wątpienia zachwyci nawet najbardziej wymagających klientów, dla których detale mają istotne znaczenie.
Ściana w salonie wyróżniona zostanie gustowną sztukaterią nadając wnętrzu elegancki klimat wraz z kinkietami bocznymi na ścianie medialnej. Na pozostałych ścianach w salonie oraz w przedpokoju i kuchni znajdują się gładzie pomalowane odporną na szorowanie farbą lateksową firmy Magnat w kolorze beżowym. 
Na podłodze w salonie, przedpokoju, kuchni oraz obu sypialniach położone zostaną nowoczesne panele winylowe w kształcie jodełki o wysokiej klasie ścieralności, oznaczającej dobrą odporność na ścieranie. Z kolei podłogę w łazience zdobić będzie elegancki polerowany gres szkliwiony imitujący naturalny kamień.
W mieszkaniu zostaną wymienione, na nowe, wszystkie drzwi, również wewnątrzklatkowe. Do obu sypialni i łazienki będą zamontowane drzwi utrzymane w kolorystyce matowej bieli z czarnymi dodatkami w postaci klamek i rozetek.
W całym mieszkaniu zamontowane zostaną nowoczesne lampy z energooszczędnymi żarówkami LED.
Dzięki przeprowadzonym pracom remontowo-wykończeniowym lokal nie wymaga dodatkowych nakładów finansowych oraz będzie cieszył funkcjonalnością przez wiele lat.
Umeblowanie i wyposażenie
W CENĘ MIESZKANIA WLICZONE SĄ WSZYSTKIE MEBLE I SPRZĘTY AGD !!!
Na szczególną uwagę zasługuje zabudowa kuchni, która wykonana będzie na wymiar przez stolarza, wyposażona w całkowicie nowe, na gwarancji, wysokiej jakości sprzęty AGD, takie jak:
- lodówko-zamrażarka z pojemnikiem na owoce i warzywa
- zmywarka o szerokości 45 cm
- płyta indukcyjna z 4 polami grzewczymi 
- piekarnik z panelem sterującym na froncie piekarnika
- okap podszafkowy z oświetleniem LED-owym
Niewątpliwym atutem mieszkania jest łazienka zaprojektowana z myślą o każdym detalu. W łazience i WC zostaną zamontowane:  
- wykonane na wymiar przez stolarza: szafka nad zabudową geberit, podwieszana szafka pod umywalkę z dwiema szufladami,
- lustro z oświetleniem LED,
- zabudowa geberit z misą bezkołnierzową oraz deską wolnoopadającą,
- umywalka z wolnostojącą baterią,
- wanna z ruchomym parawanem szklanym
SALON:
Salon podzielony zostanie na dwie funkcjonalne strefy: wypoczynkową i jadalnianą.
W strefie wypoczynkowej będą znajdowały się: wygodna, rozkładana sofa z funkcją spania i pojemnikiem na pościel, stolik kawowy oraz szafka RTV. Z kolei w części jadalnianej będzie stał okrągły stół w komplecie z 4 krzesłami.
W salonie i obu sypialniach zamontowane zostaną szyny sufitowe i powieszone będą szyte na miarę zasłony i firany.
Na życzenie klienta istnieje możliwość doposażenia mieszkania według indywidualnego projektu.
Lokalizacja:
Budynek położony jest na cichym, spokojnym, bezpiecznym osiedlu WYŻYNY. Teren wokół bloku jest bardzo zadbany. Budynek otoczony jest zielenią. 
W bardzo bliskiej, pieszej odległości znajdują się punkty handlowo-usługowe, placówki oświaty, przystanki komunikacji miejskiej, rynek na Kapuściskach. 
Stan prawny i eksploatacja:
Mieszkanie stanowi odrębną własność. Posiada czystą księgę wieczystą i jest wolne od wszelkich zadłużeń.
Budynkiem zarządza Spółdzielnia Mieszkaniowa BUDOWLANI.
Czynsz wynosi ~450 zł, obejmuje m.in.: zaliczki na wodę i podgrzewanie wody, centralne ogrzewanie, utrzymanie czystości, fundusz remontowy oraz wywóz odpadów, itp.
Grzejniki są opomiarowane.
TO MIESZKANIE CZEKA WŁAŚNIE NA CIEBIE!
ZADZWOŃ I UMÓW SIĘ NA PREZENTACJĘ!
DANE KONTAKTOWE:
Artur Dunaj
+48 696 792 836
Treść niniejszego ogłoszenia nie stanowi oferty handlowej w rozumieniu art. 66 Kodeksu Cywilnego.</t>
  </si>
  <si>
    <t>https://www.otodom.pl/pl/oferta/um-przedwstepna-wyzyny-3-pok-53-m-balkon-ID4o9j0</t>
  </si>
  <si>
    <t>4o9j0</t>
  </si>
  <si>
    <t>BESTSELLER! 28-50m2-Kup Bezpośrednio Od Dewelopera</t>
  </si>
  <si>
    <t>Sztutowo, Sztutowo, nowodworski, pomorskie</t>
  </si>
  <si>
    <t>W sprzedaży również inne lokale mieszkalne w metrażu 28 do 50m2
Sprzedaż realizowana bezpośrednio od dewelopera - bez prowizji i podatku PCC !
Cena BRUTTO z 8% VAT-em
ZAMIESZKAJ LUB WYNAJMIJ - Oddane do użytkowania! 
Apartament w inwestycji zlokalizowanej w bezpośredniej bliskości wybrzeża, szerokich, piaszczystych plaż oraz pięknych sosnowych lasów, rezerwatu przyrody ze stanowiskami do obserwacji kormoranów, czapli siwych i innego ptactwa.
W jednej z najpiękniejszych miejscowości na Mierzei Wiślanej – Sztutowie powstaje unikalne osiedle kameralnych apartamentów, w których można poczuć niepowtarzalny nadmorski klimat, a bezpośrednie sąsiedztwo z naturą gwarantuje ciszę, spokój i daje możliwość udanego wypoczynku.
Apartament sprzedawany jest w standardzie deweloperskim, a w ofercie zamieszczone są zdjęcia wykończenia lokalu pokazowego w tym projekcie.
Na Twoje życzenie zaprojektujemy, wykończymy i wyposażymy apartament pod klucz.
W sprzedaży posiadamy również inne mieszkania w metrażu 28-47m2
Dla zainteresowanych prowadzimy również doradztwo kredytowe, którym zajmuje się ekspert finansowy z ponad dwudziestoletnim doświadczeniem we współpracy z wszystkimi bankami na rynku.
W celu uzyskania szczegółowych informacji zapraszam do kontaktu telefonicznego,
Arkadiusz,
tel. 532 278 733</t>
  </si>
  <si>
    <t>https://www.otodom.pl/pl/oferta/bestseller-28-50m2-kup-bezposrednio-od-dewelopera-ID4oGKQ</t>
  </si>
  <si>
    <t>4oGKQ</t>
  </si>
  <si>
    <t>3 pokojowe | Gaj| Dwupiętrowy apartament| Garaż</t>
  </si>
  <si>
    <t xml:space="preserve">W pełni wyposażone, gotowe do zamieszkania!
Przestronne, 3-pokojowe mieszkanie w pięknej lokalizacji!
(Ниже есть информация на русском языке)
Okolica:
Puszczykowska Gaj we Wrocławiu zlokalizowany na północnym zachódzie od centrum, oferuje spokojne otoczenie, idealne dla rodzin. W pobliżu znajdują się parki, ścieżki rowerowe i tereny rekreacyjne, sprzyjające aktywnemu stylowi życia. Infrastruktura obejmuje sklepy, placówki edukacyjne oraz dogodny dostęp do komunikacji publicznej. To miejsce łączy atuty miejskiego życia z możliwością relaksu w otoczeniu przyrody.
Mieszkanie:
Na trzecim piętrze nowoczesnego apartamentowca z 2018 roku znajduje się trzypokojowy dwupoziomowy apartament o powierzchni 61 metrów kwadratowych.
Do apartamentu przynależy miejsce postojowe w parkingu podziemnym.
W pełni umeblowane mieszkanie, w budynku z windą. Gotowe do natychmiastowego zamieszkania lub wynajęcia!
Układ pomieszczeń:
- sypialnia 1 (1 piętro);
- sypialnia 2 (2 piętro);
- salon z aneksem kuchennym (1 piętro);
- łazienka z WC (1 piętro);
- WC (1 piętro);
- korytarz (1 piętro):
Najważniejsze informacje:
- gotowe do zamieszkania/wynajęcia OD JUŻ;
- czynsz 800 zł;
- media miejskie;
- dobra lokalizacja;
- fajne mieszkanie dla inwestora tak i dla siebie;
Cena:
Cena 885 000 PLN + 40 000 PLN - miejsce w parkingu podziemnym.
Masz jakieś pytania? Chcesz się umówić na prezentacje?
Proszę o wiadomość lub kontakt telefoniczny na podany numer — 508 502 340. 
Chętnie odpowiem na wszystkie pytania.
Sofia Iasynska
ZAPRASZAMY - Ogłoszenie nie stanowi oferty handlowej w rozumieniu przepisów prawa, a jego treść może ulegać zmianom. Dokładamy wszelkich starań, aby oferty były sprawdzone i aktualne.
Також розмовляю українською і російською.
Полностью меблированная, готова к заселению!
Просторная трехкомнатная квартира в красивом месте!
Район:
Пусчжиковская Гай во Вроцлаве, расположенный на северо-западе от центра, предлагает спокойную обстановку, идеальную для семей. Вблизи находятся парки, велосипедные дорожки и рекреационные зоны, способствующие активному образу жизни. Инфраструктура включает в себя магазины, образовательные учреждения и удобный доступ к общественному транспорту. Это место сочетает преимущества городской жизни с возможностью отдыха в природной среде.
Квартира:
На третьем этаже современного апартаментного дома 2018 года расположена трехкомнатная двухуровневая квартира площадью 61 квадратный метр. К квартире прилагается место в подземном паркинге.
Полностью меблированная квартира, в здании с лифтом. Готова к мгновенному заселению или аренде!
Планировка помещений:
- спальня 1 (1 этаж);
- спальня 2 (2 этаж);
- гостиная с кухонным уголком (1 этаж);
- ванная комната с туалетом (1 этаж);
- туалет (1 этаж);
- коридор (1 этаж);
Основная информация:
- готово к заселению/аренде СРАЗУ;
- арендная плата 800 злотых;
- коммунальные услуги городские;
- хорошее месторасположение;
- отличная квартира как для инвестора, так и для себя;
Цена:
Цена 885 000 злотых + 40 000 злотых - место в подземном паркинге.
Есть вопросы? Хотите назначить просмотр?
Пожалуйста, напишите сообщение или свяжитесь по указанному номеру — 508 502 340.
С удовольствием отвечу на все вопросы.
София Ясинская.
</t>
  </si>
  <si>
    <t>https://www.otodom.pl/pl/oferta/3-pokojowe-gaj-dwupietrowy-apartament-garaz-ID4omlw</t>
  </si>
  <si>
    <t>4omlw</t>
  </si>
  <si>
    <t>Gotowe do zamieszkania ul.Wrońska bez 2% PCC</t>
  </si>
  <si>
    <t>ul. Wrońska, Bronowice, Lublin, lubelskie</t>
  </si>
  <si>
    <t xml:space="preserve">Co zyskujesz kupując to mieszkanie ?
1. nie tracisz czasu na projekt i aranżację wnętrz
2. nie tracisz czasu na szukanie odpowiednich materiałów w odpowiedniej cenie i  jakości (transport)
3. nie musisz szukać i "pilnować" wykonawcy.
4. efekt końcowy widzisz od razu
5. nie płacisz 2% podatku ani prowizji (prowadzę działalność gospodarczą)
Sprzedam mieszkanie, bezpośrednio lub jeżeli ktoś będzie miał takie życzenie, to za pośrednictwem wybranego biura nieruchomości.
Mieszkanie znajduje się na  1 piętrze 14-piętrowego budynku z 2022 roku. Na powierzchnię  50,06m2 składają się: salon z aneksem kuchennym (24,36m2),  sypialnia (12,02 m2), przedpokój (9,27) oraz łazienka z wc (4,41m2). Do mieszkania przynależy również spory balkon typu loggia (8,24m2) . Całe mieszkanie wykończone w bardzo wysokim standardzie. Nieruchomość sprzedawana wraz z całkowitym umeblowaniem oraz wyposażeniem . Niezwykle niskie koszty eksploatacji - ogrzewanie miejskie i ciepła woda miejska!Cena obejmuje pełne wyposażenie mieszkania (zabudowa kuchenna stała wraz ze sprzętem AGD: lodówko-zamrażarka, zmywarka, płyta indukcyjna, piekarnik, pochłaniacz oparów, ) oraz meble widoczne na zdjęciach.
Do mieszkania przynależy miejsce postojowe o powierzchni 12,50 m2 w garażu podziemnym
dodatkowo płatne w cenie 45 000 zł (zakup obligatoryjny)
</t>
  </si>
  <si>
    <t>https://otodom.pl/pl/oferta/gotowe-do-zamieszkania-ul-wronska-bez-2-pcc-ID4kpIL</t>
  </si>
  <si>
    <t>4kpIL</t>
  </si>
  <si>
    <t>Nowe mieszkanie, 4-pokoje ul.Pękowicka</t>
  </si>
  <si>
    <t>Biuro Nieruchomości Lakado ma przyjemność zaprezentować wyjątkowe mieszkanie położone na skrzyżowanie przy ul. Pękowickiej.OPIS:Nieruchomość składa się z 2 kondygnacji o łącznej powierzchni ok 60,95 m2 PARTER:- salon z jadalnią i kuchnią - toaleta, wiatrołap1 PIĘTRO:- 3 sypialnie- 1 łazienka,- jasny przedpokój z wyjściem na duży balkon.Duża ilość okien przez co dom jest bardzo dobrze doświetlony.LOKALIZACJA:Inwestycja to wyjątkowe osiedle powstające z myślą o osobach, które szukają spokojnego miejsca otoczonego zielenią, jednocześnie ceniąc łatwy i szybki dojazd do Krakowa. Osiedle zlokalizowane jest 5 km od centrum Krakowa. Dodatkowo kilka minut od osiedla znajduje się przystanek autobusowy z którego odjeżdża kilka linii autobusowych w stronę Krakowa.Zapraszamy do kontaktuMarcin Łącztel: 792 347 777</t>
  </si>
  <si>
    <t>https://otodom.pl/pl/oferta/nowe-mieszkanie-4-pokoje-ul-pekowicka-ID4kf9g</t>
  </si>
  <si>
    <t>4kf9g</t>
  </si>
  <si>
    <t>Nowe mieszkanie nr 23 - I Piętro</t>
  </si>
  <si>
    <t>Apartamenty Aria - Mieszkanie nr 23 - 40.5 m2
Przedmiotem ogłoszenia jest 2-pokojowe mieszkanie położone na drugim piętrze od strony wschodniej w inwestycji Apartamenty Aria. Lokal o powierzchni 40.50m2 składające się z przedpokoju, sypialni, salonu z aneksem kuchennym, łazienki.
Aria to kameralna inwestycja, składająca się z 45 mieszkań o rozkładach jednopokojowych, dwupokojowych, trzypokojowych i czteropokojowych. Dostępne powierzchnie mieszkań wynoszą od 39 do 80 mkw. Mieszkania będą świetnie doświetlone dzięki dużym przeszkleniom. Do wyboru są lokale na parterze z tarasami lub na piętrach z balkonami. W inwestycji zaplanowano nowoczesną cichobieżną windę oraz podziemną hale garażową z podgrzewanym wjazdem. W której znajdą się miejsca postojowe i komórki lokatorskie.
Apartamenty Aria to wyjątkowy projekt mieszkaniowy, który łączy w sobie to, co kochamy w mieście najbardziej – dynamikę, dostępność rozbudowanej infrastruktury czy bliskość punktów handlowo - usługowych. Naszym zamierzeniem jest stworzenie miejsca, które dla każdego mieszkańca stanie się synonimem komfortu, nowoczesności i bezpieczeństwa. Oryginalna i wyrazista bryła budynku z ponadczasowymi rozwiązaniami architektonicznymi takimi jak klinkier i szklane balustrady idealnie uzupełni przestrzeń ulicy Szpaków.
Tym, co wyróżnia nasze mieszkania jest ich ponadstandardowa wysokość, która daje mieszkańcom poczucie większej przestrzeni oraz zapewnia lepszą cyrkulację powietrza. W lokalach montujemy trwałe okna, które wyróżniają się ze względu na bardzo dobrą szczelność, doskonałą termoizolacyjność i odporność na czynniki atmosferyczne. Jest to funkcjonalne rozwiązanie zapewniające komfort użytkowania. Oferujemy antywłamaniowe drzwi wejściowe renomowanej marki z atestowanym zamkiem. Stanowią one gwarancję dobrej jakości i bezpieczeństwa.
Najwyższy poziom wykończenia części wspólnych Z największą starannością podeszliśmy do zaprojektowania części wspólnych, wygospodarowaliśmy funkcjonalne pomieszczenie z przeznaczeniem m.in. na wózkownię i rowerowanie na każdej kondygnacji, jasna kolorystyka oraz wysokiej jakości wykończenia tworzą harmonijną całość. Wybraliśmy materiały odzwierciedlające naturalne drewno oraz granity połączone zostały ze starannie wkomponowanymi detalami na najwyższym poziomie wykonania.
O lokalizacji:
Nasza nowa inwestycja jest to miejsce szczególnie atrakcyjne dla osób ceniących sobie lokalizację blisko terenów zielonych, dobry dojazd komunikacją miejską, bezpieczną okolicę i wyjątkową jakość mieszkania.
Oprócz wyjątkowego standardu inwestycji, osiedle cechuje także bliskość przedszkoli, szkół, zieleni i infrastruktury miejskiej. Wszystko to sprawia, że jest to miejsce idealne dla rodzin z dziećmi.
Jest idealną propozycją dla osób, które chcą ulokować swój kapitał w nieruchomościach. Dzięki świetnej lokalizacji mamy pewność, że będzie to inwestycja na lata.
Odbiór mieszkań zaplanowany jest na III. kwartał 2023. Sprzedaż bezpośrednio od deweloper bez pośredników i bez podatku PCC</t>
  </si>
  <si>
    <t>https://otodom.pl/pl/oferta/nowe-mieszkanie-nr-23-i-pietro-ID4mlfo</t>
  </si>
  <si>
    <t>4mlfo</t>
  </si>
  <si>
    <t>Nowy Reden | Apartament Premium Z TARASEM NA DACHU</t>
  </si>
  <si>
    <t>ul. Przemysłowa, Reden-Adamiecki, Reden, Dąbrowa Górnicza, śląskie</t>
  </si>
  <si>
    <t>WYKOŃCZENIA POD KLUCZ Z NOWA DEWELOPER
Z myślą o naszych klientach przygotowaliśmy możliwość wykończenia mieszkań pod klucz. Nie trać czasu na wybór fachowców, robienie projektów i wybór materiałów. Kiedy Ty cieszysz się wolnym czasem, my zajmiemy się przygotowaniem Twojego mieszkania, abyś mógł odebrać klucze do gotowego lokalu. Zarezerwuj termin spotkania już dzisiaj! 
Dwupoziomowy Apartament z dużym balkonem oraz prywatnym tarasem na dachu nr A57 o powierzchni 110,62 m2  usytuowany jest na 4 piętrze w budynku A
- termin oddania planowany na IV kwartał 2025 roku.
 Lokal składa sie z:
salon z aneksem kuchennym (27,59m²)
duży balkon (4,44m²)
sypialnia (10,74m²)
pokój (11,84m²) 
łazienka (4,58m²)
pomieszczenie gospodarcze (1,66m²)
komunikacja (7,40m²)
antresola (44,41m²)
taras (36,08m²) 
Zalety osiedla Nowy Reden w Dąbrowie Górniczej:
Taras widokowy na dachu dostępny dla wszystkich mieszkańców
Duże balkony i tarasy przynależne do każdego mieszkania
Niski czynsz
Ogrzewanie podłogowe w standardzie wykończenia
Ciepło z sieci miejskiej
Izolacja akustyczna o podwyższonym standardzie
Osiedle monitorowane
Miejsce postojowe podziemne i naziemne
Instalacja fotowoltaiczna dla części wspólnych
Prywatne ogródki przynależne do mieszkań na parterze
Plac zabaw dla dzieci
Cichobieżne windy w każdej z 3 klatek schodowych
System jednego klucza
Gniazda ładowania samochodów elektrycznych
Osiedle Nowy Reden to nowoczesna inwestycja o charakterze industrialnym zlokalizowana w bardzo atrakcyjnej części Dąbrowy Górniczej. Osiedle składało się będzie z dwóch budynków mieszkalnych, w których znajdować się będzie 135 mieszkań o metrażach od 27 do 114 metrów kwadratowych. Na parterze zlokalizowane będą lokale usługowe. Ponadto mieszkańcy będą mieli do dyspozycji z pomysłem zaaranżowany teren zewnętrzny z placem zabaw oraz wysokiej jakości elementami małej architektury. Warto podkreślić, że na budynkach znajdą się instalacje fotowoltaiczne, znacznie obniżające koszty utrzymania części wspólnych. Wszyscy mieszkańcy będą mieli zapewnioną przestrzeń do wypoczynku na świeżym powietrzu. Do mieszkań na parterze przynależą prywatne ogródki, natomiast lokale na piętrach będą posiadały duże balkony. Dodatkowo na dachu budynku zlokalizowany będzie dostępny dla wszystkich mieszkańców taras widokowy – przestrzeń sprzyjająca nie tylko podziwianiu widoków, ale także integracji mieszkańców.
Nowy Reden zlokalizowany jest w Dąbrowie Górniczej przy ul. Przemysłowej. To cicha i spokojna okolica, położona nieopodal atrakcyjnych terenów zielonych. Jej ważnym atutem jest również doskonałe skomunikowanie. Po sąsiedzku znajduje się szkoła, przedszkole, ale i przystanki autobusowe. Kluczowe trasy, takie jak ul. Katowicka czy droga ekspresowa S1 ułatwią swobodne podróżowanie po całym regionie – szybko można dotrzeć np. do: Katowic, Sosnowca, Siemianowic Śląskich, Olkusza czy Mysłowic.
W kilka minut można również dostać się do atrakcyjnych terenów rekreacyjnych – np. nad zbiornik Pogoria III. To doskonałe miejsce na ochłodę w upalne dni, długie spacery, czy uprawianie różnego rodzaju sportów. Latem można korzystać tam z kąpieliska z szeroką piaszczystą plażą. Ciekawą atrakcja jest także duże drewniane molo, sięgające w głąb zbiornika.
Od ścisłego centrum miasta, w którym znajdują się restauracje, liczne sklepy i punkty usługowe, będzie dzielić przyszłych mieszkańców ok. 10 min spaceru. W bezpośredniej okolicy inwestycji mieści się praktycznie wszystko, czego potrzeba do wygodnego życia. Po sąsiedzku znajdują się przedszkola i szkoły podstawowe, co będzie sporym udogodnieniem dla rodzin z dziećmi. Niedaleko również m.in. Centrum handlowe Vendo Park ze sklepami wielu popularnych marek
Nowa Deweloper realizująca przedsięwzięcie, a także Częstobud jako zaplecze techniczne i Dombud - hurtownia materiałów budowlanych, to grupa ściśle współpracujących ze sobą firm, które specjalizują się w branży budowlanej. Dzięki współpracy i wzajemnemu wsparciu, możemy realizować inwestycje deweloperskie najwyższych lotów, spełniające najbardziej wyśrubowane oczekiwania klientów.
Nowa Deweloper jest członkiem Polskiego Związku Firm Deweloperskich.
Kupujący zwolniony z opłaty 2% podatku od czynności cywilnoprawnych.
W celu uzyskania szerszego zakresu informacji zapraszamy do naszego biura sprzedaży po wcześniejszym umówieniu godziny spotkania z naszymi doradcami. Biuro zlokalizowane jest w Dąbrowie Górniczej przy ul. Przemysłowa 1
Niniejsza informacja nie stanowi oferty w rozumieniu art. 66 § 1 Kodeksu Cywilnego (z dnia 23 Kwietnia 1964 r. z późniejszymi zmianami)</t>
  </si>
  <si>
    <t>https://otodom.pl/pl/oferta/nowy-reden-apartament-premium-z-tarasem-na-dachu-ID4m3Qo</t>
  </si>
  <si>
    <t>4m3Qo</t>
  </si>
  <si>
    <t>Centrum Apartamenty, 41,63 m2, M7 z ogródkiem</t>
  </si>
  <si>
    <t xml:space="preserve">Oferujemy na sprzedaż 2-pokojowe mieszkanie o powierzchni 41,63 m2. Lokal mieszkalny zlokalizowany jest na parterze budynku w inwestycji Centrum Apartamenty przy ul. Partyzantów w Olecku. Składa się z salonu z aneksem kuchennym (20,70 m2), sypialni (7,65 m2), łazienki (4,59 m2) oraz korytarza (8,69 m2). Do mieszkania przynależy duży taras z zielonym ogródkiem.O inwestycji:Centrum Apartamenty to jedyna nowa inwestycja położona w ścisłym centrum Olecka. Nowoczesny 5 &amp;ndash; piętrowy budynek, w skład którego wchodzi 44 lokali mieszkalnych o powierzchniach od  31 m2 do 86 m2. Mieszkania są funkcjonalne, bardzo dobrze doświetlone dużymi oknami.  Prywatne zielone ogródki w mieszkaniach na parterze oraz przestronne tarasy, zagwarantują upragnioną przestrzeń. Na ostatnim piętrze zaplanowano wspólne patio dla wszystkich mieszkańców budynku, z panoramicznym widokiem na miasto oraz Jezioro Oleckie Wielkie. Do każdego mieszkania zaprojektowane są miejsca postojowe w dwupoziomowym parkingu podziemnym. Dostęp do mieszkań z parkingu zapewniony jest poprzez dojście do klatki schodowej z zainstalowaną winą wiodącą na każdą kondygnację. Budynek przystosowany jest do potrzeb osób niepełnosprawnych ruchowo. Cena nieruchomości: 245 617 zł. Jako eksperci kredytowi bezpłatnie sprawdzimy Państwa zdolność kredytową i pomożemy w uzyskaniu najkorzystniejszego kredytu hipotecznego lub gotówkowego na rynku.Współpracujemy z 14 renomowanymi bankami.Kontakt &amp;ndash; Patrycja Osińska, tel. 516 899 822 DOM POLSKI Nieruchomości Kredyty Ubezpieczenia19-400 OleckoPlac Wolności 26tel. 516 899 822Zainteresowanych zapraszam do kontaktu.Prezentowana oferta ma charakter informacyjny. Oferta ta nie stanowi oferty handlowej w rozumieniu Kodeksu Cywilnego ale ma związek z umową pośrednictwa w rozumieniu Ustawy o gospodarce nieruchomościami. Oferta niniejsza prezentowana jest wyłącznie za zgodą właściciela nieruchomości wyrażonej w formie pisemnej.Wszystkie transakcje pośrednictwa w obrocie nieruchomościami i prezentacje wszystkich nieruchomości klientom odbywają się wyłącznie na podstawie Umów Pośrednictwa zgodnie z Ustawą o gospodarce nieruchomościami i prowadzone są przez Licencjonowanych Pośredników w Obrocie Nieruchomościami - Wojciecha Zackiewicza (nr licencji 11243) i Piotra Sosnowskiego (nr licencji 23818). </t>
  </si>
  <si>
    <t>https://otodom.pl/pl/oferta/centrum-apartamenty-41-63-m2-m7-z-ogrodkiem-ID4cFCo</t>
  </si>
  <si>
    <t>4cFCo</t>
  </si>
  <si>
    <t>Nowe Mieszkanie na Pomorzanach!</t>
  </si>
  <si>
    <t>Pomorzany, Zachód, Szczecin, zachodniopomorskie</t>
  </si>
  <si>
    <t xml:space="preserve">Mamy przyjemność zaprezentować nową inwestycję na Pomorzanach!
Do dyspozycji 4-pokojowe mieszkanie dwupoziomowe w budynku posadowionym w idealnej lokalizacji!
W skład lokalu wchodzą:
PARTER
-Salon - 21,64 m2,
-Kuchnia -8,24 m2,
-WC 5,13 m2
PIĘTRO
-Pokój -8,86 m2,
-Pokój - 12,37 m2,
-Pokój 8,41 m2
-Łazienka 9,42 m2.
Inwestycja położona 5 min drogi od CH Auchan Kołbaskowo ( 15 min pieszo).  7 min od najbliższej szkoły na Pomorzanach. Lokalizacja idealna pod kątem dojazdu z trasy A6. W pobliżu przystanek linii autobusowej 61 (25 min do centrum) Spokojna dzielnica domów jednorodzinnych. Lokale bezczynszowe!
Budynek wykonany z wysokiej jakości materiałów ( m.in. bloczki porothermu-również wewnątrz budynku). Sprzedawany w stanie deweloperskim
Ogrzewanie gazowe. Kanalizacja miejska.
Możliwość dokupienia miejsca parkingowego w bryle budynku w cenie 30 tys. PLN/szt.- przewidziane 2 miejsca postojowe na mieszkanie.
Oddanie inwestycji do użytku II-III kwartał 2023.
Sprzedaż w oparciu o umowę kupna- sprzedaży po wcześniejszej rezerwacji.
W ofercie posiadamy obecnie 3 takie mieszkania.
Rzuty i aktualne zdjęcia z budowy dostępne u agenta prowadzącego.
Zapraszamy na prezentację!
</t>
  </si>
  <si>
    <t>https://otodom.pl/pl/oferta/nowe-mieszkanie-na-pomorzanach-ID4iKwQ</t>
  </si>
  <si>
    <t>4iKwQ</t>
  </si>
  <si>
    <t>3M | Do wejścia | Żabiniec | Dwupoziomowe</t>
  </si>
  <si>
    <t>Przedstawiam na sprzedaż przestrzenne, jasne, dwupoziomowe, 3 pokojowe mieszkanie z aneksem kuchennym na Żabińcu.
Mieszkanie znajduje się na trzecim piętrze w trzypiętrowym budynku. 
Dwupoziomowość sprawia, że metraż jest świetnie zagospodarowany. Dużo przestrzeni w mieszkaniu.
Do wejścia. Całe widoczne wyposażenie zostaje.
Idealne dla pary, pary z dziećmi.
Powierzchnia nieruchomości to 63 m2, której w skład wchodzi:
  duży salon,
dwie sypialnie,
 aneks kuchenny,
łazienka,
WC,
duża, pojemna garderoba,
przedpokój z klatką schodową.
Dodatkowe informacje:
Bardzo jasne. Ekspozycja południowy – zachód,
Ogólnodostępne miejsca parkingowe przy budynku,
 Brak gazu,
 Dach wymieniany dwa lata temu,
 Budynek z lat 2000/2004.
 Wyposażenie w cenie!  
Lokalizacja: 
Ogromnym plusem mieszkania jest lokalizacja. Od każdej strony budynku znajdziemy przystanki autobusowe (7min pieszo). Linie: 105,129,132,139,159,169,199,257,277,280,405,469,503,608,610, dzięki czemu dojedziemy w każdy zakątek Krakowa.
Infrastruktura wokół budynku zapewnia wygodne życie. Nie ma potrzeby zaopatrywać się we własny środek transportu.
Na Rynek 24 min samochodem, 26 min tramwajem.
W bliskiej odległości mieszkania znajdziemy:
 Plac Imbramowski,
Centrum handlowe Atut (Biedronka, Rossman, Kik, Tedy, Pepco),
 Parki,
 Uczelnie wyższe (UEK, UP, AGH, UR),
 Żłobek, przedszkole, szkoła podstawowa,
 Plac zabaw,
  Basen,
Przychodnia lekarska,
Sklepy takie jak: Biedronka, Kaufland, Netto, Auchan,
 Restauracje, Pizzerie. 
Zapraszam na prezentację!
Kamil Tomczyk
720 885 745
Ogłoszenie nie stanowi oferty w rozumieniu KC.</t>
  </si>
  <si>
    <t>https://www.otodom.pl/pl/oferta/3m-do-wejscia-zabiniec-dwupoziomowe-ID4oxrX</t>
  </si>
  <si>
    <t>4oxrX</t>
  </si>
  <si>
    <t>Tylko u Nas!!! Apartament 3 pokojowy/garaż/ogród!!</t>
  </si>
  <si>
    <t>Boguszyce, Oleśnica, oleśnicki, dolnośląskie</t>
  </si>
  <si>
    <t>Marcin Czerniawskitel. 794661800Oferta tylko w Naszym biurze Prezentuję Państwu na sprzedaż nowoczesny trzypokojowy apartament z salonem, aneksem kuchennym oraz ogródkiem z widokiem na tereny zielone okolicy.Rewelacyjna lokalizacja na prywatnym zamkniętym osiedlu w miejscowości Boguszyce. Mieszkanie zostało wykończone i urządzone z niezwykłą starannością przy użyciu najwyższej jakości materiałów. Przestronność i jasność wnętrza gwarantuje wysoki poziom mieszkania.Rozkładowo apartament o powierzchni 92m2 posiada dwie sypialnie, kuchnię z oknem otwartą na salon, łazienkę, toaletę, kotłownię, przedpokój oraz garaż. Głównym źródłem ciepła w sezonie jest gaz, natomiast do dyspozycji jest również wysokiej jakości kominek typu "koza" który świetnie sprawdza się przez cały okres grzewczy.Teren osiedla bardzo dobrze zagospodarowany poprzez liczne drzewa i krzewy, wspólne podwórko z miejscem parkingowym na dwa auta, placem zabaw dla dzieci oraz altanę rekreacyjną która pełni funkcję lokalnych spotkań i biesiad mieszkańców.Ta nieruchomość to idealne miejsce dla osób ceniących sobie komfort i przestrzeń. Apartament jest nowoczesny, przestronny i dobrze doświetlony, taras zaś na zewnątrz pozwala na miły relaks w otoczeniu zieleni.W pobliżu lasy, niesamowity klimat do odpoczynku w ciszy i spokoju, przy jednoczesnym szybkim dostępie do miasta.Do Oleśnicy dojedziemy w 5 min a do Wrocławia w 30 min.Zapraszam do kontaktu i na prezentacjęMarcin Czerniawskitel. 794661800Kontaktując się z agentem odpowiedzialnym za ofertę, koniecznie zapytaj jakie są warunki współpracy z naszym biurem oraz co w związku ze współpracą zapewniamy.Dbając o bezpieczeństwo klientów sprzedających, a często także na ich wyraźne życzenie, nie podajemy adresów nieruchomości bez podpisania uprzednio umowy o pośrednictwo w kupnie lub najmie.Wszelkie podane przez Biuro informacje nie są ofertą w rozumieniu Kodeksu Cywilnego.Zgodnie z Ustawą o Prawie Autorskim i Prawach Pokrewnych z dnia 4 lutego 1994 roku (Dz.U.94 Nr 24 poz. 83, sprost.: Dz.U.94 Nr 43 poz.170) wykorzystywanie autorskich pomysłów, rozwiązań, kopiowanie, rozpowszechnianie zdjęć, fragmentów grafiki, tekstów opisów w celach zarobkowych, bez zezwolenia autora jest zabronione i stanowi naruszenie praw autorskich oraz podlega karze. Znaki towarowe i graficzne są własnością firmy Nieruchomości Apartament.</t>
  </si>
  <si>
    <t>https://www.otodom.pl/pl/oferta/tylko-u-nas-apartament-3-pokojowy-garaz-ogrod-ID4ngnG</t>
  </si>
  <si>
    <t>4ngnG</t>
  </si>
  <si>
    <t>2 pokoje▪️balkon▪️przy Parku</t>
  </si>
  <si>
    <t>Stoki, Widzew, Łódź, łódzkie</t>
  </si>
  <si>
    <t>Sprzedam mieszkanie 2 pokojowe, 48,96m² zlokalizowane na parterze w 2 piętrowym bloku, w spokojnej okolicy, na zamkniętym, monitorowanym osiedlu. Mieszkanie składa się z:-oddzielnej kuchni 6,34m2-łazienki 5,28m²-salonu 20,76m²-sypialni 10,29m²-przedpokoju 6,29m²-balkonu 3m²Do mieszkania przynależy komórka lokatorska o powierzchni 16,59m² i miejsce parkingoweUwaga. Powyższy opis mieszkania nie jest ofertą w rozumieniu kodeksu cywilnego. Dane o ofercie według informacji zgłaszającego - mogą odbiegać od stanu faktycznego. Biuro nie ponosi odpowiedzialności za niezgodność danych z rzeczywistością. Oferta może być w danym momencie nieaktualna. Dzień wykonania multimediów może być różny.</t>
  </si>
  <si>
    <t>https://www.otodom.pl/pl/oferta/2-pokojebalkonprzy-parku-ID4oErN</t>
  </si>
  <si>
    <t>4oErN</t>
  </si>
  <si>
    <t>Alfa Park III | Ostatnie Piętro | Wyposażone</t>
  </si>
  <si>
    <t>ATUTY:- ostatnie piętro w bloku; - 5 min spacerem do stacji PKM JASIEŃ;- 150m do przystanku autobusowego;- łatwy wyjazd na obwodnicę Trójmiasta;- wysoki standard wykończenia;- nowoczesne zamknięte osiedle.LOKALIZACJA:Osiedle "Alfa Park" znajduje się w jednej z najbardziej cenionych dzielnic Gdańsk- MORENIE. W najbliższej okolicy znajdziemy liczne markety: Carrefour, Lidl i Biedronka, Centrum handlowe MORENA zapewnia dostęp do szeregu usług i rekreacji (kino, siłownia). W sąsiedztwie znajduję się też przychodnia i liczne prywatne sklepy usługowo-handlowe.Bliskość przystanków tramwajowych, autobusowych jaki i PKM daje wiele alternatyw komunikacyjnych dla mieszkańców tej dzielnicy.BUDYNEK:Wybudowany w 2017 roku budynek wchodzi w skład osiedla Alfa Park etap III. Wejście do klatki schodowej zabezpieczone jest video domofonem. Klatka schodowa wykończona według najnowszych trendów bardzo zadbana. W pobliżu nieruchomości znajdziemy ogólnodostępne miejsca postojowe tylko dla mieszkańców i plac zabaw dla dzieci. W budynku cichobieżna winda i hala garażowa.MIESZKANIE:Prezentowane mieszkanie znajduje się na ostatnim piętrze. Składa się z otwartego salonu z wydzielonym aneksem kuchennym, sypialni, dużej garderoby która może pełnić funkcję drugiej sypialni, pokoju dziecięcego bądź gabinetu, łazienki z WC, osobnej toalety i dużego balkonu.Mieszkanie zostało zaprojektowane przez architekta wnętrz i wykończone w gustownym, ponadczasowym stylu. Dodatkowo duża liczba okien sprawia, że jest bardzo jasne. Pomieszczenie garderoby posiada dodatkową wnęką na szafę z efektownym podświetleniem. Wszystkie stałe zabudowy wykonane pod wymiar.Na ścianach sztukateria i ozdobne tapety. Ciepłego klimatu dodają drewniane podłogi.Apartament gotowy do wprowadzenia.OPŁATY:Opłaty czynszowe kształtują się na poziomie 800 zł miesięcznie.INFORMACJE DODATKOWE:Do lokalu przynależy komórka lokatorska w cenie.Istnieje możliwość przejęcia najmu jednego miejsca w hali garażowej.Całe wyposażenie zwarte jest w cenie.Zapraszam na prezentacjęŁukasz Uszalewski575900121Galeria Nieruchomości</t>
  </si>
  <si>
    <t>https://www.otodom.pl/pl/oferta/alfa-park-iii-ostatnie-pietro-wyposazone-ID4msrF</t>
  </si>
  <si>
    <t>4msrF</t>
  </si>
  <si>
    <t>Sprzedam kawalerkę Chorzów Sobieskiego 18</t>
  </si>
  <si>
    <t>Centrum, Chorzów, śląskie</t>
  </si>
  <si>
    <t xml:space="preserve">Sprzedam kawalerkę w kamienicy przy ul. Sobieskiego 18 w Chorzowie.Kamienica z roku 1900, w trakcie generalnego remontu części wspólnych - dach, elewacja, podwórko, klatki schodowe, nowe piony wodno - kanalizacyjne, nowa elektryka i teletechnika w budynku, domofon, telewizja, internet. Kamienieca zamykana monitorowana.
Nowi sąsiedzi cisza i spokój.Lokal położony na 4 piętrze, 32,5 mkw. Lokal w stanie deweloperskim (wystarczy wstawić meble)
Ogrzewanie na ta chwile przygotowane pod klimatyzacje nie ma problemu z montażem ogrzewanie gazowego.
Mieszkanie idealne pod wynajem 
Istnieje możliwość obsługi najmu za Państwa.
Sprzedaż bezpośrednio od właściciela - bez prowizji, pełna własność, udział w gruncie.Posiadamy także inne mieszkania w tej lokalizacji.
</t>
  </si>
  <si>
    <t>https://www.otodom.pl/pl/oferta/sprzedam-kawalerke-chorzow-sobieskiego-18-ID4l4ST</t>
  </si>
  <si>
    <t>4l4ST</t>
  </si>
  <si>
    <t>Gotowe domy wolnostojące w Modlnicy, bez prowizji!</t>
  </si>
  <si>
    <t xml:space="preserve">Szukasz domu na obrzeżach Krakowa z szybkim dojazdem do centrum, a zarazem świetnym miejscem wypadowym na wycieczki rowerowe ? Modlnica w jurze krakowsko-częstochowskiej spełni twoje oczekiwania! Właśnie tu powstaje drugi etap inwestycji składający się z  6 wolnostojących domów jednorodzinnych o powierzchni całkowitej ok. 167 m2 (użytkowa 129,32 m2) znajdujące się na ok. 4 arowych działkach. LOKALIZACJA:Modlnica mieści się na północ od Krakowa i dzięki rozbudowanej sieci komunikacyjnej i obwodnicy zapewnia idealne połączenie zarówno z północną częścią Krakowa jak i  z innymi jego dzielnicami.Wielkim atutem lokalizacji inwestycji jest bliskość natury. W odległości ok 7km na północ znajduje się Ojcowski Park Narodowy oraz przyległe fragmenty wierzchowiny jurajskiej. Są to bardzo atrakcyjne tereny turystyczno-przyrodnicze z wieloma atrakcjami. Liczne ścieżki rowerowe, szlaki turystyczno-historyczne z zamkami łańcucha Orlich Gniazd zapewniają niebanalne spędzanie wolnego czasu.To co najważniejsze jest w zasięgu paru minut: Dojazd do Krakowa 4 min (5km) Wjazd na obwodnicę Krakowa 2 km Stacja benzynowa BP, Biedronka, KFC 1,4 km Przedszkole Samorządowe i Szkoła podstawowa 1km Komunikacja miejska 210,220, 910,920 300-500m Centrum medyczne Szyce 1 km Ojcowski Park Narodowy 7 km Galeria Bronowice 6 km Port Lotniczy Balice 10 km Szybka kolej miejska PKP Przystanek- Bronowice 6km OPIS BUDYNKU:Drugi etap składa się z 6  przestronnych wolnostojących budynków mieszkalnych. Teren inwestycji jest ogrodzony z automatyczną bramą wjazdową, każdy z domów wygrodzony. Powierzchnia każdego z nich została zaprojektowana tak, by w strefie nocnej na piętrze pomieścić łazienkę, 3 wygodne sypialnie z garderobą oraz wyjściem na balkon, a w dolnej dziennej części: przestronny salon z aneksem kuchennym, łazienką, wiatrołapem  oraz holem, z którego wchodzimy do garażu. Salon z kuchnią wychodzą na ogródek i taras, czyli doskonałe miejsce na wypicie porannej kawy, czy grill ze znajomymi.  Te wszystkie cechy sprawiają iż jest to wystarczająca przestrzeń, by zaplanować miejsce do wspólnego przebywania dla czteroosobowej rodziny.Standard wykończenia: ściany zewnętrzne - dwuwarstwowe, wykonane z pustaków ceramicznych Thermoton gr 19cm ocieplone warstwą styropianu gr. 15cm strop poddasza zaprojektowano jako drewniany, z izolacją termiczną wełna ISOVER o gr 15 cm wykończoną systemem RIGIPS, podłoga wyłożona płytą OSB dach pokryty dachówką betonową wraz oknem wyłazowym, ocieplony wełna mineralną ISOVER gr 25 cm wykończony od strony wewnętrznej płytą gipsową ogrzewanie domu gazowe -piec dwufunkcyjny, grzanie podłogowe na parter i piętrze okna PCV 3-szybowe z w salonie z systemem przesuwnym, drzwi zewnętrzne antywłamaniowe w klasie RC2 brama garażowa otwierana automatycznie taras wykończony deską kompozytową, w ogródkach posiana trawa zasadzone tuje oraz wykonane ogrodzenie, część wspólna osiedla oświetlona. UKŁAD POMIESZCZEŃ 129,32 m²:Parter 71,21 m² : wiatrołap 2,42 m² hol 6,70 m² łazienka 4,68 m² salon 20,25 m² aneks kuchenny 10,95 m² pom. gospodarcze 4,05 m² garaż 20,02 m² klatka schodowa 2,14 m² Piętro 58,11 m²: komunikacja 6,51 m² sypialnia 11,35 m² sypialnia 12,10 m² łazienka 6,66 m² pokój 14,81 m² garderoba 6,68 m²Powierzchnie działek przynależnych: od 370 m² do 402 m².Domy są już gotowe i po odbiorach !BIURO NIE POBIERA PROWIZJI OD KUPUJĄCYCH!W celu prezentacji i zapoznania się ze szczegółami oferty zapraszamy do kontaktu:Katarzyna Sonikkom: +4████████████6
Oferta wysłana z programu dla biur nieruchomości ASARI CRM ()
</t>
  </si>
  <si>
    <t>https://www.otodom.pl/pl/oferta/gotowe-domy-wolnostojace-w-modlnicy-bez-prowizji-ID4nY2a</t>
  </si>
  <si>
    <t>4nY2a</t>
  </si>
  <si>
    <t>Kołobrzeg apartament 2 pokojowy 400m do plaży Ziel</t>
  </si>
  <si>
    <t>Na sprzedaż piękny, przestronny apartament położony w idealnej lokalizacji Nieruchomość położona na zacisznym osiedlu z ogrodami " Zielone Tarasy " w odległości około 400 m od morza oraz szerokiej, piaszczystej plaży.Mieszkanie 2-pokojowe  o powierzchni łącznej wraz z kom. lok.39,37 m2 usytuowane jest na 3 piętrze w 3 piętrowym apartamentowcu ( budynek z windą )w skład którego wchodzą:- salon z aneksem kuchennym- niezależna sypialnia z wyjściem na przestronny balkon- przedpokój - łazienka z WCDo mieszkania przynależy również komórka lokatorska o powierzchni 2,75 m2 ( wpisana w KW do powierzchni mieszkania )  oraz możliwość korzystania z dostępnej tylko dla mieszkańcówsali fitness z siłownią oraz 2 niezależnych tarasów położonych na dachu budynku.Czynsz ze wszystkimi zaliczkami na wodę oraz ogrzewanie 550,- ( dodatkowe opłaty - energia według zużycia )Piękna okolica w prestiżowej lokalizacji przy promenadzie, parku oraz Amfiteatrze.W pobliżu ścieżki rowerowe biegnące wzdłuż pobliskich, nadmorskich miejscowości, liczne restauracje oraz przystanek komunikacji miejskiej.Miejsca postojowe ogólnodostępne wzdłuż osiedla ( nieprzypisane ) ZAPRASZAM SERDECZNIE NA PREZENTACJĘ NIERUCHOMOŚCIPAULINA ZIELIŃSKA TEL.  660 727 425"Opis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</si>
  <si>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https://www.otodom.pl/pl/oferta/kolobrzeg-apartament-2-pokojowy-400m-do-plazy-ziel-ID4mfte</t>
  </si>
  <si>
    <t>4mfte</t>
  </si>
  <si>
    <t>Nowe Mieszkania W Stanie Deweloperskim</t>
  </si>
  <si>
    <t>Polecamy Państwu najnowszą inwestycję - nowe mieszkania na kameralnym osiedlu dwukondygnacyjnych budynków zlokalizowanych w Częstochowie w dzielnicy Wrzosowiak.Budynek wyposażony jest w windę, posiada dodatkowo płatne komórki lokatorskie i miejsca garażowe. W komórkach znajdują się gniazdka do ładowania samochodów elektrycznych. Osiedle i garaż są monitorowane, ogrzewanie podłogowe - w standardzie mieszkania znajduje się manipulator ogrzewania podłogowego. Jest możliwość podłączenia stref, regulujących temperaturę w poszczególnych pomieszczenia w cenie 600zł za strefę. Mieszkanie wyposażone jest w czujnik pogodowy.   Powierzchnia mieszkania wynosi 64m2Mieszkanie składa się z:- salonu z aneksem kuchennym- dwóch sypialni - pomieszczenia gospodarczego - łazienki - przedpokoju Do mieszkań przynależy ogródek w cenie 200zł/m2    -  ~7000złAktualne są jeszcze trzy mieszkania o tej powierzchni.ZAPRASZAMY NA PREZENTACJĘ  - Pośrednik odpowiedzialny zawodowo za wykonanie umowy pośrednictwa: Eliza Pabis (licencja nr: 21721)</t>
  </si>
  <si>
    <t>https://otodom.pl/pl/oferta/nowe-mieszkania-w-stanie-deweloperskim-ID4itNr</t>
  </si>
  <si>
    <t>4itNr</t>
  </si>
  <si>
    <t>Mazowiecka Park | Praktyczne Mieszkanie GB.307</t>
  </si>
  <si>
    <t>ul. Mazowiecka, Kołobrzeg, kołobrzeski, zachodniopomorskie</t>
  </si>
  <si>
    <t>O mieszkaniu
Mazowiecka Park to osiedle tworzone dla osób szukających spokoju, jednocześnie ceniący sobie życie w centrum miasta.
W sprzedaży oferujemy komfortowe mieszkania, w których możesz cieszyć się życiem, aktywnie spędzać czas z rodziną i mieć wszystko w zasięgu ręki.
Mieszkanie położone jest na 3 piętrze segmentu GB.
Mieszkanie jest wykończone w standardzie deweloperskim.
Do mieszkania przynależy balkon.
Istnieje możliwość zakupu garażu z bramą automatyczną w hali garażowej lub prawa do wyłącznego korzystania z miejsca postojowego na zewnątrz budynku.
Nowoczesna architektura, wysoka jakość, doskonała lokalizacja.
O INWESTYCJI MAZOWIECKA PARK
Wszystko zaczyna się i zależy od Nas samych: jak żyjemy, jak lubimy pracować, w jaki sposób załatwiamy codzienne sprawy oraz jak odpoczywamy. Wychodząc z tego prostego założenia, tworzymy miejsce, które daje poczucie wygody, bezpieczeństwa jak i niezależności. Szanujemy przestrzeń miejską i dlatego z ogromną uwagą podchodzimy do jej tradycji i historii.
Jesteśmy Kołobrzeskim deweloperem z bogatym doświadczeniem w głównych sektorach rynku nieruchomości: mieszkaniowym, handlowo-usługowym, biurowym. Jako firma współodpowiedzialna za rozwój miast, angażujemy się w projekty, które idealnie wpisują się w miejską infrastrukturę i ją idealnie uzupełniają.  Mazowiecka Park to miejsca przyciągające ludzi, zapraszające do spędzania w nim czasu, zachęcające do mieszkania i inspirujące do działania.
LOKALIZACJA
Mazowiecka Park to osiedle tworzone dla osób szukających spokoju, jednocześnie ceniący sobie życie w centrum miasta. Idealne miejsce dla wymagających mieszkańców którzy są świadomi swoich potrzeb. Właśnie tutaj każdy z Nas znajdzie swoją przestrzeń. To idealne miejsce do spotkań, odpoczynku i zabaw. Do centrum Kołobrzegu mieszkańcy Osiedla Mazowiecka Park mogą dojść, przechadzając się wzdłuż malowniczych zielonych ulic. W centrum miasta do którego dotrzemy spacerem w zaledwie 10 minut znajdziemy kino, liczne restauracje, urzędy, przychodnie lekarskie w tym szpital, sklepy jak i szkoły. Ponadto do pięknych piaszczystych plaż dotrzemy w krótkim czasie zarówno pieszo, rowerem oraz samochodem, gdyż lokalizacja Naszej Inwestycji pozwala na dowolny wybór dotarcia tam gdzie chcemy. 
ARCHITEKTURA INWESTYCJI
Części wspólne budynku wraz z elewacją zostały nowocześnie zaprojektowane i wykonane z materiałów najwyższej jakości: cicha i przestronna winda od poziomu garaży do każdej kondygnacji, przestronne balkony i tarasy. Piękne, przestrzenne w designerski stylu urządzone klatki schodowe, które już od samego wejścia budzące zachwyt i podziw. Tworząc Osiedle Mazowiecka Park skupiliśmy dużą uwagę na zagospodarowanie przestrzeni wokół inwestycji. Dzięki bujnej roślinności oraz wtopieniu placu zabaw w zagospodarowany teren, mamy poczucie iż znajdujemy się w pięknym parku, który tworzy przepiękny salon zewnętrzny, w którym strefa osobista wolno nasącza się wyrównanym oddechem otoczenia oraz spokojnym nadmorskim stylem życia.
Zapraszamy do kontaktu z Biurem Sprzedaży
przy ulicy Mazowiecka 4a/1
78-100 Kołobrzeg</t>
  </si>
  <si>
    <t>https://otodom.pl/pl/oferta/mazowiecka-park-praktyczne-mieszkanie-gb-307-ID4gVTe</t>
  </si>
  <si>
    <t>4gVTe</t>
  </si>
  <si>
    <t>Nowoczesne osiedle, dobra cena</t>
  </si>
  <si>
    <t>ul. Tadeusza Kościuszki, Smętowo, Kartuzy, kartuski, pomorskie</t>
  </si>
  <si>
    <t>Nowoczesne i funkcjonalne 4-pokojowe mieszkanie o pow. 77,06 m2 w inwestycji na Pogórzu.Piękne osiedle składa się z trzypiętrowych budynków. Biała elewacja, balkony wykończone przeszklonymi balustradami, windy cichobieżne, hala garażowa, tarasy i ogródki na parterach.W inwestycji dostępne będą mieszkania 2-4 pokojoweo zróżnicowanych metrażach.Pomieszczenia- pokoju dzienny z aneksem kuchennym- trzy sypialnie- łazienka- hol- balkonLokalizacja- dobry dostęp do środków transportu miejskiego- dostępnych 10 linii autobusowych, odjeżdżających co 6-10 minut- Estakada Kwiatkowskiego w odległości kilku minut- do centrum Gdyni 10 minut- w sąsiedztwie Centrum Handlowe, punkty usługoweZalety- do mieszkania można dokupić komórkę lokatorską lub boks, miejsce postojowe w hali garażowej  lub miejsce naziemne- do dyspozycji najmłodszych mieszkańców plac zabaw ścianka wspinaczkowa, skate park, tyrolka- dostępne dodatkowe atrakcje, gry zręcznościowe, stanowiska gier planszowych- zewnętrzna siłownia oraz strefa crossfitNowoczesne osiedle, spełniające najwyższe wymagania.Składać się będzie z 24 budynków mieszkalnych oddawanych do użytku etapowo.Planowany termin odbioru mieszkania: lipiec 2023 r.Zapraszam na prezentację-Dom &amp;amp; House - Specjaliści od marzeń. - Gwarantujemy bezpieczeństwo transakcji- Znajdziemy najtańszy kredyt- Pomoc prawna dzięki współpracy z najlepszymi kancelariami notarialnym i prawnymi- Znajdziemy najtańsze ubezpieczenie nieruchomościPrezentowana oferta ma charakter informacyjny, nie stanowi oferty handlowej w rozumieniu Art. 66 par. 1 Kodeksu Cywilnego.</t>
  </si>
  <si>
    <t>https://otodom.pl/pl/oferta/nowoczesne-osiedle-dobra-cena-ID4kWll</t>
  </si>
  <si>
    <t>4kWll</t>
  </si>
  <si>
    <t>Nowoczesne Domy 120m2 Swoszowice- Kraków</t>
  </si>
  <si>
    <t xml:space="preserve">Kraków, Wróblowice/Swoszowice, ul. Krzyżańskiego.Jako wyłączne biuro sprzedaży mamy przyjemność zaprezentowania Państwu nową inwestycję, gdzie w zielonej okolicy wśród niskiej zabudowy jedno i wielorodzinnej powstają nowoczesne domy z garażami oraz ogródkami.NOWOCZESNE DOMY WRÓBLOWICE przy ulicy Krzyżańskiego to kompleks 2 budynków w zabudowie bliźniaczej tworzących łącznie 6 lokali mieszkalnych jednorodzinnych. Wszystkie lokale mają tę samą powierzchnię, przynależne ogródki mają od 20m2 do nawet 306m2, każdy posiada wbudowany garaż oraz jedno miejsce postojowe przed domem. Inwestycja została zaprojektowana zgodnie z najwyższymi standardami, przy użyciu nowoczesnych i trwałych materiałów budowlanych. Szczególna uwaga została poświęcona harmonijniej bryle budynków oraz kolorystyce, dzięki którym inwestycja będzie spójna z okoliczną zabudową. Wysoka funkcjonalność rozwiązań architektonicznych oraz dobre nasłonecznie lokali tworzą przyjazny klimat dla przyszłych mieszkańców.Prezentowany dom ma powierzchnię użytkową 120m2, powierzchnia ogrodu wynosi 170m2, składa się z:PARTER: wiatrołap (4,42m2), garaż (17,91m2), łazienka (2,36m2), korytarz (4,53m2), salon z aneksem kuchennym (31,54m2): łącznie 60,75m2 p.u. dodatkowo pod schodami znajduje się schowek nie wliczany do metrażu. Wysokość pomieszczeń 268cm, w garażu 287cm. Przed garażem dodatkowe miejsce postojowe.PIĘTRO: sypialnia (17,5m2), dwa pokoje (10,05m2 i 9,73m2), z każdego wyjście na balkon (6,90m2), korytarz (7,36m2), garderoba (2,79m2), łazienka (7,4m2); łącznie 59,09m2 p.u. Wysokość pomieszczeń od 130 do 260cm.PODDASZE:powierzchnia strychu, która nie jest liczona do metrażu domu to 26m2 po podłodze - 15m2 powierzchni użytkowej !Standard wykończenia:* Fundamenty żelbetowe* Ściany konstrukcyjne murowane z pustaków ceramicznych lub silikatowych* Strop nad parterem żelbetowy wylewany* Schody żelbetowe wylewane* Termoizolacja ścian zewnętrznych - styropian grafitowy gr. 20cm* Wykończenie ścian zewnętrznych &amp;ndash; tynk cienkowarstwowy silikonowy* Pokrycie dachu &amp;ndash; dachówka ceramiczna* Wykończenie ścian wewnętrznych &amp;ndash; tynk gipsowy maszynowy III kategorii* Wykończenie posadzek &amp;ndash; wylewka cementowa na styropianie* Stolarka okienna &amp;ndash; okna i drzwi balkonowe PCV, pakiet 3-szybowy, okno na taras przesuwne* Drzwi wejściowe do budynku &amp;ndash; aluminiowe klasy RC3 z dwoma zamkami* Brama wjazdowa garażowa automatyczna (na pilota)* Poddasze &amp;ndash; izolacja wełna mineralna gr. 30cm + płyta GK nie szpachlowana* Wentylacja grawitacyjna* Instalacja kanalizacyjna sanitarna z odprowadzeniem do sieci kanalizacyjnej* Instalacja centralnego ogrzewania podłogowa w całym domu + grzejnik łazienkowy wiszący 2x* Źródło ciepła &amp;ndash; instalacja gazowa z sieci, indywidualnym kotłem gazowym II-funkcyjnym kondensacyjnym. Jeszcze na etapie budowy na życzenie Klienta jest możliwość montażu pompy ciepła za dodatkową opłatą.* Instalacja elektryczna &amp;ndash; punkty elektryczne zakończone kostką we wszystkich pomieszczeniach* Instalacja światłowodowa oraz domofonowa* Instalacja klimatyzacji bez osprzętu* Zagospodarowanie terenu przynależnego do budynku &amp;ndash; komunikacja i podjazd do garażu z kostki brukowej betonowej, trawnik zasiany na powierzchni zielonej terenu* Wygrodzenie indywidualnych ogródków* Zagospodarowanie terenu wspólnego &amp;ndash; nawierzchnia drogi z kostki brukowej betonowej, trawnik zasiany na powierzchni zielonej terenu* Ogrodzenie osiedla wraz z automatyczną bramą wjazdową oraz furtką* Rolety antywłamaniowe na parterze w standardzie.Planowane zakończenie prac IV kw 2023r., zakup z rynku pierwotnego, rachunek powierniczy otwarty, płatność transzami.Zapraszamy na prezentację!Więcej ofert na stronie biura nieruchomości EchoDOM!Dzięki współpracy z bankami jak i niezależnymi doradcami finansowymi bezpłatnie pomagamy w uzyskaniu kredytu. ZAPEWNIAMY PROFESJONALIZM I BEZPIECZEŃSTWO ZAWIERANYCH TRANSAKCJI!-Wszystkie szczegóły zestawiono na podstawie wypowiedzi lub dokumentacji przedstawionej przez właściciela. Jednocześnie nie bierzemy odpowiedzialności za ich prawidłowość, kompletność i aktualność. Oferta nie stanowi oferty handlowej w rozumieniu kodeksu cywilnego i nie jest wiążąca. </t>
  </si>
  <si>
    <t>https://otodom.pl/pl/oferta/nowoczesne-domy-120m2-swoszowice-krakow-ID4htSM</t>
  </si>
  <si>
    <t>4htSM</t>
  </si>
  <si>
    <t>Nowoczesne M5, 92 M2, Dwupoziomowy Loft</t>
  </si>
  <si>
    <t>ul. Powstańców Warszawy, Łochowo, Białe Błota, bydgoski, kujawsko-pomorskie</t>
  </si>
  <si>
    <t>House Team Nieruchomości &amp;amp; Finanse przedstawia dwupoziomowe mieszkanie w stylu loft, w zabudowie szeregowej, położone na Osiedlu Leśnym.Mieszkanie o powierzchni 92,03 m2 składa się z pokoju dziennego z aneksem kuchennym, trzech sypialni, łazienki oraz pokoju, który można przywrócić do pierwotnej wersji garażu.Położenie środkowe o ekspozycji okien od strony wschodniej (dwie sypialnie) i zachodniej (pokój dzienny z aneksem i sypialnia) zapewnia doskonałe doświetlenie pomieszczeń. Nieruchomość położona jest na ogrodzonym i monitorowanym terenie. ATUTY:- dostępne od zaraz- nie wymaga dużych nakładów finansowych- lokalizacja z bliskim dostępem do centrum- doskonałe dla niedużej rodziny lub singla- oryginalny design- niskie koszty eksploatacji- 3 sypialnie- możliwość adaptacji garażu- ogródek - ok. 20 m2ROZKŁAD:Na powierzchnię mieszkania składa się:PARTER - 45,48 m2:Przedpokój - ok. 6,75 m2Pokój dzienny z aneksem - ok. 22,5 m2Toaleta - ok. 2 m2Pokój/garaż - ok. 17,05 m2PIĘTRO - 46,55 m2:Hol - ok. 11 m2Sypialnia - ok. 13 m2Sypialnia - ok. 8 m2Sypialnia - ok. 7,5 m2Łazienka - ok. 6 m2Na parterze znajduje się pokój dzienny z aneksem kuchennym. W kuchni znajdują się meble wraz ze sprzętem AGD (zmywarka, lodówka, piekarnik, kuchenka gazowa). Pod schodami znajduje się toaleta. Pierwotnie garaż o powierzchni ponad 17 m2 zaadoptowano na kolejny pokój, jednak z łatwością można wrócić do pierwotnego układu.Na piętro prowadzą eleganckie schody. Na piętrze znajdują się trzy jasne sypialnie oraz łazienka z kabiną prysznicową.STANDARD:- na ścianach gładzie- na podłogach na parterze - kafle, na piętrze - panele- okna PCV - zewnętrzny kolor orzech, 5-komorowy profil- instalacja c/o - piec gazowy Ariston- elegancka stolarka drzwiowa- drzwi wejściowe antywłamaniowe w kolorze orzech- domofonBUDYNEKNieruchomość powstała pod koniec XIX wieku, stanowi część muru pruskiego, o czym świadczy czerwona cegła połączona z drewnianymi belkami. W 2016 roku nieruchomość została odbudowana i przekształcona na mieszkania typu loft. Podczas prac adaptacyjnych na mieszkania w zabudowie szeregowej deweloper wykonał generalny remont dachu oraz elewacji zewnętrznej. Wjazd na teren przez automatyczną bramę wjazdową otwieraną na pilota.Zarządzany przez wspólnotę.Teren wokół budynku zadbany, wybrukowany kostką. Nieruchomość ogrodzona i monitorowana.MEDIA:woda, gaz, prąd, kanalizacja miejskainternet i telewizja kablowa - VectraLOKALIZACJA:Osiedle Leśne - w pobliżu inwestycji znajduje się szpital, przychodnia, sklepy, obiekty sportowe, punkty usługowo-handlowe (Lidl, MediaExpert, Pepco) oraz tereny rekreacyjne, w tym Leśny Park Kultury i Wypoczynku w Myślęcinku.Bliskość komunikacji miejskiej ułatwi szybkie dostanie się do centrum miasta.W bliskiej odległości przystanek autobusowy oraz tramwajowy.W pobliżu płatny parking strzeżony.DODATKOWE INFORMACJE: Czynsz wynosi ok. 315 zł/2 osoby w tym zaliczka na wodę, wywóz odpadów, fundusz remontowy i administracyjny. Dodatkowe opłaty to ryczałt na ogrzewanie gazowe - 220 zł/miesiąc i prąd według zużycia.Zapraszamy na prezentację.Naszym Klientom oferujemy profesjonalne wsparcie na każdym etapie transakcji, oferujemy również bezpłatne doradztwo w zakresie kredytowania przy zakupie nieruchomości.</t>
  </si>
  <si>
    <t>https://otodom.pl/pl/oferta/nowoczesne-m5-92-m2-dwupoziomowy-loft-ID4mjdn</t>
  </si>
  <si>
    <t>4mjdn</t>
  </si>
  <si>
    <t>NOWOROCZNE dni rabatowe ! Zniżki do 120 TYS !</t>
  </si>
  <si>
    <t xml:space="preserve">NOWOROCZNE ZNIŻKI - WYJĄTKOWA PROMOCJA NA ZAKUP MIESZKANIA – WYSOKIE RABATY dla WYBRANYCH LOKALI - UMÓW WIZYTĘ i zobacz na ŻYWO 
DORADCA KREDYTOWY – bezpłatna konsultacja 
UMOWA REZERWACYJNA → GWARANTOWANA NISKA CENA !!!
Bezpośrednia sprzedaż od dewelopera
BEZ PROWIZJI - BRAK PODATKU PCC – 0 zł – RYNEK PIERWOTNY
Wyjątkowe OKAZJE na miejsca postojowe
Bezpośredni kontakt z doradcą w godzinach od 8:00 do 22:00 od PN-SOB
✆☎☏ - ZADZWOŃ i umów wizytę
Sprawdź dostępność lokali – szeroki wybór mieszkań z ogromnym potencjalem
Na sprzedaż funkcjonalne i ustawne mieszkanie dla osób ceniących sobie komfort i spokój. 
Mieszkanie składa się z:
salonu z aneksem kuchennym
3 sypialni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</si>
  <si>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https://www.otodom.pl/pl/oferta/noworoczne-dni-rabatowe-znizki-do-120-tys-ID4oAXe</t>
  </si>
  <si>
    <t>4oAXe</t>
  </si>
  <si>
    <t>Inwestycyjne | 5 pokoi | Praga Południe</t>
  </si>
  <si>
    <t>ul. Bracławska, Gocław, Praga-Południe, Warszawa, mazowieckie</t>
  </si>
  <si>
    <t>Prezentujemy Państwu mieszkanie przygotowane dla osób szukających pasywnego przychodu z wynajmu, świetnie zlokalizowane oraz zagospodarowane pod wynajem na jednoosobowe pokoje. Bliskość komunikacji miejskiej zapewni najemcom szybki dojazd do centrum miasta. 
Mieszkanie do nabycia wraz z gwarancją czynszu i dochodowości! 
Podstawowe informacje o nieruchomości
57m2,
6/7 piętro,
Rok budowy - 1974r,
Zagospodarowane na 5 pokoi jednoosobowych, umeblowanych,
Ogrzewanie miejskie,
Założona Księga Wieczysta - możliwość zakupu na kredyt
Gwarantowany długoterminowy przychód w podnajmie - 6%, waloryzowane inflacją
10 minut - samochodem do centrum miasta
10 minut - komunikacją miejską do stacji metra "Politechnika"
19 minut - komunikacją miejską do centrum miasta
Linie autobusowe: 151, 182, 525, 502, 514, 520, N25</t>
  </si>
  <si>
    <t>https://www.otodom.pl/pl/oferta/inwestycyjne-5-pokoi-praga-poludnie-ID4o0x4</t>
  </si>
  <si>
    <t>4o0x4</t>
  </si>
  <si>
    <t>Prezentujemy na sprzedaż 3 pokojowy apartament A02 zlokalizowany w nowej inwestycji "Bielskie Tarasy" w Bielsku Białej przy ul Filarowej 47.
Już dziś osoby zainteresowane naszą ofertą zapraszamy do kontaktu telefonicznego lub mailowego z naszym specjalistą ds. sprzedaży.
Pełna oferta mieszkań znajduje się na naszej stronie internetowej www.bielskietarasy.pl
„Bielskie Tarasy” to osiedle zaprojektowane w wysokim standardzie materiałów i rozwiązań technologicznych takich jak m.in. płyty elewacyjne typu „Trespa”, balustrady z aluminiowej siatki perforowanej, energooszczędne okna, ogrzewanie podłogowe, obszerne i ciche windy oraz wiele innych.
Budynki wyróżniać się będą nie tylko nowoczesnym wyglądem i doskonałym wykonaniem, ale też przemyślaną przestrzenią każdego z mieszkań o zróżnicowanym metrażu ( od 1 pokojowych popularnych „kawalerek” poprzez 2 i 3 pokojowe mieszkania oraz blisko 100 metrowe apartamenty typu “penthouse” z tarasem lub balkonem ). To jedno z niewielu osiedli (jeśli nie jedyne w tej okolicy), które będzie posiadało własny minipark z licznym drzewostanem o obszarze ok 0,5 hektara.Dzięki doskonałej lokalizacji osiedla mieszkańcy zyskają komfortowy dojazd z trzech niezależnych kierunków tj. od ulicy Sarni Stok, Warszawskiej oraz Piastowskiej, a w zasięgu ręki (odległość niespełna 1 km) całą infrastrukturę galerii Sarni Stok (m.in. sklepy: Carrefour, Media Markt, Rossmann, Empik, TK MAXX, Jula, H&amp;amp;M, CCC, kantor, punkty gastronomiczne i kawiarniane, biura podróży i wiele innych). Nasza inwestycja znajduje się przy ul. Filarowej, w klimatycznej dzielnicy Stare Bielsko, w sąsiedztwie nowoczesnych osiedli mieszkaniowych, a także  w bliskiej odległości od Centrum Bielska- Białej oraz przystanków komunikacji miejskiej, stacji PKP i PKS a także Bielskiej Starówki. Dodatkowe atuty to bliskość przedszkola i szkół – podstawowej oraz gimnazjum, przychodni zdrowia, parku, lodowiska, stadionu, Bielskiego Centrum Kultury.Południowa eskpozycja budynków oraz ich kaskadowe położenie gwarantują doskonałe doświetlenie mieszkań i dobry widok.Ponadto lokalizacja naszej inwestycji zapewnia możliwość szybkiego dojazdu do dużych kompleksów handlowych przy obwodnicy miasta – Makro, Auchan, Decathlon, Leroy Merlin, jak i do historycznego i handlowego centrum Bielska a także błyskawiczny wyjazd w kierunku Krakowa, Katowic, Cieszyna, Szczyrku i Żywca.</t>
  </si>
  <si>
    <t>https://www.otodom.pl/pl/oferta/bielskie-tarasy-mieszkanie-3-pok-nowa-inwestycja-ID4otzQ</t>
  </si>
  <si>
    <t>4otzQ</t>
  </si>
  <si>
    <t>Mieszkanie 3 pokoje I Standard Premium I Klonowa</t>
  </si>
  <si>
    <t>Uroczysko, Kielce, świętokrzyskie</t>
  </si>
  <si>
    <t>Na sprzedaż oferuje 3 pokojowe mieszkanie o powierzchni 59,5 m2 po generalnym remoncie w standardzie premium.
Mieszkanie zlokalizowane jest na 3 piętrze 4 piętrowego budynku w świetnej i prestiżowej  lokalizacji przy ul. Klonowej .W najbliższym sąsiedztwie znajdują się sklepy oraz szkoła. Jednak głównym atutem jest bliskość Kieleckiego Zalewu.
W skład mieszkania wchodzą dwie oddzielne  sypialnie, duży salon ,osobna widna kuchnia oraz korytarz i łazienka
W trakcie kompleksowego remontu wymieniona zostanie instalacja elektryczna i instalacje wodno-kanalizacyjna. Na ścianach położone zostaną nowe gładzie oraz wykonane zostaną podwieszane sufity. W nowo zaaranżowanej łazience zajdziemy  brodzik z prysznicem  oraz pralkę. Na podłogach wykonane zostaną nowe posadzki z płytek i paneli.W mieszkaniu wymienione zostaną również drzwi wewnętrzne i zewnętrzne oraz osprzęt elektryczny wraz z nowym oświetleniem
W pomieszczeniu kuchni oraz na korytarzu znajdą się meble wykonane pod wymiar.
W proponowanej cenie dostają Państwo pełne AGD kuchni ( lodówka, zmywarka, piekarnik i płyta indukcyjna).
Mieszkanie jest obecnie w trakcie remontu który zakończy się 30.01.2024.                                                                              Przedstawione zdjęcia mają jedynie charakter poglądowy . Mają one na celu zaprezentowanie standardu wykończenia naszych  poprzednich realizacji.
Powyższa oferta ma charakter informacyjny i nie stanowi oferty handlowej w rozumieniu art. 66 §1 Kodeksu Cywilnego
 ZAPRASZAM DO KONTAKTU</t>
  </si>
  <si>
    <t>https://www.otodom.pl/pl/oferta/mieszkanie-3-pokoje-i-standard-premium-i-klonowa-ID4nNoN</t>
  </si>
  <si>
    <t>4nNoN</t>
  </si>
  <si>
    <t>Przytulne mieszkanie w Sopocie - Kamienny Potok</t>
  </si>
  <si>
    <t>ul. Józefa Kraszewskiego, Kamienny Potok, Sopot, pomorskie</t>
  </si>
  <si>
    <t>Urocze 45-cio metrowe mieszkanie położone na drugim piętrze kamienicy z 1904 roku, w dobrej do zamieszkania dzielnicy Sopot Kamienny Potok. Mieszkanie zostało zaadoptowane ze strychu, remonty odbyły się w 2009 roku, od tego czasu mieszka tu sympatyczna rodzina, mająca potrzeby powiększenia przestrzeni życiowej. Sopot „Kamionka” to spokojna sopocka dzielnica, świetnie tu się mieszka i wypoczywa. W bliskiej odległości zarówno atrakcje przyrodnicze - rozległe tereny leśne i piaszczysta plaża w odległości 15-20-minutowego spaceru, jak i pełna infrastruktura miejska: przystanek szybkiej kolei miejskiej (SKM), Aquapark, szkoła, przedszkole, żłobek, apteki, przychodnia, poczta oraz większe i mniejsze sklepy spożywcze.Mieszkanie składa się z pokoju dziennego z aneksem kuchennym (22 m2), sypialni (12 m2), łazienki z oknem (5m2), pomieszczenia gospodarczego (1,5 m2) i korytarza (5,5 m2) ze zgrabnie ukrytą szafą ubraniową oraz regałem na książki.Pokój dzienny pełni rolę serca domu, tu rodzina spędza czas jedząc posiłki przy obiadowym stole, pracując przy biurku albo wypoczywając wieczorowa porą na sofie. Aneks kuchenny wyposażony w niezbędny sprzęt AGD. W podwieszanym suficie ciekawe doświetlenie wnętrza świetlikami rurowymi (2 w salonie, 1 w korytarzu). Świetliki wpuszczają do wnętrza naturalne światło co świetnie doświetla przestrzeń. Pamiętać warto, że zwolennik wysokości w pokoju dziennym, może podnieść sufit, nawet o pół metra, wzdłuż wewnętrznej ściany tego pomieszczenia. Sypialnia, funkcjonująca obecnie jako pokój młodzieżowy, wyposażona w obszerną, trzydrzwiową szafę typu komandor, z lustrami. Duża, jasna łazienka z wanną i światłem dziennym, wyposażona w ogrzewanie podłogowe. Mieszkanie przyjemne w odbiorze, ciepłe, przytulne; dobrze wykończone, podłogi wyłożone deską barlinecką z solidnego drewna merbau. Antywłamaniowe drzwi do mieszkania strzegą bezpieczeństwa mieszkańców.Wspólnota mieszkaniowa składa się z 12 mieszkań. Spokojne sąsiedztwo jest atutem tej nieruchomości.Kamienica po remoncie: w 2023 roku odnowiono dach (nowe deskowanie oraz papa), w 2008 roku wymieniono drzwi wejściowe do kamienicy oraz zainstalowano nowe instalacje elektryczne, gazowe i wodociągowe w całym budynku. Prace przy elewacji, dotyczące zdobienia od frontu budynku, zostały zrealizowane w 2022 roku.Duży teren wspólnoty ogrodzony eleganckim płotem, z dwoma automatycznymi bramami (od strony ulic: Kraszewskiego oraz Tatrzańskiej). Parkowanie samochodów wewnątrz zamkniętej posesji. Spory teren zielony do dyspozycji mieszkańców. Furtki zamykane, zabezpieczone kodem, od frontu domofon.Oferta w ekskluzywnej formule wyłączności w Agencji NABA HOUSE. Zapraszamy Inwestorów oraz Pośredników ze swoimi Klientami.Księga wieczysta bez obciążeń - dział III i IV bez wpisów. Przedstawiona oferta ma charakter informacyjny, nie stanowi oferty handlowej w rozumieniu Art. 66 par.1 Kodeksu Cywilnego. Pomagamy z finansowaniu, współpracujemy z doradcami finansowymi, oferującymi opcję ochrony zadatku.</t>
  </si>
  <si>
    <t>https://www.otodom.pl/pl/oferta/przytulne-mieszkanie-w-sopocie-kamienny-potok-ID4on9P</t>
  </si>
  <si>
    <t>4on9P</t>
  </si>
  <si>
    <t>Łazaarz - 4 pokje- super lokalizacja!</t>
  </si>
  <si>
    <t>Zapraszam na prezentację !Świetna lokalizacja przy ul. Strusia na poznańskim Łazarzu.Powierzchnia całkowita 54m2 - 4pokoje.- salon z aneksem kuchennym 17,36m2,- pokój 9,26 m2,- pokój 8,76 m2,- pokój 6,21m2,- łazienka 4,09m2,- korytarz 8,43.Mieszkanie jest aktualnie w trakcie remontu.Zostanie w pełni wyposażone w nową kuchnię ze sprzętem AGD, łazienka z kabiną prysznicową.Instalacje elektryczne i wodno-kanalizacyjne zostały wymienione.Ogrzewanie gazowe, bojler elektryczny.Pełna własność z KW.Super lokalizacja;W pobliżu Park Wilsona, Palmiarnia, liczne restauracje, sklepy i placówki oświatowe.10 minut spacerem do Dworca Głównego i Avenidy oraz Targów Poznańskich.Mieszkanie będzie idealne dla osób ceniących bliskość centrum miasta jak i dostęp do klimatycznego Parku Wilsona.Zamieszczone zdjęcie prezentuje realizację innej nieruchomości.Zapraszam serdecznie do kontaktu.  -Przedstawiona oferta cenowa ma charakter informacyjny i nie stanowi oferty handlowej w rozumieniu Art. 66 par.1 Kodeksu Cywilnego.Firma prowadzona pod nadzorem licencjonowanego pośrednika.</t>
  </si>
  <si>
    <t>https://www.otodom.pl/pl/oferta/lazaarz-4-pokje-super-lokalizacja-ID4ny2a</t>
  </si>
  <si>
    <t>4ny2a</t>
  </si>
  <si>
    <t>2-Poziomowy Apartament, Ul.Składowa,Zielona Góra</t>
  </si>
  <si>
    <t>Biuro Lotus Nieruchomości ma przyjemność zaprezentować na sprzedaż nowoczesny dwupoziomowy apartament, składający się z 4 pokoi przy ul. Składowej w Zielonej Górze. Nieruchomość została wybudowana w 2022 roku. Znajduje się na 1 piętrze w niskim 1 piętrowym bloku. Mieszkanie jest całkowicie nowe, nigdy nie zamieszkałe.Osiedle składa się z 2 budynków po 3 klatki każdy.Powierzchnia nieruchomości to ok 115 m2 z poddaszem + balkon+ naziemne miejsce postojowe.Mieszkanie posiada stan prawny lokalu stanowiący odrębną własność z KW. Poddasze ma również odrębną KW.Specyfikacja:PARTER ok 66,73 m2:- kuchnia + pokój dzienny - 24,80m2,- pokój - 9,82m2,- garderoba - 9,32m2,- pokój - 11,97m2- łazienka z WC - 4,48m2,- przedpokój - 2,52m2,- korytarz - 3,74m2,Dół z górą połączone są drewnianymi schodami z metalowymi poręczami w stylu loft.PODDASZE ok 67m2:- pokój kąpielowy z wanną i WC,- sypialnia.Mieszkanie jest bardzo jasne, ciepłe, przestronne a przede wszystkim bardzo funkcjonalne. Wspaniałe miejsce dla rodziny z dziećmi jak i pod inwestycję. Mieszkanie jest wykończone ( oprócz kuchni). Idealnie dobrana armatura, elementy drewna, metalu, czarnych oraz marmurowych dodatków to zdecydowanie duży atut tej nieruchomości. Na podłodze położone są panele o najwyższej klasie ścieralności AC6 a w łazienkach przepiękna ceramika. Na oknach zamontowane są rolety antywłamaniowe.Kuchnia jak i pokój na poddaszu są do zaaranżowania według własnego pomysłu. Na suficie, na poddaszu położone są przepiękne, podświetlane drewniane belki, nadające powierzchni lekkości i przestronności.Na podłodze na dole położone jest gazowe ogrzewanie podłogowe, a na górze zamontowane są kaloryfery.Lokalizacja: - osiedle bardzo dobrze skomunikowane z centrum miasta, ok 10 minut pieszo,- małe, spokojne osiedle, - blisko przystanki autobusowe itp., - w pobliżu sklepy, lokale usługowe, piekarnia REMA, przedszkola, apteka, fryzjer, sala zabaw Hop Siup, Kościół itp.,- własne miejsce postojowe,- idealne dla każdego oraz pod inwestycje.Blok zarządzany jest przez Wspólnotę Mieszkaniową przy ul. Składowej.Opłaty miesięczne są szacunkowe:- czynsz: ok 200 zł,- ogrzewanie gazowe wg zużycia,- prąd: wg zużycia ( standardowa stawka to ok 100/150 zł/mc)- media: (Internet, Tv) wg zużycia,KLIENT KUPUJĄCY NIE PŁACI PODATKU PCC!Dodatkowe opłaty:- wynagrodzenie biura,- notariusz.Na prośbę klienta, więcej zdjęć prześlemy na e-mail.SERDECZNIE ZAPRASZAMY DO KONTAKTU I NA PREZENTACJĘ!!!Joanna Chmielewska-Mazur tel.576 194841Marta Mikulewicz tel. 728 713 943Chętnie udzielimy odpowiedzi na wszystkie Twoje pytania!Pomożemy sfinansować zakup!Skontaktuj się z Naszym ekspertem ds. finansowych - Dominiki Jasiński - 501 680 022Treść niniejszego ogłoszenia nie stanowi oferty handlowej w rozumieniu Kodeksu Cywilnego.</t>
  </si>
  <si>
    <t>https://www.otodom.pl/pl/oferta/2-poziomowy-apartament-ul-skladowa-zielona-gora-ID4oago</t>
  </si>
  <si>
    <t>4oago</t>
  </si>
  <si>
    <t>Nowe mieszkania w Czechowicach</t>
  </si>
  <si>
    <t>Czechowice-Dziedzice, Czechowice-Dziedzice, bielski, śląskie</t>
  </si>
  <si>
    <t>NOWA OFERTA-APARTAMENTY!Nowe, atrakcyjne osiedle w Czechowicach  k/ BIELSKA. 1, 5km od Centrum Czechowic.Mieszkania w stanie developerskim : w cenie kocioł dwufunkcyjny, kontaktyWysoki standard, ogrzewanie podłogowe, nowe instalacje , prąd, woda, gazZNAKOMITA LOKALIZACJA: 500m2 od DK1Teren osiedla  w pełni zagospodarowany wraz z parkingami, plac zabaw, rowerownia.NOWE BUDOWNICTWO/SPECYFIKACJA: 
ściany zewnętrzne pustak ceramiczny Leier 25 cm, ściany między mieszkaniami pustak ceramiczny Leier Akustyczny 25 cm, elewacja styropian 20 cm, 15 w miejscach klinkieru z podwyższona lambdą, dach i balkony pokryte membraną dachową, okna pięciokomorowe trzyszybowe,
ogrzewanie podłogowe, piec dwufunkcyjny,
Pustak ceramiczny Porotherm , docieplenie 15cm styropian, tynk akrylowyOkna PCV  3 szybowe, drzwi zewnętrzne antywłamaniowe.Ogrzewanie CO gazowe,  podłogowe.Pierwsza gładź na ścianach..Apartamenty :PARTER/ 1 PIĘTRO LUB 2 PIĘTRO:UKŁAD/POWIERZCHNIE LOKALÓW :x/powierzchnia lokalu= 65,1m2 przedpokój 12m2, sypialnia 9m2, łazienka 10,6m2 , salon 25,6m2Do każdego mieszkania  przynależy duży balkon .
NOWA OFERTA-ostatnie APARTAMENTY! Wysoki standard!Nowe, atrakcyjne osiedle w Czechowicach  k/ BIELSKA. 1, 5km od Centrum Czechowic.
Znakomita lokalizacja 0,5 km od  basenu w Czechowicach i 1 km od Centrum .
 500m2 od DK1 czyli trasy Cieszyn-Bielsko-KartowiceMieszkania w stanie developerskim do wykończenia we własnym stylu i kolorze. 500m2 od DK1Teren osiedla  w pełni zagospodarowany wraz z parkingami, placem zabaw, rowerownią.NOWE BUDOWNICTWO/SPECYFIKACJA: 
ściany zewnętrzne pustak ceramiczny Leier 25 cm, ściany między mieszkaniami pustak ceramiczny Leier Akustyczny 25 cm, elewacja styropian 20 cm, 15 w miejscach klinkieru z podwyższona lambdą, dach i balkony pokryte membraną dachową, okna pięciokomorowe trzyszybowe,
ogrzewanie podłogowe,
UWAGA: W tym miesiącu do każdego mieszkania  kocioł gazowy  dwufunkcyjny dołożymy w cenie.
Pustak ceramiczny Porotherm , docieplenie 20cm styropian, tynk akrylowyOkna PCV  3 szybowe, drzwi zewnętrzne antywłamaniowe.Ogrzewanie CO gazowe,  podłogowe.Pierwsza gładź na ścianach..Apartamenty :PARTER/ 1 PIĘTRO LUB 2 PIĘTRO:</t>
  </si>
  <si>
    <t>https://otodom.pl/pl/oferta/nowe-mieszkania-w-czechowicach-ID4dieT</t>
  </si>
  <si>
    <t>4dieT</t>
  </si>
  <si>
    <t>Nowe 3 pokoje w Gryfinie</t>
  </si>
  <si>
    <t>Gryfino, Gryfino, gryfiński, zachodniopomorskie</t>
  </si>
  <si>
    <t>Nowa Inwestycja w Gryfinie!
Działając jako biuro sprzedaży inwestycji "Osiedle Szymbroskiej w Gryfinie":
Oferujemy nowe mieszkania w cichej i spokojnej lokalizacji Gryfina!
Do dyspozycji lokale mieszkalne o powierzchni od 27 do 51 m2 zlokalizowane w 2-kondygnacyjnym budynku.
Lokale na piętrze sprzedawane będą dodatkowo z antresolami.
Zastosowane ogrzewanie gazowe  oraz wysokiej jakości materiałów.
Lokale sprzedawane będą w standardzie deweloperskim.
Po więcej informacji zapraszam do kontaktu telefonicznego!
Kupujący zwolniony z prowizji dla biura.</t>
  </si>
  <si>
    <t>https://otodom.pl/pl/oferta/nowe-3-pokoje-w-gryfinie-ID4jYS3</t>
  </si>
  <si>
    <t>4jYS3</t>
  </si>
  <si>
    <t>Javorova - 20B/M47</t>
  </si>
  <si>
    <t>ul. Jaworowa, Jasień, Gdańsk, pomorskie</t>
  </si>
  <si>
    <t> 
Osiedle JAVOROVA położone jest w atrakcyjnej dzielnicy Stary Jasień. W bezpośrednim sąsiedztwie znajduje się wyłącznie niska zabudowa jednorodzinna. Dostęp do pełnej infrastruktury (sklepy oraz punkty usługowe, placówki edukacyjne) oraz doskonała komunikacja z innymi częściami miasta, czynią osiedle JAVOROVA idealnym miejscem do zamieszkania.
W trosce o bezpieczeństwo mieszkańców, teren osiedla będzie monitorowany, a mieszkania zostaną dodatkowo wyposażone w wideodomofony. Wysoki standard zastosowanych materiałów budowlanych i wykończeniowych zapewni pełen komfort mieszkania. W każdym z budynków zlokalizowana będzie winda cichobieżna, a dla wygody mieszkańców przewidziano podziemne hale garażowe, naziemne miejsca parkingowe i komórki lokatorskie.
 </t>
  </si>
  <si>
    <t>https://otodom.pl/pl/oferta/javorova-20b-m47-ID4k2sC</t>
  </si>
  <si>
    <t>4k2sC</t>
  </si>
  <si>
    <t>Segment z ogródkiem i użytkowym poddaszem.</t>
  </si>
  <si>
    <t>Olszynka Grochowska, Praga-Południe, Warszawa, mazowieckie</t>
  </si>
  <si>
    <t>Kameralny segment środkowy z ogródkiem i możliwością podziału na dwa samodzielne mieszkania.Nieruchomość położona jest w urokliwej, zielonej części Olszynki Grochowskiej przy ul. Rusznikarskiej. W segmencie można wyodrębnić dwa samodzielne lokale mieszkalne. Lokal na parterze składa się z dwóch obszernych pokoi, kuchni i łazienki o łącznej powierzchni 51m2. Drugi lokal zajmuje I piętro oraz poddasze i składa się z 5 pokoi, kuchni łazienki, WC oraz przedpokoju o łącznej powierzchni 103,9 m2. W przyziemiu znajduje się garaż oraz pomieszczenia techniczne. Na zapleczu domu jest się urokliwy taras, idealny do wypicia porannej kawy czy wieczornej lampki wina. Z tarasu schodzimy do kameralnego ogrodu, doskonałego do rodzinnych spotkań przy grillu czy wypoczynku w cieniu rozłożystego drzewa.Doskonały punkt komunikacyjny. Dom jest położony zaledwie kilkaset metrów od pętli autobusowej oraz stacji SKM Olszynka Grochowska, z której w 15 minut dojedziemy do Centrum Warszawy. W pobliżu pełna infrastruktura handlowa, gastronomiczna, rekreacyjna oraz edukacyjna.Doskonały punkt komunikacyjny zaledwie kilkaset metrów od pętli autobusowej oraz stacji SKM Olszynka Grochowska. W pobliżu pełna infrastruktura handlowa, gastronomiczna, rekreacyjna oraz edukacyjna. Nieruchomość doskonała dla jednej dużej rodziny lub jako inwestycja z przeznaczeniem na wynajem.Czy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</si>
  <si>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https://otodom.pl/pl/oferta/segment-z-ogrodkiem-i-uzytkowym-poddaszem-ID4mnJY</t>
  </si>
  <si>
    <t>4mnJY</t>
  </si>
  <si>
    <t>Kawalerka | Prądnik Biały | zielona okolica</t>
  </si>
  <si>
    <t>Oferuję do sprzedania w pełni wyposażoną kawalerkę znajdującą się w dzielnicy Prądnik Biały.Lokalizacja:- Prądnik Biały/ Tonie, ul. Gryczana- w sąsiedztwie zabudowa jednorodzinna- zielona spokojna okolica- przystanek autobusowy ok. 5 min pieszo- Galeria Bronowice ok. 10 min samochodem- dogodny dojazd do centrum miasta- budynek znajduje się na ogrodzonym terenie- ogólnodostępne miejsca postojowe pod blokiem- teren zielony dla mieszkańców (plac zabaw, grill)Nieruchomość:- powierzchnia 33,72 m2- piętro 2- składa się z pokoju z kuchnią, łazienki, przedpokoju- do mieszkania przynależy komórka lokatorska- w pełni umeblowane i gotowe do zamieszkania- możliwość zakupu bez mebli Finanse:- czynsz ok. 250 zł- cena 419 000 zł (do negocjacji) Zapraszam do kontaktu, aby umówić się na prezentację mieszkania lub uzyskać więcej informacji!Adrian Piskorztel. 792-939-071__________Oferujemy Państwu kompleksowe wsparcie naszego eksperta, który bezpłatnie pomoże dobrać najkorzystniejszą ofertę kredytu hipotecznego dostępną na rynku.Powyższe ogłoszenie jest wyłącznie informacją i nie stanowi oferty handlowej w rozumieniu art. 66 § 1 Kodeksu Cywilnego.</t>
  </si>
  <si>
    <t>https://otodom.pl/pl/oferta/kawalerka-pradnik-bialy-zielona-okolica-ID4m7mQ</t>
  </si>
  <si>
    <t>4m7mQ</t>
  </si>
  <si>
    <t>UMOWA PRZEDWSTĘPNA DOM w cenie mieszkania! SILNO</t>
  </si>
  <si>
    <t>Silno, Obrowo, toruński, kujawsko-pomorskie</t>
  </si>
  <si>
    <t>UMOWA PRZEDWSTĘPNA REZERWACJA 
**Możliwość zamiany na 2-pokojowe mieszkanie w nowym budownictwie                                                    na parterze lub w bloku z windą**
LOKALIZACJA: Nieruchomość położona jest w gminie Obrowo w miejscowości Silno, ok. 12 km od Torunia.
Najbliższa okolica - spokojna i 
DOM wolnostojący, niepodpiwniczony, parterowy, położony na małym, kameralnym osiedlu domów jednorodzinnych przy ul. Leśnej.
Dom nie wymaga większych zmian, ewentualnie odświeżenia. Jest przytulny i zadbany.
Powierzchnia zabudowy wynosi 109,98m², a użytkowa 90,31m².
Atutem nieruchomości jest duży salon połączony z kuchnią - razem mierzą 42,10m².
Dom został zbudowany w 2006 roku z pustaka przez firmę Betpol.
Dach kryty gontem. W najbliższym czasie zaleca się zmianę pokrycia.
ROZKŁAD (90,31m²):
korytarz (2,92m²),
łazienka(6,57m²),
pokój dzienny z kuchnią (42,10m²) oraz z wyjściem na TARAS,
pokój (13,74m²),
pokój (13,74m²),
pomieszczenie gospodarcze (11,24m²).
DZIAŁKA: Nieruchomość posadowiona jest na działce o wielkości 485,00m². Teren dookoła domu
został zagospodarowany licznymi nasadzeniami, wzdłuż ogrodzenia, od strony tarasu posadzono tuje. 
Dodatkowe informacje: z wyposażenia na pewno pozostają: zabudowa stała (m.in. szafa typu komandor) oraz sprzęty AGD (poza lodówką) wbudowane w meble kuchenne.
MEDIA:
woda sieć gminna ,
kanalizacja gminna,
ogrzewanie: piec na ekogroszek oraz ogrzewanie elektryczne (doskonale sprawdza się przy tym metrażu)
w łazience i kuchni - ogrzewanie podłogowe.
Nieruchomość nie posiada świadectwa charakterystyki energetycznej. Dokument będzie sporządzony w najbliższym czasie.
CENA: 465 000PLN
Serdecznie polecam i zapraszam na prezentację!
Opiekun oferty:
Agata Przeczewska-Wiśniewska
tel. 606 250 846
SPRAWDŹ czy 2% bezpieczny kredyt jest dla CIEBIE!
ZAPEWNIAM BEZPŁATNĄ ANALIZĘ ZDOLNOŚCI KREDYTOWEJ, WSPÓŁPRACUJĘ Z DOŚWIADCZONYM, PROFESJONALNYM DORADCĄ KREDYTOWYM SPECJALIZUJĄCYM SIĘ POZYSKIWANIEM KREDYTÓW HIPOTECZNYCH NA ZAKUP NIERUCHOMOŚCI.
Zapraszamy do współpracy inne biura nieruchomości!
Oferta nie stanowi oferty handlowej w rozumieniu Kodeksu Cywilnego.</t>
  </si>
  <si>
    <t>https://otodom.pl/pl/oferta/dom-w-cenie-mieszkania-silno-ID4lr4W</t>
  </si>
  <si>
    <t>4lr4W</t>
  </si>
  <si>
    <t>M2 w super lokalizacji</t>
  </si>
  <si>
    <t>Sobieszów, Jelenia Góra, dolnośląskie</t>
  </si>
  <si>
    <t>REZERWACJA Biuro nieruchomości Perfect ma do zaoferowania Państwu mieszkanie 2 pokojowe w świetnej lokalizacji - ul. Urocza. Mieszkanie położone na wysokim parterze w zadbanej kamienicy - elewacja docieplona, dach po remoncie. Na powierzchnię 44,91m2 składają się - salon, sypialnia, osobna kuchnia, łazienka z wc oraz przedpokój. Do mieszkania przynależą dwie spore piwnice. Mieszkanie rozkładowe, jasne i ciepłe. Dodatkowo w przedpokoju zainstalowana jest klimatyzacja. Ogrzewanie centralne - piec gazowy 2-funkcyjny. Czynsz do Wspólnoty wynosi ok 300zł w tym jest f. remontowy, eksploatacja, zarządca. Bardzo dobra lokalizacja, spokojna i zielona okolica a zarazem blisko centrum miasta. Oferta idealna na start lub pod inwestycję. Gotowe do wejścia od zaraz. Oferta dostępna tylko u Nas - klucze w biurze. Polecam serdecznie i zapraszam na prezentację.  ::oferta eksportowana z programu mediaRent::</t>
  </si>
  <si>
    <t>https://www.otodom.pl/pl/oferta/m2-w-super-lokalizacji-ID4o54V</t>
  </si>
  <si>
    <t>4o54V</t>
  </si>
  <si>
    <t>Mieszknie 3 pokojowe na Ochocie, ul Pruszkowska</t>
  </si>
  <si>
    <t>ul. Pruszkowska, Rakowiec, Ochota, Warszawa, mazowieckie</t>
  </si>
  <si>
    <t>Do sprzedaży 3-pokojowe mieszkanie z oddzielną widną kuchnią oraz  balkonem  o powierzchni 47,10m2 usytuowane na Ochocie Rakowiec .Nieruchomość mieści się niskim bloku  z cegły z 1965 roku, usytuowane na 2 piętrze z 4 (bez windy). Okna wychodzą na wschód-zachód, Wokół budynku znajduje się zadbane otoczenie, a w okolicy pełna infrastruktura, w tym sklepy, szkoły i inne udogodnienia. Bliskość przystanków tramwajowych przy ul. Grójeckiej oraz autobusowych przy ul. Żwirki i Wigury zapewniają łatwy dostęp do komunikacji miejskiej. Ponadto, w najbliższej okolicy znajduje się szpital przy Banacha  oraz Uniwersytet Medyczny.To doskonała okazja dla osób ceniących ciszę i spokój, a jednocześnie pragnących być blisko centrum miasta. Mieszkanie spółdzielczo-własnościowe z możliwością założenia KW. Polecam i zapraszam do obejrzenia.</t>
  </si>
  <si>
    <t>https://www.otodom.pl/pl/oferta/mieszknie-3-pokojowe-na-ochocie-ul-pruszkowska-ID4oDjg</t>
  </si>
  <si>
    <t>4oDjg</t>
  </si>
  <si>
    <t>Wilda, ul. Dolna Wilda, 4 pok, 91m2, PARK!</t>
  </si>
  <si>
    <t>Zapraszam do zapoznania się z ofertą sprzedaży przestronnego, 4-pokojowego mieszkania, znajdującego się nieopodal Centrum Miasta przy ul. Dolna Wilda.Budynek znajduje się w pierwszej linii zabudowy przy parku im. Jana Pawła II, mieszkanie położone jest na II piętrze w niskim budynku z cegły (lata 99', bez windy), jego powierzchnia 91 m2, w skład której wchodzi: salon (ok.19 m2) z wyjściem na balkon typu loggia (ok.5m2); 3 sypialnie (ok.16m2, 11m2, 11m2); jasna, niezależna kuchnia (ok.10,5m2); łazienka (ok.4m2); oddzielne WC (ok.1,5 m2) oraz korytarz (ok.11m2). Do mieszkania przynależy piwnica (ok.7m2).Mieszkanie w dobrym stanie, aktualnie wynajmowane, idealnie nadaje się pod inwestycje (układ niezależny!) lub dla rodziny. 
Wykończenie: zabudowa kuchenna wraz ze sprzętem AGD marki Electrolux, Bosch i Samsung; łazienka posiada wannę z funkcją prysznica; okna drewniane, wyposażone w rolety całkowicie zaciemniające dzień/noc; ogrzewanie centralne całego budynku ( kotłownia) możliwość podłączenia też kuchenki gazowej (aktualnie jest płyta elektryczna).Przed budynkiem płatna strefa parkingowa z możliwością parkowania dla mieszkańców; udostępniona rowerownia.Idealna infrastruktura komunikacyjna (przystanki autobusowe i tramwajowe) i handlowa; nieopodal Stary Browar i ścisłe Centrum Miasta, w sąsiedztwie parki: Łęgi Dębińskie, Ogród Jordanowski, blisko nad Wartę; klimatyczne kawiarnie!Czynsz: 850 zł/5 os.(administracja oraz zaliczka na CO, wodę zimną, ciepłą oraz śmieci)Stan prawny: pełna własność
Jeśli zainteresowała Państwa powyższa oferta, zapraszamy do skorzystania z usług naszego biura, kupując z pośrednikiem jesteście Państwo między innymi objęci ubezpieczeniem OC pośrednika.
Osoba prowadząca ofertę: Ilona Mokronowska tel.+4██████████5
Zamieszczona oferta nie stanowi oferty w rozumieniu przepisów Kodeksu Cywilnego.Pośrednik odpowiedzialny za realizację umowy pośrednictwa w/w oferty: Monika Mullak nr licencji 6064</t>
  </si>
  <si>
    <t>https://www.otodom.pl/pl/oferta/wilda-ul-dolna-wilda-4-pok-91m2-park-ID4osL9</t>
  </si>
  <si>
    <t>4osL9</t>
  </si>
  <si>
    <t>Mieszkanie w Tylicach</t>
  </si>
  <si>
    <t>Tylice, Zgorzelec, zgorzelecki, dolnośląskie</t>
  </si>
  <si>
    <t xml:space="preserve">Wynagrodzenie pośrednika w cenie !Do sprzedania rozkładowe, 3 pokojowe mieszkanie zlokalizowane w Tylicach. Mieszkanie położone jest na II piętrze bloku. Powierzchnia mieszkania wynosi 58,18 m2 i obejmuje słoneczny pokój dzienny od strony południowo zachodniej, 2 sypialnie, dużą kuchnię, łazienkę z WC z oknem. Dodatkowo do lokalu przynależy piwnica.  Centralne ogrzewanie zasilane za pomocą dwufunkcyjnego pieca gazowego. Stolarka okienna PCV. Budynek zarządzany przez wspólnotę mieszkaniową. Miesięczne koszty utrzymania (koszty zarządu, funduszu remontowego) wynoszą około 150 zł.  W sąsiedztwie nieruchomości zabudowa wielo i jednorodzinna, zadbany teren zielony wokół, boisko. W bliskiej odległości tereny spacerowe zalewu Czerwona Woda, ścieżki konne i rowerowe.Pośrednik odpowiedzialny za ofertę Henryk Krupiński licencja nr 3189.Dane zamieszczone są na podstawie informacji dostarczonych przez właściciela.Oferta dotycząca nieruchomości nie stanowi oferty w rozumieniu art. 66 i następnych Kodeksu Cywilnego. </t>
  </si>
  <si>
    <t>https://www.otodom.pl/pl/oferta/mieszkanie-w-tylicach-ID4nJVn</t>
  </si>
  <si>
    <t>4nJVn</t>
  </si>
  <si>
    <t>Kawalerka Naramowice + miejsca postojowe w cenie</t>
  </si>
  <si>
    <t>Prezentujemy kawalerkę z tarasem i małym ogrodem, doskonale doświetlona od strony zachodniej wraz z 2 miejscami postojowymi oraz systemem zarządzania domem przez telefon - wszystko w cenie mieszkania.Pod budynkiem znajduje się hala garażowa z komórkami lokatorskimi. Osiedle otoczone zielenią, ścieżkami rowerowymi, ale również zapewnia dostęp do sklepów spożywczych, salonów kosmetycznych i atrakcji miasta Poznań.przystanek tramwajowy 5 min sklep spożywczy 3 minPowierzchnia użytkowa mieszkania to 28,56m2 + balkon 4m2+ ogród 16m2. ( w budynku znajduje się winda).Salon z aneksem kuchennym 20,24m2Łazienka: 4,19m2Korytarz 3,46m2 Taras wyłożony kostką, ogród z nasadzonymi krzewami oraz trawą z rolki.Lokalizacja : liczne osiedlowe sklepy, piekarnie, przychodnie lekarskie i salony kosmetyczne.W promieniu 15-minutowej przejażdżki rowerem znajdują się aż trzy stacje kolejowe - Poznań Wschód, Poznań Garbary, Poznań Karolin.najbliższy żłobek 150mOsiedle zamknięte i ogrodzone. Pod budynkiem znajduje się hala garażowa.W budynku jest winda.Na terenie osiedla dostępne są stojaki na rowery, ławki, place zabaw.Możliwość wykończenia pod klucz.Brak podatku PCC.Termin zakończenia prac budowlanych to II kwartał 2025Posiadamy wszystkie dostępne mieszkania na tej inwestycji.Bezpośredni kontakt do biura sprzedaży: Maria Mańczakt: 797 606 477 6b009Zainteresowany? Zadzwoń teraz i umów się na spotkanie online</t>
  </si>
  <si>
    <t>https://www.otodom.pl/pl/oferta/kawalerka-naramowice-miejsca-postojowe-w-cenie-ID4nV05</t>
  </si>
  <si>
    <t>4nV05</t>
  </si>
  <si>
    <t>Mieszkanie ze wspaniałym widokiem w sercu WOLI</t>
  </si>
  <si>
    <t>ul. Radziwie, Młynów, Wola, Warszawa, mazowieckie</t>
  </si>
  <si>
    <t xml:space="preserve">Na sprzedaż przestronne, 2-pokojowe mieszkanie, położone w sercu Woli, przy ul. Radziwie 7.
Doskonałe dla pary, singla, studenta, Rodziny 2+1 lub na zakup w celach inwestycyjnych.
Mieszkanie o powierzchni 56,39 mkw znajduje się na 10. piętrze z 12 pięter budynku. Sam budynek datuje się na 2010 rok, podlega całodobowej ochronie, dzięki czemu mieszkańcy mogą czuć się bezpiecznie. 
W skład poszczególnych pomieszczeń wchodzą:
a) przestronny i funkcjonalny salon połączony z aneksem kuchennym z nietuzinkowym, niczym nie przysłoniętym widokiem 
b) przytulna sypialnia z garderobą
c) przestronna łazienka z wanną ok. 6,00 mkw powierzchni dla amatorów kąpieli. O ciepło w pomieszczeniu zadba ogrzewanie podłogowe oraz
d) funkcjonalny przedpokój, gdzie z powodzeniem znajdziesz miejsce na szafę i obuwie na zmianę, a nawet rower i hulajnogę.
Do mieszkania przynależy również loggia o powierzchni niespełna 3,00 mkw, na którą wchodzi się bezpośrednio z salonu oraz dodatkowo płatne m. parkingowego w garażu podziemnym - CENA 45 000 PLN.
KOMUNIKACJA
Mieszkanie jest świetnie skomunikowane z pozostałą częścią miasta, jak i okolicznymi podmiejskimi miejscowościami.
Z dostępnych środków komunikacji ulicą Obozową kursują tramwaje i autobusy.
W odległości ok. 350 m od mieszkania, niespełna 5 - minutowego spaceru znajduje się stacja Kolei Warszawa Koło, skąd kursują pociągi m.in. do: Warszawy Gdańskiej, Zachodniej, Warszawy Lotnisko Chopina, Skierniewic, Piaseczna, Góry Kalwarii, Radomia czy choćby Grodziska Mazowieckiego.
Do stacji II linii metra Warszawa Młynów pieszo dotrzemy w przeciągu 20-minutowego spaceru. Do pokonania jest ok. 1,2 km. Możemy również skrócić ten czas, korzystając z dostępnych środków komunikacji.
LOKALIZACJA
Do centrum - 20 minut tramwajem
Centrum Handlowe Arkadia - ok. 30 min
Centrum Handlowe Klif - ok. 25 min
Tereny zielone i służące rekreacji: Park Moczydło, Park Edwarda Szymańskiego, Park Powstańców Warszawy
Mieszkanie znajduje się w doskonałej lokalizacji z jednej strony zapewniającej ciszę i spokój, przy jednoczesnej możliwości korzystania z wielkomiejskiego stylu życia. W pobliżu pełne zaplecze handlowo - usługowe. 
Oferta na wyłączność. Zapraszam do kontaktu.
</t>
  </si>
  <si>
    <t>https://www.otodom.pl/pl/oferta/mieszkanie-ze-wspanialym-widokiem-w-sercu-woli-ID4oJ4u</t>
  </si>
  <si>
    <t>4oJ4u</t>
  </si>
  <si>
    <t>3M! Zamknięte osiedle | Ogródek | Klima!</t>
  </si>
  <si>
    <t>Przedstawiam Państwu na sprzedaż 3 pokojową nieruchomość zlokalizowaną na kameralnym osiedlu w Wieliczce, na pograniczu z Krakowem.
Mieszkanie znajduje się na parterze w budynku 1 piętrowym typu szeregówka z 2016 roku.
Mieszkanie idealne dla pary / rodziny.
Lokal składa się z :
·        Salonu z aneksem kuchennym
·        Dwóch sypialni
·        Łazienki
·        Przedpokoju
Do mieszkania przynależy ogródek o powierzchni ok. 34,31m2 i taras o powierzchni 13,38m2.
Atutem jest przylegające do mieszkania pomieszczenie gospodarcze służące jako schowek o powierzchni 3m2.
Dodatkowe informacje:
* Obligatoryjny zakup wiaty garażowej na 2 samochody o powierzchni 35m2 za cenę 95 000 zł.
* Domofon z kamerą przy bramie wjazdowej.
* Zamontowane drzwi oraz rolety antywłamaniowe.
* Okna skierowane są na północny- zachód – salon oraz południowy- wschód – sypialnia.
* Zamontowana klimatyzacja
* Szafy na wymiar
* ogrzewanie gazowe piecem dwufunkcyjnym
* Zamontowane ogrzewanie podłogowe
Opłaty:
Utrzymanie osiedla: 220zł (w tym śmieci, utrzymanie zieleni, sprzątanie osiedla, fundusz remontowy) + woda ok. 200zł/2 mies. + prąd ok. 120zł + gaz ok. 200zł/ 2mies.
Lokalizacja:
Ok. 500m do przystanku autobusowego- 1 linia, samochodem, w odległości do 1,5km sklepy, restauracje, Leroy Merlin, Park Solne Miasto, ok. 3,3km do Rynku w Wieliczce, ok. 7,8km do Galerii Bonarka, oraz 11,9 km do Rynku Głównego w Krakowie.
Zapraszam na prezentację!
Kinga
666 685 745
Ogłoszenie nie stanowi oferty w rozumieniu kodeksu cywilnego.</t>
  </si>
  <si>
    <t>https://www.otodom.pl/pl/oferta/3m-zamkniete-osiedle-ogrodek-klima-ID4ongV</t>
  </si>
  <si>
    <t>4ongV</t>
  </si>
  <si>
    <t>Czyżkówko 2 pokoje w spokojnej i zielonej okolicy</t>
  </si>
  <si>
    <t>Czyżkówko, Bydgoszcz, kujawsko-pomorskie</t>
  </si>
  <si>
    <t xml:space="preserve">Biuro Makler poleca:  Szukasz NOWEGO DEVELOPERSKIEGO mieszkania?Zależy Ci na cichej okolicy, oraz bliskości terenów zielonych?Potrzebujesz bezpieczeństwa w postaci zamkniętego osiedla, oraz pełnej infrastruktury wokół? Jeśli TAK to ta oferta jest właśnie dla Ciebie !!  Kupujący nie płaci podatku PCC!! oraz prowizji do biura!!  Przedstawiamy 2 pokojowe mieszkanie o powierzchni 37,85 m2 na 1 piętrze w bloku z cichą windą.  Opis inwestycjiNajnowsza inwestycja powstająca na bydgoskich Flisach, znajdująca się tuż obok znanego Czyżkówka. Miejsce to otwiera zupełnie nowy rozdział na rynku mieszkaniowym w Bydgoszczy.Cicha, zielona lokalizacja, w sąsiedztwie Kanału Bydgoskiego, z dostępem do transportu miejskiego i z szybkim 7-minutowym dojazdem do centrum wpisuje inwestycję jako miejsce warte zamieszkania. Lokalizacja ta spodoba się szczególnie rodzinom, ale też wszystkim, którzy szukają zielonej alternatywy mieszkań dla lokalizacji w centrum Bydgoszczy. Nowe Flisy dedykujemy także tym, którzy potrzebują harmonii pomiędzy tętniącym życiem miastem, a domową oazą.To jedyne takie osiedle, które tworzyć będzie 8 kameralnych budynków, starannie zaprojektowana zieleń wewnątrz osiedla, a także przestrzenie wspólne dla mieszkańców &amp;ndash; place zabaw, ścieżki spacerowe i miejsca wypoczynku.Lokalizacja nowego osiedla na Flisach / Czyżkówku zasługuje na uwagę, ponieważ miejsce to sąsiaduje z naturą &amp;ndash; linią brzegową Kanału Bydgoskiego oraz pasmem zielonych drzew. Miejsce to stanie się mieszkaniową ostoją dla tych, którzy chcą mieszkać w kameralnych, niskich budynkach, na klimatycznym osiedlu, z szybkim dostępem do atrakcji, jakie oferuje centrum miasta.Wszystkie budynki na osiedlu Nowe Flisy pomimo niskiej, 3-piętrowej zabudowy będą wyposażone w cichobieżne windy i podziemne hale garażowe. Przyszli właściciele już dziś mogą zapoznać się z ofertą nowych mieszkań. Do wyboru mieszkania 2-pokojowe, 3-pokojowe, 4-pokojowe i 5-pokojowe, o metrażu od 28 m2 do 98 m2. Całość otoczona bogactwem zieleni, przypominającej ogród, w którym można usiąść i zrelaksować się sąsiadując z naturą. ATUTY OSIEDLA: CZĘŚCI WSPÓLNE I ARCHITEKTURA:&amp;middot; Wygodne, cichobieżne windy&amp;middot; Wózkownia&amp;middot; Gustowne wykończenie części wspólnych&amp;middot; Energooszczędne oświetlenie&amp;middot; Balkony do każdego mieszkania&amp;middot; Dbałość o zagospodarowanie terenów zielonych na osiedlu LOKALIZACJA:&amp;middot; Położenie nad Kanałem Bydgoskim&amp;middot; Bliskie sąsiedztwo terenów zielonych&amp;middot; Przystanek autobusowy Grunwaldzka / Flisacka &amp;ndash; 200 m&amp;middot; Dyskont spożywczy &amp;ndash; 200 m&amp;middot; Kościół &amp;ndash; 700 m&amp;middot; Biznes Park Okole, ul. Kraszewskiego &amp;ndash; 1,2 km&amp;middot; Klub Sportowy Gwiazda &amp;ndash; 1,4 km&amp;middot; CH Rondo &amp;ndash; 2,5 km REKREACJA:&amp;middot; Park nad Kanałem &amp;ndash; 1,1 km&amp;middot; Park nad Starym Kanałem / Wybieg dla psów &amp;ndash; 1,4 km&amp;middot; Liczne ścieżki rowerowy&amp;middot; Trasy spacerowe i biegowe Zapraszam na prezentację!! </t>
  </si>
  <si>
    <t>https://www.otodom.pl/pl/oferta/czyzkowko-2-pokoje-w-spokojnej-i-zielonej-okolicy-ID4otAD</t>
  </si>
  <si>
    <t>4otAD</t>
  </si>
  <si>
    <t>GWARNA 8. Kamienica w Centrum (04)</t>
  </si>
  <si>
    <t>Mieszkanie w Kamienicy Gwarna 8.
Żyj W Centrum. Żyj Rytmem Miasta!
W SKRÓCIE O INWESTYCJI
26 mieszkań (25m² -106m2) 2 mieszkania dwupoziomowe.
Kilka mieszkań z balkonami.
Komórki lokatorskie.
2 klatki schodowe.
Winda
GWARNA 8. Kamienica w Centrum.
Kamienica pod numerem ósmym to butikowy budynek, w którym znajdzie się tylko 26 mieszkań.
Wśród nich typowo kamieniczne, wysokie wnętrza z dużymi oknami, ale też bardzo atrakcyjne aranżacyjnie apartamenty dwupoziomowe.
W mieszkaniach w oficynie pojawią się balkony i tarasy.
Powstanie eleganckie, reprezentacyjne wejście, a nieskromnie przyznamy - wiemy, jak ważne jest by od progu zachwycać! (Zajrzyjcie do naszej siedziby, w Kamienicy Wicherkiewiczów przy Św. Marcinie 11).
Elewacja kamienicy odzyska swój elegancki wygląd, podkreślony ozdobnymi gzymsami i dekoracyjnymi sztukateriami. Znowu widoczne będą dumne, uskrzydlone lwy zdobiące front budynku.
CIEKAWOSTKI
Kamienica pod ósemką w latach 1919 do1921, na swoją siedzibę wybrał Zarząd Główny Zakładów Cegielskiego.
Od lat 50 do 80 XX wieku, to dla ulicy Gwarnej lata świateł i kolorów - królowały NEONY. Kibicujemy odnowieniu tej znakomitej, poznańskiej tradycji!
KAMIENICA KIEDYŚ
Ciąg kamienic na wschodniej pierzei ul. Gwarnej, zaprojektował niemiecki architekt Gustav Schultz. Wzniesiono je w II połowie XIX wieku. Bogato zdobione elewacje nawiązują do form renesansu włoskiego i manieryzmu. Jako dekorację zastosowano m.in. liście akantu, głowę Meduzy, uskrzydlone lwy i łabędzie.</t>
  </si>
  <si>
    <t>https://www.otodom.pl/pl/oferta/gwarna-8-kamienica-w-centrum-04-ID4nBUo</t>
  </si>
  <si>
    <t>4nBUo</t>
  </si>
  <si>
    <t>NOWE Przestronne mieszkania z ogrodem ,parkingiem.</t>
  </si>
  <si>
    <t>Barlinek, Barlinek, myśliborski, zachodniopomorskie</t>
  </si>
  <si>
    <t xml:space="preserve">
Przestronne mieszkanie bezczynszowe na parterze przy ulicy Pogodnej w Moczkowie powierzchnia 70 mkw. Mieszkanie składa się z trzech pokoi salonu z aneksem kuchennym łazienki przedpokoju oraz pomieszczenia gospodarczego. Do mieszkania przynależy ogród i miejsce parkingowe. W całym mieszkaniu ogrzewanie podłogowe, w oknach rolety elektryczne, ogrzewanie oraz ciepła woda z pompy ciepła PANASONIC. Mieszkanie posiada odrębną księgą wieczystą bez  zadłużenia .</t>
  </si>
  <si>
    <t>https://www.otodom.pl/pl/oferta/nowe-przestronne-mieszkania-z-ogrodem-parkingiem-ID4nPDq</t>
  </si>
  <si>
    <t>4nPDq</t>
  </si>
  <si>
    <t>NOWE MIESZKANIE (B3.A8) - 3 pokoje -m.dwupoziomowe</t>
  </si>
  <si>
    <t>Police, Police, policki, zachodniopomorskie</t>
  </si>
  <si>
    <t>OSIEDLE JARZĘBINOWE to miejsce idealne dla ceniących sobie nie tylko poczucie przestrzeni i spokoju, ale również wysoki standard wykonania. Wychodząc naprzeciw indywidualnym potrzebom oferujemy mieszkania o różnym metrażu począwszy od ~34 m² kończąc na mieszkaniach dwupoziomowych o powierzchni ~110 m².
Podana cena mieszkania za 1m2 jest ceną brutto.
Podana powierzchnia użytkowa pomieszczeń jest pow. przybliżoną.
Do mieszkania należy dokupić naziemne miejsce postojowe lub boks garażowy w hali podziemnej.
Stan deweloperski (w tym ogrzewanie podłogowe w łazienkach na I i II poziomie, system kaset aluminiowych dla rolet zewnętrznych - elektrycznych, przestrzenne klatki schodowe).
Firma "POL-KAR" jest znana na rynku nieruchomości od 20 lat.
Zapraszamy!
www. kardziejonek .pl</t>
  </si>
  <si>
    <t>https://www.otodom.pl/pl/oferta/nowe-mieszkanie-b3-a8-3-pokoje-m-dwupoziomowe-ID4mwzg</t>
  </si>
  <si>
    <t>4mwzg</t>
  </si>
  <si>
    <t>OSTATNIE dni RABATÓW ! Sylwestrowe OKAZJE do 3.01</t>
  </si>
  <si>
    <t xml:space="preserve">SYLWESTROWA PROMOCJA NA ZAKUP MIESZKANIA – WYSOKIE RABATY DO 15 % - UMÓW WIZYTĘ i zobacz na ŻYWO 
UMOWA REZERWACYJNA → GWARANTOWANA NISKA CENA !!!
Bezpośrednia sprzedaż od dewelopera
BEZ PROWIZJI - BRAK PODATKU PCC – 0 zł – RYNEK PIERWOTNY
Wyjątkowe OKAZJE na miejsca postojowe
Bezpośredni kontakt z doradcą w godzinach od 9:00 do 19:00
Sobota od 9:00 do 15:00 
✆☎☏ - ZADZWOŃ i umów wizytę
Sprawdź dostępność lokali – szeroki wybór mieszkań z ogromnym potencjalem
Na sprzedaż funkcjonalne i ustawne mieszkanie dla osób ceniących sobie komfort i spokój. 
Mieszkanie składa się z:
salonu z aneksem kuchennym
łazienki
przestronnego tarasu
Mieszkanie wyposażone w system SMART HOME:
- Steruj funkcjami swojego obiektu w każdej chwili i z dowolnego miejsca na świecie.
- Sterowanie ogrzewanie i oświetleniem to idealna temperatura o każdej porze i niższe rachunki.
- Sterowanie sprzętem AGD i RTV przez telefon, wifi, internet.
Doskonała lokalizacja z bardzo dobrym dostępem do komunikacji miejskiej, licznych punktów usługowych.
Osiedle jest bardzo dobrze skomunikowane z centrum miasta, jak i innymi miastami ościennymi.
W mieszkaniu znajduje się centralne ogrzewanie oraz woda ciepła z sieci miejskiej.
Mieszkanie bezczynszowe z rynku pierwotnego.
Po więcej szczegółów zapraszam do kontaktu.
</t>
  </si>
  <si>
    <t>https://www.otodom.pl/pl/oferta/ostatnie-dni-rabatow-sylwestrowe-okazje-do-3-01-ID4owx9</t>
  </si>
  <si>
    <t>4owx9</t>
  </si>
  <si>
    <t>Przestronne mieszkanie z antresolą blisko metra</t>
  </si>
  <si>
    <t>ul. Kazimierza Sotta "Sokoła", Natolin, Ursynów, Warszawa, mazowieckie</t>
  </si>
  <si>
    <t>Dwustronne mieszkanie na Ursynowie z antresolą. Wspaniały rozkład zapewnia rozdzielenie części prywatnej od dziennej z ciekawym widokiem z każdego okna. Nieruchomość prezentowana jest w ramach wyłącznej umowy sprzedaży.Lokalizacja:Osiedle położone jest obok zielonych terenów Ursynowa - Las Kabacki, gdzie można aktywnie spędzić czas z rodziną, znajduje się tu mnóstwo ścieżek rowerowych, a także inne parki m.in. Park przy Bażantarni, który posiada jeden z najlepiej wyposażonych placów zabaw i tętni życiem przez cały rok. Nieruchomość znajduje się na cichym i zielonym osiedlu przy ul. Kazimierza Sotta Sokoła 9. Miejsce to pozwoli Ci na odpoczynek po długim dniu pracy. W pobliżu znajdują się również jedne z najlepszych placówek edukacyjnych. Doskonałe położenie mieszkania pozwala na szybką podróż do centrum miasta. W 10 minut spacerem dojdziemy z mieszkania do wielu kafejek i restauracji, klubów fitness, sklepów, a także do Metra Natolin. Z okna widok na Park Natoliński.Nieruchomość:Mieszkanie znajduje się na 3-cim piętrze i ma bardzo funkcjonalny rozkład. Podzielone jest na część dzienną wraz z kuchnią, sypialnie z zabudowaną loggią, przestronny hol z szafami w zabudowie, garderobę, łazienkę oraz antresolę. Przestrzeń na antresoli może pełnić funkcję Home Office, znajduje się tu również osobna toaleta. W mieszkaniu jest klimatyzacja w salonie oraz sypialni co zwiększa komfort domowników w upalne lato. Niewątpliwym atutem nieruchomości jest wysokość pomieszczeń - 450 cm w części dziennej. Dla kogo nieruchomość:Nieruchomość dla każdego - rodziny i osób, które przede wszystkim cenią sobie przestrzeń, spokój i ciszę w życiu codziennym.***Gorąco polecamy i zapraszamy do oglądania!Więcej ciekawych ofert znajdziecie Państwo na naszej stronie internetowej.Treść niniejszego ogłoszenia nie stanowi oferty handlowej w rozumieniu Kodeksu Cywilnego.Małycha Nieruchomości Premiumul. Katowicka 4 lokal 7 i lokal 8 (03-932) WarszawaTelefon: 22 616 25 35Mail: Oferta wysłana z programu dla biur nieruchomości ASARI CRM ()</t>
  </si>
  <si>
    <t>https://www.otodom.pl/pl/oferta/przestronne-mieszkanie-z-antresola-blisko-metra-ID4nWXd</t>
  </si>
  <si>
    <t>4nWXd</t>
  </si>
  <si>
    <t>Mieszkanie 2 pokojowe na wysokim parterze</t>
  </si>
  <si>
    <t>Mieszkanie 2 pokojowe, z niewielką kuchnią i łazienką; 2 pokoje po remoncie, łazienka nie. Okna bardzo szczelne, ogrzewanie wydajne.
Położone w bloku na wysokim parterze. 
Dobrze skomunikowane, blisko przystanku autobusowego.</t>
  </si>
  <si>
    <t>https://www.otodom.pl/pl/oferta/mieszkanie-2-pokojowe-na-wysokim-parterze-ID4on4L</t>
  </si>
  <si>
    <t>4on4L</t>
  </si>
  <si>
    <t>Raków / 3 pokoje / po generalnym remoncie</t>
  </si>
  <si>
    <t>al. Aleja Pokoju, Raków, Częstochowa, śląskie</t>
  </si>
  <si>
    <t>Szukasz mieszkania do wprowadzenia? Ta oferta jest dlaZarezerwuj już dziś.Biuro MEROSS Nieruchomości prezentuje do sprzedaży mieszkanie o powierzchni 48 m2 w dzielnicy Raków (Aleja Pokoju), usytuowane na czwartym piętrze w bloku pięciopiętrowym. Składa się z przestronnego pokoju, dwóch ustawnych sypialni, kuchni, łazienki oraz przedpokoju. Mieszkanie do wprowadzenia, nowe okna i drzwi. Nowa zabudowa kuchenna oraz umeblowany przedpokój w cenie. Do mieszkania przynależy balkon oraz piwnica. Wystawa okien na Północ. Mieszkanie o niskich opłatach miesięcznych, zadbana klatka schodowa z nowymi instalacjami. Blok po termomodernizacji. * Przedstawiony rzut odzwierciedla stan faktyczny mieszkania.  _Mieszkanie przeszło generalny remont! Wymieniono instalację wodno-kanalizacyjną oraz elektryczną.Na ścianach gipsówki, w pokojach na podłodze panele.Nowe drzwi wejściowe, wewnętrzne oraz okna,Łazienka z prysznicem w nowoczesnej zabudowie. Rodzaj własności: Pełna własnośćLOKALIZACJA:W pobliżu znajdują się:supermarkety, C.H. Jagiellończycy, sklepy, park, restauracja, szkoły, kościół, Linia tramwajowa (przystanek przy Placu orląt Lwowskich 2) i autobusowa (12, 19, 32, 35, 58, 80).OPŁATY:Czynsz: około 470 zł (w tym C.O., woda w ryczałcie, śmieci) + media według wskazań licznikaPomagamy bezpłatnie w uzyskaniu kredytu hipotecznego._ZapraszamyMEROSS Nieruchomościtel. 730 380 372</t>
  </si>
  <si>
    <t>https://www.otodom.pl/pl/oferta/rakow-3-pokoje-po-generalnym-remoncie-ID4oaBk</t>
  </si>
  <si>
    <t>4oaBk</t>
  </si>
  <si>
    <t>Duży wybór przy PARKU i UTP_sklepy_tramwaj_ZOBACZ</t>
  </si>
  <si>
    <t>ODBIERZ ZARAZ KLUCZE! W ofercie mieszkania w BUDYNKU ODDANYM DO UŻYTKOWANIA - gotowe do odbioru OD RĘKI lub w budynku w trakcie realizacji z bliskim terminem !! Umów się na oglądanie wybranych rozkładów na żywo!
NOWOROCZNA PROMOCJA na mieszkania oraz miejsca postojowe - AŻ KILKADZIESIĄT MIESZKAŃ W NIŻSZYCH CENACH - zadzwoń i spytaj o szczegóły!
Sprzedaż od dewelopera,⚡⚡PLUSY: 0 zł prowizji + 0 zł PCC =&amp;gt; płacisz tylko za mieszkanie + wybrane dodatki (np. miejsce postojowe) + notariusza*
NIEPOWTARZALNA OKAZJA NA ZAKUP MIESZKANIA PRZY SAMYM PARKU (w ofercie mieszkania z bezpośrednim i częściowym widokiem na park)!
Ucieknij od zgiełku miasta, mając całą niezbędną infrastrukturę w pieszej odległości od osiedla!!
*ZAREZERWUJ MIESZKANIE WRAZ Z JEGO CENĄ JUŻ ZA JEDYNE 1.000,00 PLN – bez notariusza!!
**Kilka ostatnich mieszkań z ogrodami – nie przegap swojej okazji ! KAMERALNE OSIEDLE, mała ilość sąsiadów w budynku, niskie 4-piętrowe budynki z windą i halą garażową!
***Dla inwestorów – specjalna oferta PROMOCYJNA – zapytaj jeśli myślisz o zakupie 3 i więcej mieszkań! IDEALNE OSIEDLE POD WYNAJEM = obok Politechniki Bydgoskiej!
Zalety osiedla:
✔PUNKT KOMUNIKACYJNY (14 linii komunikacji miejskiej: tramwaj + autobus; najbliższy przystanek już 200m od osiedla);
✔15 min dojazd samochodem do Centrum
✔Bliskość uczelni: Politechnika Bydgoska za terenem osiedla + możliwy dojazd komunikacją miejską do pozostałych uczelni (do 35minut)
✔zaplecze edukacyjne (już 800m dzieli osiedle od żłobków, przedszkoli i szkół podstawowych)
✔sklepy na wyciagnięcie ręki (Biedronka, Lidl, żabki, Auchan, Leroy Merlin, Decathlon, IKEA)
✔Idealne osiedle dla osób często podróżujących służbowo poza tereny Bydgoszczy (sprawny dojazd do węzła A1);Akademickie817
✔ Duże odległości między budynkami (bez zaglądania sąsiadów w okno!)
Przynależności: balkon/ ogródek
Dodatkowe udogodnienia: możliwość zakupu garażu lub miejsca naziemnego
Dla naszych klientów posiadamy własny dział kredytowy, który pomoże w załatwieniu wszystkich formalności związanych z finansowaniem. (bezpłatnie)
Zapraszam do kontaktu.</t>
  </si>
  <si>
    <t>https://www.otodom.pl/pl/oferta/duzy-wybor-przy-parku-i-utp-sklepy-tramwaj-zobacz-ID4oFeS</t>
  </si>
  <si>
    <t>4oFeS</t>
  </si>
  <si>
    <t>Przestronne mieszkanie na ul.Kościuszki</t>
  </si>
  <si>
    <t>ul. Tadeusza Kościuszki, Biała Podlaska, lubelskie</t>
  </si>
  <si>
    <t>Mieszkanie idealne dla rodzin z dziećmi. Idealne pod wynajem jako lokata kapitału.Główne atuty nieruchomości: • dobra ekspozycja na strony świata• bliskość komunikacji miejskiej• zabudowa kuchni i sprzęt w cenieNieruchomość złożona z: • salon 21,18 m.kw• pokój 18,2 m.kw• pokój 14,5 m.kw• kuchnia otwarta z oknem 10,08 m.kw• łazienka 3,6 m.kw W skład nieruchomości wchodzi też:• miejsce parkingoweTyp ogrzewania: ogrzewanie miejskie. Typ własności: własność. Mieszkanie 67,56m2 w Kamienicy na osiedlu Wola ul.Kościuszki znajdujące się na 1 piętrze .Osiedle znajdujące się w pobliżu szkoły podstawowej, przychodni, sklepów.Mieszkanie jest gotowe do wprowadzenia z całym wyposażeniem.Składa się z  :- salon 21,18m2- pokój 18,20m2- pokój 14,50m2- kuchnia 10,08m2- łazienka 3,60m2Wszystkie instalacje elektryczne oraz hydrauliczne są po wymianie, co oznacza,że po odmalowaniu można wprowadzać się do mieszkania.Kamienica zbudowana została z czerwonej cegły, a budynki z tamtych czasów posiadają grube mury, dzięki czemu mamy pewność, że mieszkanie jest wyciszone i nie słychać hałasu z pobliskiej drogi.Osiedle coraz częściej wybierane jest spośród innych w Białej Podlaskiej.ZADZWOŃ: 501 395 152.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</si>
  <si>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https://otodom.pl/pl/oferta/trzypokojowe-mieszkanie-w-kamienicy-na-kosciuszki-ID4gG8S</t>
  </si>
  <si>
    <t>4gG8S</t>
  </si>
  <si>
    <t>Loft Park | M-4 Deweloperskie | 69m2 | Łukowe okna</t>
  </si>
  <si>
    <t xml:space="preserve">LOFT PARK Leszczyńskiego 49 - Tylko u nas! Wyjątkowa inwestycja zakończona. Rozpoczynamy sprzedaż!  Dobre Nieruchomości polecają na sprzedaż M-4 o powierzchni 69,2m2 a po podłodze 72,53m2 na 3 piętrze loftowego budynku z czerwonej cegły zlokalizowanego na bydgoskim Szwederowie nieopodal parku Jordanowskiego.  W budynku zaprojektowano 13 niepowtarzalnych mieszkań od 39m2 do 100m2.  Teren wokół budynku został pięknie zagospodarowany zasadzono nowe nasadzenia, w otoczeniu budynku znajdują się nowopowstałe bloki, na terenie nieruchomości zachowano starodrzewie.    LOFT PARK to nietuzinkowa, kameralna inwestycja, która powstała poprzez renowacje budynku z czerwonej cegły, budynek został wyposażony w windę od poziomu 0, balkony oraz doprowadzony do stanu deweloperskiego - odpowiadającego dzisiejszym standardom oraz wymogom.    Mieszkanie o powierzchni 69,2m2 składa się z:  - pokoju z aneksem kuchennym - 21,26m2 z oknem papieskim, - pokoju - 15,45m2 - pokoju - 13,88m2 - łazienki - 6,83m2 - korytarza - 11,78m2 Do mieszkania możliwość dokupienia indywidualnego garażu.    Standard wykonania: - niezwykle duże okna łukowe, 3-szybowe, - drzwi antywłamaniowe, - winda, -  ogrzewanie miejskie KPEC, - instalacja światłowodowa (UPC, ORANGE), - wideo-domofony,   Opis inwestycji: - Niepowtarzalny design wyróżnia inwestycję na mapie bydgoskich projektów mieszkaniowych. Budynek został poddany renowacji, doprowadzony do stanu deweloperskiego, wyposażony w windę oraz balkony. - W nowym wydaniu dawnej szkoły znajdziemy 4 kondygnacje nadziemne, ściany zewnętrzne budynku zostały zachowane i poddane renowacji. - Wnętrze budynku zyskało industrialny charakter poprzez odsłonięcie elementów ścian z czerwonej cegły na klatkach schodowych jaki i w mieszkaniach. - Zastosowano antracytowe dodatki spójne z industrialnym klimatem budynku (stolarka drzwiowa oraz okienna, oświetlenie klatek schodowych, balkony, bramy garażowe, dach, poręcze schodowe) - W mieszkaniach znajdziemy duże Łukowe 3-szybowe okna.  - Urozmaicenie obszaru na którym znajduje się nieruchomość stanowi zieleń oraz dojrzałe drzewostany. Inwestycja tuż przy Parku Jordanowskim.    Lokalizacja: W sąsiedztwie znajduje się w pełni rozwinięta infrastruktura miejska, placówki oświatowe i sklepy. Po przeciwnej stronie ulicy Leszczyńskiego znajduje się publiczny ogólnodostępny plac zabaw dla dzieci oraz tereny rekreacji dla osób dorosłych.   LOFT PARK znajduje 1 km od Wyspy Młyńskiej oraz Starego Rynku. Nieopodal wiele miejsc kulturowo-rekreacyjnych takich jak: - Opera, - Teatr,  - Filharmonia, - Liczne Restauracje i Kawiarnie, - Młyny Rothera, - Muzea,   Kupujący nie płaci 2% PCC oraz prowizji dla biura nieruchomości.   Szczególnie polecam tą nietuzinkową ofertę, tylko 13 wyjątkowych mieszkań, jedno z nich jest właśnie dla ciebie!  Zapraszam na prezentację! tel. 726 235 136  Jagoda Górniak Dobre Nieruchomości. </t>
  </si>
  <si>
    <t>https://otodom.pl/pl/oferta/loft-park-m-4-deweloperskie-69m2-lukowe-okna-ID4ktvQ</t>
  </si>
  <si>
    <t>4ktvQ</t>
  </si>
  <si>
    <t>Sprzedam piękne mieszkanie dwupoziomowe</t>
  </si>
  <si>
    <t>ul. św. Jadwigi, Trzebnica, Trzebnica, trzebnicki, dolnośląskie</t>
  </si>
  <si>
    <t>Sprzedam piękne mieszkanie dwupoziomowe w centrum trzebnicy komfortowo wykończone z klimatyzacja na dwóch poziomach. Na pierwszym kuchnia salon łazienka sypialnia i balkon na drugim dwie sypialnie łazienka dwa tarasy hol i pom gospodarcze. W poblizu markety stacja pkp szkoła ośrodek zdrowia.Dodatkowo Miejsce w garażu podziemnym do dokupienia. </t>
  </si>
  <si>
    <t>https://otodom.pl/pl/oferta/sprzedam-piekne-mieszkanie-dwupoziomowe-ID4mldK</t>
  </si>
  <si>
    <t>4mldK</t>
  </si>
  <si>
    <t>Słoneczne mieszkanie na nowym osiedlu.</t>
  </si>
  <si>
    <t>ul. Leona Staniszewskiego, Wiczlino, Gdynia, pomorskie</t>
  </si>
  <si>
    <t>Szanowni Klienci,mając na uwadze Państwa cenny czas, komfort i bezpieczeństwo,prosimy o wcześniejszy kontakt telefoniczny lub elektronicznyw celu umówienia prezentacji lub spotkania w biurze. Oferta, którą oglądasz jest dostępna TYLKO U NAS i została dokładnie sprawdzona pod względem formalno-prawnym.LOKALIZACJAMieszkanie zlokalizowane jest w Gdyni przy ul. Staniszewskiego.W pobliżu liczne sklepy, placówki usługowo-handlowe, medyczne i edukacyjne.W odległości ok 200 metrów przystanek autobusowy.Trójmiejski Park Krajobrazowy zapewnia liczne szlaki piesze i rowerowe.NIERUCHOMOŚĆMieszkanie znajduje się na drugim piętrze i ma powierzchnię ok. 74,20 m2, na którą składają się:przestronny salon z aneksem kuchennym oraz wyjściem na duży, narożny balkon;aneks kuchenny z zabudową kuchenną i sprzętem AGD (zmywarka, płyta ceramiczna, piekarnik, okap);dwie sypialnie;łazienka (ogrzewanie podłogowe elektryczne) z kabiną prysznicową, wc, umywalką, miejscem na pralkę;osobna toaleta z bidetem i umywalką;garderoba;hol.Mieszkanie bardzo zadbane, gotowe do wprowadzenia się, na podłogach panele oraz kafle.Funkcjonalny układ mieszkania.Ekspozycja południowa i zachodnia, co zapewnia bardzo dobre nasłonecznienie.Do ceny należy doliczyć 40 tys zł za miejsce postojowe w hali garażowej i boks piwniczny.OPŁATY:Czynsz administracyjny wynosi 650 zł/m-c przez cały rok.Jeżeli zainteresowała Cię ta nieruchomość - skontaktuj się z nami i umów się na prezentację.Co zyskujesz współpracując z naszym biurem? - oszczędność czasu, opiekę i kompleksowe wsparcie doświadczonego Agenta na każdym etapie transakcji- szeroki wybór ofert dopasowanych do Twoich potrzeb- pewność uzyskania najkorzystniejszej wartości nieruchomości- szybką ocenę zdolności kredytowej i ofertę korzystnego kredytu hipotecznegoskuteczny i nowoczesny marketing Twojej oferty- profesjonalne i bezpłatne doradztwo prawne- bezpieczeństwo transakcji gwarantowane współpracą z czołowym biurem nieruchomości na Pomorzu, które obsługuje zarówno oferty z rynku wtórnego, jak i deweloperskieChcesz poznać więcej szczegółów tej oferty? A może chcesz negocjować cenę?Zadzwoń pod numer 58 558 53 53 lub 784 008 353. Możesz także do nas napisać.W naszej bazie znajdziesz najwięcej aktualnych ofert z Trójmiasta, Kaszub i Kociewia.Serdecznie zapraszamy do naszych oddziałów w Gdańsku, Gdyni, Bytowie, Kościerzynie, Chojnicach i Starogardzie Gdańskim. Pracujemy również w soboty.Zaufaj profesjonalistom i kupuj bezpiecznie!</t>
  </si>
  <si>
    <t>https://otodom.pl/pl/oferta/sloneczne-mieszkanie-na-nowym-osiedlu-ID4m8xI</t>
  </si>
  <si>
    <t>4m8xI</t>
  </si>
  <si>
    <t>Sprzedam mieszkanie w Brańsku</t>
  </si>
  <si>
    <t>Brańsk, bielski, podlaskie</t>
  </si>
  <si>
    <t>Mieszkanie wyposażone po kapitalnym remoncie. Do zamieszkanie od zaraz. W centrum Brańska. Mieszkanie z pomieszczeniami przynależnymi: piwnica, pomieszczenie gospodarcze. Z meblami, 2 telewizory.</t>
  </si>
  <si>
    <t>https://otodom.pl/pl/oferta/sprzedam-mieszkanie-w-bransku-ID4m952</t>
  </si>
  <si>
    <t>4m952</t>
  </si>
  <si>
    <t>Stylowa kawalerka w kamienicy | M14</t>
  </si>
  <si>
    <t>ul. Fabryczna, Księży Młyn, Widzew, Łódź, łódzkie</t>
  </si>
  <si>
    <t>Stylowa kawalerka o powierzchni 29,26 mkw., składa się z salonu połączonego z kuchnią i łazienki. Wysokie na 3 m ściany dodają przestrzeni i usprawniają cyrkulację powietrza. Lokal może poszczycić się prawdziwie unikatowym klimatem, gdyż mimo faktu, że znajduje się na poddaszu, jego wysokość pozwala na ciekawe możliwości aranżacji wnętrza. Okna usytuowanego na drugim piętrze mieszkania wychodzą na wschodnią stronę. Lokal znajduje się we frontowej części kamienicy. Jest to świetna propozycja dla szukającego miejsca z duszą singla lub pomysł na lokatę kapitału. Mieszkanie sprzedawane w stanie deweloperskim. 
Kamienica przy Fabrycznej 7 to kameralna, pełna miejskiej elegancji inwestycja, która zachwyca kunsztowną architekturą w samym sercu miasta. W jej skład wchodzi wdzięcznie odnowiony budynek frontowy oraz tylna oficyna usytuowana w głębi działki. Na powierzchni około 1000 mkw. znajduje się 31 funkcjonalnie zaprojektowanych lokali oraz urokliwy dziedziniec ozdobiony zielenią. Kamienica przeszła całościowy remont; dach został kompleksowo odnowiony, a stolarka drzwiowa i okienna wymieniona. Wymienione zostały również wszystkie instalacje sanitarne. Kamienica ma za sobą także całkowitą termomodernizację. Efektowne klatki schodowe zostały odnowione tak, by zachowany duch czasu płynnie łączył się z subtelnym tchnieniem współczesnej architektury. Zabytkowa elewacja budynku frontowego uwodzi prostotą i klasą, udekorowana starannie odnowionymi detalami, dumnie prezentuje się na tle pofabrycznej zabudowy. Nowe życie zyskał również klimatyczny dziedziniec, który pełen wspólnej zieleni, w ponadczasowy sposób integruje frontową część kamienicy z jej tylną oficyną. Ten kameralny azyl w centrum tętniącej życiem Łodzi to miejsce, w którym po prostu chce się mieszkać.
Kamienica zachwyca nie tylko piękną prezencją, ale i wspaniałą lokalizacją. Oddalona jest zaledwie 1,5km od OFF Piotrkowskiej i równie blisko takich inwestycji jak zrewitalizowane tereny Fuzji czy odnowione oblicze Księżego Młyna. Jednocześnie po sąsiedzku, bo tylko 130 m dalej znajduje się najstarszy łódzki park Źródliska. Za rogiem jest tu również dostęp do edukacji na najwyższym poziomie, zaledwie 200m od naszej kamienicy usytuowana jest legendarna Szkoła Filmowa, a niedużo dalej Uniwersytet Łódzki oraz Politechnika. Fabryczna 7 to więc adres, który jednocześnie pozwala być w centrum wydarzeń i cieszyć się krzepiącą zielenią.</t>
  </si>
  <si>
    <t>https://otodom.pl/pl/oferta/stylowa-kawalerka-w-kamienicy-m14-ID4k3Hh</t>
  </si>
  <si>
    <t>4k3Hh</t>
  </si>
  <si>
    <t>Stała cena! Kostrzyńska 42 | mieszkanie KGH-G-M5</t>
  </si>
  <si>
    <t>https://otodom.pl/pl/oferta/stala-cena-kostrzynska-42-mieszkanie-kgh-g-m5-ID4fidW</t>
  </si>
  <si>
    <t>4fidW</t>
  </si>
  <si>
    <t>Mieszkanie 3-pokojowe, Habicha</t>
  </si>
  <si>
    <t>ul. Edwarda Habicha, Szamoty, Ursus, Warszawa, mazowieckie</t>
  </si>
  <si>
    <t>Przedstawiam Państwu eleganckie, funkcjonalne trzypokojowe mieszkanie. Idealne na ulokowanie zalegającego w szafie kapitału ;-) lub pod wynajem. 
Nieruchomość znajduje się przy ulicy Habicha. Blok jest z 2021 roku, wybudowany przez Victorię Dom. Mieszkanie jest wykończone, więc po naszej wyprowadzce możecie od razu przyjmować gości :D 
Niedaleko, bo na Połczyńskiej, budowana jest stacja metra Karolin, więc też szybko będzie się można dostać do centrum Warszawy.
Mieszkanko ma dobry rozkład, bo na niewielkim metrażu zmieściły się 3 wygodne pokoiki. 
Salon z aneksem kuchennym: 16m2
Pokój dziecka: 8m2
Sypialnia: 11m2
Przedpokój: 6,5m2
Łazienka: 4,5m2
Wymiary podane są w przybliżeniu. 
Wszystkie pomieszczenia wykończone. Kuchnia i szafa w przedpokoju robione na zamówienie pod wymiar. 
Okna mieszkania umieszczone zostały na południowo-zachodnią stronę świata, więc do pomieszczeń wpada dużo światła. 
Do mieszkania przynależą: 
- garaż jednostanowiskowy, szerokie miejsce (tylko jeden sąsiad, z drugiej strony filar) umieszczone blisko wejścia do windy. Miejsce ma taki numer jak mieszkanie, więc łatwo będzie zapamiętać ;-).
Parking płatny dodatkowo 60000 polskich dollarsów.
- komórka lokatorska ok. 2m2 MUROWANA, również zlokalizowana blisko wejścia do windy. Dodatkowo komórka umieszczona w pomieszczeniu zamykanym osobnymi drzwiami, w którym znajduje się tylko 8 pomieszczeń gospodarczych.
Komórka w cenie 12000 zł.
Oprócz powyższych plusów, dodatkowym atutem, moi Drodzy, jest 6. piętro! Ponadto na piętrze znajdują się tylko 2 mieszkania, więc jest tylko jeden sąsiad, z którym graniczy ściana jednego pokoju.
Do mieszkania przynależy także spory, ok. 5m2, ustawny balkon.  
Chętnych zapraszam do kontaktu pod numerem telefonu: 579077931 lub 510398834. Z przyjemnością udzielimy więcej informacji i oprowadzimy po naszym gniazdku ;-) </t>
  </si>
  <si>
    <t>https://www.otodom.pl/pl/oferta/mieszkanie-3-pokojowe-habicha-ID4oyXI</t>
  </si>
  <si>
    <t>4oyXI</t>
  </si>
  <si>
    <t>M4 do remontu na Północy</t>
  </si>
  <si>
    <t>Oferuję na sprzedaż mieszkanie M4 w bardzo dogodnej lokalizacji , w dzielnicy Północ w Częstochowie.Mieszkanie mieści się na 3 piętrze w bloku 4 piętrowym , pośród zieleni , w pobliżu szkoły podstawowej.Na powierzchnię 61 m2 składa się :- SALON Z BALKONEM - POKÓJ 2- POKÓJ 3 - KUCHNIA - ŁAZIENKA - WC - PRZEDPOKÓJ Mieszkanie nadaje się do remontu . Na podłodze linoleum i płytki, okna z PCV.Do mieszkania przynależą 2 piwnice .Zapraszam serdecznie na prezentacje mieszkania.Ekspert kredytowy udzieli Państwu bezpłatnych informacji na temat kredytu hipotecznego na zakup nieruchomości.Szczegóły oferty : Kredyty Nieruchomości Lech - Małgorzata Ślęzak , tel. 730 216 660</t>
  </si>
  <si>
    <t>https://www.otodom.pl/pl/oferta/m4-do-remontu-na-polnocy-ID4oFo4</t>
  </si>
  <si>
    <t>4oFo4</t>
  </si>
  <si>
    <t>Twoje własne ,,M" w górach |mieszkanie C1| VAT 23%</t>
  </si>
  <si>
    <t>ul. Wolności, Szklarska Poręba, karkonoski, dolnośląskie</t>
  </si>
  <si>
    <t>                      Inwestycja w trakcie budowy. Planowany termin zakończenia 2024/2025 rok.
Przedmiotem ogłoszenia jest 2-pokojowe mieszkanie numer C1 położone na parterze w inwestycji Green Park Resort II. To wyjątkowy lokal o powierzchni 39,71 m kw. Cechą inwestycji jest wysoki standard i świetna lokalizacja.
Miejsce postojowe zewnętrzne - 15000 zł netto.
O inwestycji
                      Inwestycja w trakcie budowy. Planowany termin zakończenia 2024/2025 rok. 
GREEN PARK RESORT II to nowa inwestycja na mapie Szklarskiej Poręby. Zieleń, przyroda, szelest strumyka, południowe promienie słońca wpadające do okna, trasy narciarstwa biegowego na wyciągnięcie ręki, single tracki rowerowe, bliskość pieszych szlaków to między innymi atuty naszej lokalizacji.
Kameralny kompleks ulokowany w Białej Dolinie przy ul. Wolności 14 na pięknie położonej, blisko 1,5 ha działce składać się będzie z 5 budynków, które łącznie posiadają 73 apartamenty oraz z budynku o funkcji gastronomicznej wraz ze strefą SPA.
O lokalizacji
Szklarska Poręba to jeden z najbardziej rozpoznawalnych ośrodków wypoczynku górskiego w Polsce. W ostatnich latach dynamiczny wzrost zainteresowania turystyką krajową przyczynił się do rozwoju miasta jak i infrastruktury wypoczynkowej.
Szrenica Ski ARENA ośrodek narciarski (około 3,7 km)
Centrum Szklarska Poręba (około 2,6 km)
Blisko trasy rowerowe
Blisko trasy narty biegowe
Co nas wyróżnia:
Spokojna i cicha okolica
Świetna lokalizacja
Widok na pasmo gór
Strefa gastronomiczna
Strefa SPA
Letni zewnętrzny basen kąpielowy
Balia zewnętrzna
Jacuzzi wewnętrzne
Sauna fińska
Taras słoneczny
Rowerownia
Narciarnia
Plac zabaw
O nas
Green Park Resort Group sp. z o. o.
Spółka realizuje projekty deweloperskie o charakterze apartamentów rekreacyjnych zlokalizowanych w Karkonoszach.
W 2022 roku zakończono z sukcesem i oddano do użytku budowę kompleksu Green Park Resort przy ul. Dolnej 7 w Szklarskiej Porębie.
Na państwa wszelkie pytania odpowiemy telefonicznie, bądź drogą mailową!
W ofercie posiadamy również inne lokale z tej inwestycji.
Poczuj smak przygody, złap energię tego niesamowitego miejsca, zabezpiecz swój kapitał.
Powyższa oferta ma charakter informacyjny i nie stanowi oferty handlowej w rozumieniu art. 66 §1 Kodeksu Cywilnego</t>
  </si>
  <si>
    <t>https://www.otodom.pl/pl/oferta/twoje-wlasne-m-w-gorach-mieszkanie-c1-vat-23-ID4luo4</t>
  </si>
  <si>
    <t>4luo4</t>
  </si>
  <si>
    <t>Przestronne Mieszkanie Z Działką Rod + Garaż</t>
  </si>
  <si>
    <t>MIESZKANIE Z CAŁYM WYPOSAŻENIEM + DZIAŁKA ROD   Szukasz w pełni wyposażonego mieszkania w niskim budynku w rewelacyjnej i wyjątkowo spokojnej lokalizacji – ta oferta jest właśnie dla Ciebie.   Oto słoneczny, gotowy do zamieszkania trzypokojowy lokal o powierzchni 59,36 m2 na trzecim piętrze przy ulicy Walczaka w Gorzowie Wlkp.. Obok tej oferty nie możesz przejść obojętnie. Nieruchomość idealna dla ludzi poszukujących ciszy i spokoju w środku dużego osiedla. 4 piętrowy budynek jest z 1976 roku i został ocieplony a na każdej jego kondygnacji położone są 2 mieszkania. Okna mieszkania wychodzą na dwie przeciwległe strony (mieszkanie dwustronne).  Mieszkanie posiada balkon i piwnicę o powierzchni 5,8 m2. Ogrzewanie i ciepła woda w lokalu jest z sieci miejskiej.  W mieszkaniu zamontowano plastikowe okna oraz zewnętrzne rolety elektryczne. Podłogi wyłożono panelami i terakotą. Ściany w pokojach pokryto częściowo gładziami gipsowymi oraz tapetą. Wejście do mieszkania zabezpieczają solidne drzwi antywłamaniowe. W pomieszczeniach zamontowano dotykowe włączniki świateł oraz oświetlenie LED. Instalacja elektryczna miedziana.    Cena mieszkania uwzględnia wszystkie meble i całe wyposażenie widoczne na zdjęciach. Tak naprawdę wystarczy poukładać osobiste rzeczy na odpowiednich półkach i od razu w nim zamieszkać nie martwiąc się o remont i zakup mebli czy wyposażenia. Przekazanie mieszkania możliwe jest praktycznie "od ręki", ponieważ właściciel już w nim nie mieszka.  Czynsz z funduszem remontowym wynosi ok 600 zł/3os.  Ogromną zaletą nieruchomości jest jej położenie przy samym parku. W pobliżu przystanek tramwajowy, szpital. Brak problemów z parkowaniem samochodów obok budynku. Przed budynkiem ogrodzony plac zabaw dla dzieci.  Jednak aby Twój samochód zabezpieczyć przed działaniem czynników atmosferycznych oraz zakusami złodziei w ofercie jest również blaszany garaż o pow. 18m2 za kwotę 40.000 zł. Garaż posiada bramę rolowaną automatyczną.   Uwaga! Zakup mieszkania tylko i wyłącznie z garażem.  Dodatkowo właściciel oferuje w cenie mieszkania prawo do działki rekreacyjnej ROD o pow. 547 m2 położonej ok. 200m od budynku. Na działce znajduje się: domek na narzędzia, altanka, drewniana huśtawka, wc, woda oraz drzewa owocowe ( wiśnia, jabłoń, kiwi). Posiadanie działki daje nie tylko możliwość swobodnego wypoczynku na świeżym powietrzu "u siebie", ale również uprawiania zdrowych i ekologicznych warzyw i owoców czy organizowania wszelkiego rodzaju imprez - również tych rodzinnych.  Nie czekaj, tylko jak najszybciej umów się na obejrzenie tego mieszkania zanim uprzedzą Cię inni! Idealna lokalizacja i pozostałe plusy mieszkania są na pewno wystarczającym powodem, żeby podjąć decyzję już teraz.  O takiej lokalizacji i takim widoku marzy większość mieszkańców gorzowskich osiedli, na których bardzo często okna mieszkań wychodzą wprost na okna sąsiadów z pobliskiego bloku.  W tym miejscu masz na wyciągnięcie ręki przestrzeń do joggingu, spacerów, czy rowerowych wycieczek. Świadectwo charakterystyki energetycznej - zapotrzebowanie na energię: EU - użytkową (kWh/m2*rok): 87.00; EK - końcową (kWh/m2*rok): 120.90; EP - nieodnawialną energię pierwotną (kWh/m2*rok): 162.00; EC02 - Wielkość emisji CO2 (t C02/m2*rok): 0.04; UOZE - Udział odnawialnych źródeł energii w zapotrzebowaniu na energię końcową [%]: 0.00; Oferta wysłana z programu dla biur nieruchomości ASARI CRM ()</t>
  </si>
  <si>
    <t>https://www.otodom.pl/pl/oferta/przestronne-mieszkanie-z-dzialka-rod-garaz-ID4mu4L</t>
  </si>
  <si>
    <t>4mu4L</t>
  </si>
  <si>
    <t>Nowa inwestycja Pochyła 37,9 mkw.</t>
  </si>
  <si>
    <t>ul. Pochyła, Czechowice-Dziedzice, Czechowice-Dziedzice, bielski, śląskie</t>
  </si>
  <si>
    <t>Strona Internetowa : https://ekobuddom.pl/inwestycje/czechowice-dziedzice/apartamenty-przy-starej-kablowni
Pozostało tylko  5 mieszkań wolnych - ostatnia szansa na zdobycie mieszkania w tak wyjątkowym miejscu.
Dostępne mieszkania w apartamentowcu przy Pochyłej w Czechowicach-Dziedzicach
Obecnie dostępnych jest jeszcze 5 mieszkań w nowoczesnym apartamentowcu przy ulicy Pochyłej. Nie przegap szansy na zakup apartamentu w samym centrum Czechowic-Dziedzic. To unikalna okazja, by zamieszkać w kompleksowych warunkach z niezrównaną wygodą miejskiego życia.
Poznaj zalety tej świetnej lokalizacji
·         50 metrów od galerii handlowej Stara Kablownia. Znajdziesz tu kino Multikino, pyszną pizzerię, burgery, kawiarnie oraz supermarket Netto i wiele innych sklepów.
·         50 metrów od siłowni Well Fitness. Idealne miejsce do zadbania o kondycję fizyczną. Do dyspozycji są zajęcia takie jak joga czy pilates.
·         10 metrów od stacji benzynowej. Czynna całą dobę, zapewniająca komfort i dostępność w każdej sytuacji.
·         4 minuty samochodem od MOSiR. Oferuje kryty basen, saunę, jacuzzi, a latem miejskie kąpielisko, boisko do siatkówki i korty tenisowe. Zimą zamienia się w lodowisko.
·         5 minut samochodem do Szwajcarskiej Doliny. Miejsce idealne na aktywne lub relaksujące popołudnia. Ścieżka rowerowo-rolkowa, siłownia plenerowa, plac zabaw dla dzieci oraz miejsce na pikniki i ogniska.
Twój nowy dom
Każdy z naszych apartamentów jest zaprojektowany z myślą o komforcie i wygodzie. Nowoczesne wnętrza, przestronne balkony i dostęp do licznych udogodnień miejskich sprawią, że mieszkania są idealną przestrzenią do życia.
Działaj szybko!
Skontaktuj się z nami już dziś, by nie przegapić tej wyjątkowej okazji. Ostatnie 5 apartamentów czeka na swoich nowych właścicieli. Zacznij swoją nową przygodę w apartamentach przy ulicy Pochyłej – miejscu, które spełni wszystkie Twoje oczekiwania!
Ruszyła sprzedaż w najlepszej lokalizacji w Czechowicach-Dziedzicach.
Zamieszkaj na Pochyłej i poczuj niepowtarzalną energię miejskiego życia.
Korzystaj na co dzień z bogatej infrastruktury miasta z bliskością dostępu do kultury i sztuki.
Przekonaj się, jak wygodnie żyć w centrum, mając prywatną enklawę komfortu w naszym budynku, który składać się będzie wyłącznie z 8 apartamentów.
Zapewni to przyszłym mieszkańcom kameralność oraz wygodę.
Bliski dostęp do sklepów, szkół, galerii handlowej, siłowni czy basenu, sprawią, ze Apartamenty przy "Starej Kablowni" to nie tylko miejsce do zamieszkania, ale przede wszystkim przestrzeń do życia.
Poznaj zalety:
Kameralny budynek z windą ( wyłącznie 8 apartamentów )
Świetna lokalizacja ( rozwinięta infrastruktura zapewni wysoki komfort życia)
Ogólnodostępna wózkownia i rowerownia
Podłogówka w mieszkaniu ( pozwoli cieszyć się w całości metrażem mieszkania )
Dla każdego właściciela przewidziane jest stanowisko w garażu
Bezpłatna pomoc w finansowaniu.
Nasz doradca kredytowy pomoże spełnić marzenie o własnym M.
Działamy również z Rządowym programem 2%.
M1 - metraż 37,9 mkw.
Rozkład mieszkania :
1.Przedsionek - 7,0 mkw.
2.Sypialnia - 8,7 mkw.
3.Pokój dzienny - 18,0 mkw.
4.Łazienka - 4,2 mkw.
Łącznie: 37,9 mkw.
Zapraszamy do kontaktu i rezerwacji </t>
  </si>
  <si>
    <t>https://www.otodom.pl/pl/oferta/nowa-inwestycja-pochyla-37-9-mkw-ID4nXIh</t>
  </si>
  <si>
    <t>4nXIh</t>
  </si>
  <si>
    <t>Przestronne mieszkanie na Żoliborzu Artystycznym</t>
  </si>
  <si>
    <t>Żoliborz Artystyczny, Sady Żoliborskie, Żoliborz, Warszawa, mazowieckie</t>
  </si>
  <si>
    <t>Sprzedam bezpośrednio mieszkanie dwupokojowe na nowoczesnym osiedlu Żoliborz Artystyczny. Mieści się ono w najnowszym etapie osiedla. Na zamkniętym patio znajduje się plac zabaw. Dodatkowym atutem jest całodobowa ochrona i monitoring. Mieszkanie położone jest w świetnie skomunikowanym punkcie, pod blokiem znajduje się przystanek autobusowy (autobusy linii 221, 103, 180). Ponadto, w okolicy znajduje się publiczna szkoła podstawowa, przedszkola, żłobki, przychodnie, szpital, liczne sklepy i restauracje.
Mieszkanie o powierzchni 51,85 m znajduje się na 1 piętrze 6 piętrowego budynku. W jego skład wchodzi: przestronny, jasny salon z aneksem kuchennym, szeroki korytarz, sypialnia, łazienka i zabudowana loggia (7,87m2) , która dzięki przeszkleniu stanowi przedłużenie salonu. Kuchnia wyposażona jest w pojemne meble kuchenne z zabudowanymi sprzętami oraz dużą wyspą kuchenną z głębokimi szufladami, płytą indukcyjną i wysuwanym z blatu pochłaniaczem. W sypialni znajduje się pojemna szafa. Meble łazienkowe zostały wykonane na wymiar, dzięki czemu pomieszczą wiele rzeczy. Dzięki dużym oknom mieszkanie jest widne i słoneczne. We wszystkich oknach zamontowane są bambusowe żaluzje na wymiar. Dodatkowo, w mieszkaniu jest klimatyzacja. Plusem jest ponadstandardowa wysokość pomieszczeń- 275cm. 
Miejsce parkingowe mieści się przy windzie na poziomie -1. Jest ono dodatkowo płatne- 60 000 zł.
Nie jestem zainteresowany kontaktem z biurami nieruchomości. 
Zainteresowanych proszę o kontakt telefoniczny.</t>
  </si>
  <si>
    <t>https://www.otodom.pl/pl/oferta/przestronne-mieszkanie-na-zoliborzu-artystycznym-ID4oHSq</t>
  </si>
  <si>
    <t>4oHSq</t>
  </si>
  <si>
    <t>Mieszkanie osiedle Platan z miejscem postojowym</t>
  </si>
  <si>
    <t>ul. Wojska Polskiego, Świnoujście, zachodniopomorskie</t>
  </si>
  <si>
    <t>Sprzedam mieszkanie na osiedlu Platan gotowe do zamieszkania . Mieszkanie w pełni wyposażone . Do mieszkania przynależy miejsce postojowy w podziemnym garażu dodatkowo  płatne w kwocie 70000 tyś .</t>
  </si>
  <si>
    <t>https://www.otodom.pl/pl/oferta/mieszkanie-osiedle-platan-z-miejscem-postojowym-ID4iTEM</t>
  </si>
  <si>
    <t>4iTEM</t>
  </si>
  <si>
    <t>KREDYTUJEMY Słoneczne Wzgórze M26 B2 52,93m2</t>
  </si>
  <si>
    <t>ul. Ełcka, Olecko, Olecko, olecki, warmińsko-mazurskie</t>
  </si>
  <si>
    <t>Oferta dotyczy mieszkania na nr 26 Etap B2 (52,93m2) w cenie 5300zł/m2
 WRZESIEŃ  2023
Nie dostałeś kredytu w Banku.Przyjdź skredytujemy  Cię sami bez żadnych prowizji i na stałym oprocentowaniu.  Nowa inwestycja Słoneczne Wzgórze ul.Ełcka Olecko  -nowoczesna technologia -duże przestronne balkony ze szklaną balustradą -okna trzyszybowe  w kolorze winchester - cichobieżne windy - komórka lokatorska w cenie mieszkania -osiedle zamknięte -duży zagospodarowany teren -plac zabaw -duże nasłonecznienie  Zapraszam do skorzystania z oferty.  Wszystkie informacje pod tel. 504 919 923  Treść niniejszego ogłoszenia nie stanowi oferty handlowej w rozumieniu art. 66 Kodeksu Cywilnego Dane w nim zawarte mają jedynie charakter informacyjny i mogą ulec zmianie..</t>
  </si>
  <si>
    <t>https://otodom.pl/pl/oferta/kredytujemy-sloneczne-wzgorze-m26b252-93m2-5200-m2-ID4ec9l</t>
  </si>
  <si>
    <t>4ec9l</t>
  </si>
  <si>
    <t>Twoje nowe 3 pokojowe w świeżej inwestycji</t>
  </si>
  <si>
    <t>Oferta deweloperska, kupujący ne płaci 2% PCCZalasewo w gminie Swarzędz!Na sprzedaż 3 pokojowe mieszkanie na I piętrze o powierzchni 57,76 m2 w 3 piętrowym budynku.Na mieszkanie składa się salon z wyjściem na balkon, kuchnia, 2 sypialnie, łazienka i przedpokój. Na terenie osiedla będzie duży parking ogólnodostępny dla mieszkańców oraz tereny zielone i place zabaw.To nowo powstające osiedle posiadać będzie własne centralne ogrzewanie, które rozliczane będzie w czynszu.Z Zalasewa do Poznania dostaniemy się autem w około 10-15 minut. Dostępne są również połączenia autobusowe.W niedalekim sąsiedztwie osiedla znajduje się nowa szkoła podstawowa oraz gimnazjum, a także przedszkola publiczne, prywatne i kluby malucha. Najbliższe szkoły średnie są w Swarzędzu.Przychodnie NFZ oraz gabinety specjalistyczne również odnajdziemy w Swarzędzu oddalonym o 5 minut drogi autem, gdzie dostępna jest również pełna infrastruktura usługowa oraz handlowa.Aby zaoszczędzić Państwa czas i zapewnić profesjonalne wykończenie wnętrz jest możliwość skorzystać z usługi wykończenia pod klucz wybierając wzory z dostępnych pakietów i uzgadniając wszystko z projektantem.  W ofercie mamy również mieszkania 3 pokojowe w bardzo korzystnych cenach.Wszystkie mieszkania oddane zostaną do użytku w kwietniu 2022 roku.Zapraszam do kontaktu, udzielę wszelkich informacji! Pośrednik odpowiedzialny zawodowo za wykonanie umowy pośrednictwa: Tomasz Kucharczyk - Pośrednik (licencja nr: 26395)-Przedstawiona oferta cenowa ma charakter informacyjny i nie stanowi oferty handlowej w rozumieniu Art. 66 par.1 Kodeksu Cywilnego.Firma prowadzona pod nadzorem licencjonowanego pośrednika.</t>
  </si>
  <si>
    <t>https://otodom.pl/pl/oferta/twoje-nowe-3-pokojowe-w-swiezej-inwestycji-ID4hRdn</t>
  </si>
  <si>
    <t>4hRdn</t>
  </si>
  <si>
    <t>Sprzedaż mieszkania! Ulica Podwisłocze!!</t>
  </si>
  <si>
    <t xml:space="preserve">Good Life Nieruchomości prezentuje Państwu na sprzedaż trzypokojowe mieszkanie o powierzchni 64,65 m2 przy ulicy Podwisłocze na osiedlu Nowe Miasto. Nieruchomość znajduje się na czwartym piętrze.Układ pomieszczeń:- salon (z wyjściem na balkon),- pok&amp;oacute;j,- pok&amp;oacute;j,- kuchnia,- łazienka,- toaleta,- przedpok&amp;oacute;j.Do mieszkania przynależy balkon, piwnica oraz w&amp;oacute;zkownia.Niezwykłym atutem mieszkania jest lokalizacja w jakiej się znajduje, spokojna okolica, szybki dojazd do wszystkich części miasta. W bliskiej odległości znajdują się przystanki komunikacji miejskiej, pełna infrastruktura, galeria Millenium Hall, w okolicy szkoła, przedszkole oraz uczelnia. Ogrzewanie i woda jest z sieci miejskiej, parking pod blokiem jest og&amp;oacute;lnodostępny.Status prawny: mieszkanie sp&amp;oacute;łdzielczo własnościowe bez żadnych obciążeń.Czynsz: około 800 zł + prąd + gazCena sprzedaży: 479 000 złZa sprzedaż nieruchomości pobieramy prowizję! Zapraszamy do kontaktu z Naszym biurem! Agent odpowiedzialny: Natalia SłowikTel.: +4████████0 726e-mail.: -Good Life Real Estate presents for sale a three-room apartment with an area of 64.65 sqm at Podwisłocze Street in the New Town neighborhood. The property is located on the fourth floor.Arrangement of rooms:- living room (with access to the balcony),- room,- room,- kitchen,- bathroom,- toilet,- hallway.The apartment includes a balcony, a basement and a trolley room.A remarkable advantage of the apartment is the location in which it is located, a quiet neighborhood, quick access to all parts of the city. In close proximity there are public transport stops, full infrastructure, Millenium Hall gallery, in the vicinity of the school, kindergarten and university.Heating and water is from the municipal network, parking under the block is available to the public.Legal status: cooperative ownership apartment without any encumbrances.Rent: about 800 PLN + electricity + gasSale price: 479 000 PLNWe charge a commission for the sale of real estate!We invite you to contact our office!Agent in charge: Natalia SłowikTel: +4████████0 726E-mail: Pośrednik odpowiedzialny zawodowo za wykonanie umowy pośrednictwa: Natalia Słowik (licencja nr: 28884) </t>
  </si>
  <si>
    <t>https://otodom.pl/pl/oferta/sprzedaz-mieszkania-ulica-podwislocze-ID4ktMl</t>
  </si>
  <si>
    <t>4ktMl</t>
  </si>
  <si>
    <t>Kawalerka z ogródkiem Gumieńce/Warzymice/Przecław</t>
  </si>
  <si>
    <t>Ostoja, Kołbaskowo, policki, zachodniopomorskie</t>
  </si>
  <si>
    <t>Kawalerka położona w bardzo atrakcyjnej lokalizacji na Osiedlu Harmonii w bliskiej okolicy Warzymic, Przecławia... Przejścia granicznego Kołbaskowo. Świetnie zagospodarowane osiedle z dużą ilością miejsc postojowych oraz z dużą przestrzenią pomiędzy budynkami. Mieszkanie słoneczne o bardzo funkcjonalnym rozkładzie gdzie można świetnie zagospodarować aneks kuchenny z salonem o pow. 25,07m2 z którego wychodzimy na ogródek o pow. 24m2 ( miejscem na odpoczynek oraz jadalnię) i aneks sypialniany. Przedpokój o pow. 40,09m2  z miejscem na dużą szafę, łazienka z toaletą o pow. 3,54m2. Własna aranżacja mieszkania daje nam możliwość wykończenia pod swój gust i standard.Serdecznie polecam i zapraszam na prezentację! Przedstawiona oferta cenowa ma charakter informacyjny i nie jest ofertą handlową w rozumieniu artykułu 66 par. 1 Kodeksu Cywilnego. Oferta została sporządzona na podstawie oświadczenia oraz przedłożonych dokumentów przez Właściciela. Najlepsze oferty!Najlepsze ceny! Oferta wysłana z programu dla biur nieruchomości ASARI CRM ()</t>
  </si>
  <si>
    <t>https://otodom.pl/pl/oferta/kawalerka-z-ogrodkiem-gumience-warzymice-przeclaw-ID4k25I</t>
  </si>
  <si>
    <t>4k25I</t>
  </si>
  <si>
    <t>Dom w Chełmie Śląskim na sprzedaż. REZERWACJA</t>
  </si>
  <si>
    <t>Chełm Śląski, Chełm Śląski, bieruńsko-lędziński, śląskie</t>
  </si>
  <si>
    <t>W ofercie przedstawiamy Państwu ładny, zadbany dom jednorodzinny w Chełmie Śląskim.
LOKALIZACJA:Oferowany dom na sprzedaż znajduje się w Chełmie Śląskim przy ul. Chełmskiej, w odległości około 25 minut samochodem od centrum Katowic czy 20 minut do centrum Tychów. Ok. 10 min jazdy samochodem tereny przemysłowe oraz duże zakłady pracy m.in. Hale i magazyny w Mysłowicach-Kosztowach, GLP Lędziny, Fiat oraz Lear w Tychach czy KWK Ziemowit w Lędzinach. W pobliżu również sklepy spożywcze, szkoła czy Zalew Dziećkowice ze strefą gastronomiczna, polem kempingowym oraz Yacht Clubem Opty.
BUDYNEK:Dom o powierzchni użytkowej 200 m2 znajduje się na działce o powierzchni 1300 m2. Dojazd do domu z drogi publicznej, asfaltowej. Teren jest ogrodzony. Dom został wybudowany w latach 60 z cegły. Okna plastikowe w całym domu. Dach pokryty papą i gontem bitumicznym. Termomodernizacja w 2015 roku ściany budynku ocieplone styropianem 10cm. Pomimo swoich lat dom ma przemyślany układ pomieszczeń, który daje poczucie przestrzeni i wyraźnego podziału na część dzienną i wypoczynkową, które można dowolnie zaaranżować.
DOM:Na parterze znajdują się przedpokój, otwarta kuchnia z meblami w zabudowie, przestronny salon z kominkiem oraz strefą jadalną, garderoba oraz łazienka z prysznicem. 
Na piętrze znajdują się 3 pokoje oraz duża łazienka z wanną z hydromasażem, ogrzewaniem podłogowym oraz prysznicem wolnostojącym z deszczownicą. W dwóch sypialniach znajduję się klimatyzacja.
Zadbany ogród w części wybrukowany z miejscem na zaparkowanie samochodów oraz z teren zielony z miejscem do wypoczynku czy usadowienia basenu.
Nieruchomość w dobrym stanie do zamieszkania od zaraz, jedynie kilka pokoi wymaga odświeżenia/odmalowania.
Piwnica:
Cały dom jest podpiwniczony, ogrzewanie na piec z podajnikiem na pellet lub ekogroszek, cała instalacja C.O  miedziana, instalacja wod-kan plastikowa. 
CENA: 649.000zł
ZAPRASZAMY DO KONTAKTU</t>
  </si>
  <si>
    <t>https://otodom.pl/pl/oferta/sprzedam-zadbany-dom-w-chelmie-slaskim-ID4mjfk</t>
  </si>
  <si>
    <t>4mjfk</t>
  </si>
  <si>
    <t>Unikalne mieszkanie z widokiem na rzękę Warta 0%</t>
  </si>
  <si>
    <t>        Uwaga, mieszkanie unikalne z bezpośrednim widokiem na rzekę Warta! Ostatnie na inwestycji!
Zapraszam na prezentację (po wcześniejszym umówieniu), żeby przekonać się jakie piękne i funkcjonalne mieszkanie.
✔ BRAK PROWIZJI
✔ BRAK PCC
             Jedyny w swoim rodzaju Apartament  o powierzchni. 78,5 mkw mieszczący się na wyższym parterze, z przepięknym widokiem na rzekę Warta
☛ duży piękny balkon otaczający mieszkanie o powierzchni 31,34m2
☛ bezpośrednio widok z salonu, pokojów, oraz balkonu na piękno naturalnej przyrody: rzekę Warta z pięknym drzewostanem, daje niesamowity komfort mieszkania
☛ dodatkowo taras do wyłącznego korzystania dla właściciela o wielkości 35m2 (nie jest zaznaczony na rzucie)
☛ zamieszkaj w Poznaniu, i poczuj piękno przyrody ze swojego nowego mieszkania
             Kameralna inwestycja, która powstaje na terenie dzielnicy Starołęka w Poznaniu. Lokalizacja inwestycji nieopodal rzeki Warta pozwala w pełni czerpać z terenów rekreacyjnych. Okolica jest dobrze skomunikowana ( blisko przystanek autobusowy, kawałek dalej pętla tramwajowa na Starołęce). Szybki dojazd do A2 oraz S a w pobliżu znajduje się wszystko czego potrzeba by komfortowo mieszkać.
Osiedle składa się z czterech budynków o minimalistycznej, czystej i eleganckiej formie wzbogaconej okładziną w kolorze drewna. Na terenie osiedla zaaranżowana zostanie zielona strefa rekreacyjna do dyspozycji mieszkańców, plac zabaw.
Mieszkanie składa się :
Salon z aneksem kuchennym o metrażu 29,22mkw
Korytarza o metrażu 8,14 mkw
Toalety o metrażu 2,18 mkw
Dużej łazienki o metrażu 5,49 mkw
Dużej sypialni o metrażu  15,33 mkw
Sypialni o metrażu 9,12 mkw
Pokoju o metrażu 8,84 mkw
Mieszkania o zróżnicowanym metrażu – od 40 do 78 mkw. i funkcjonalnych układach – od 2 do 4 pokoi. Dopytaj o inne mieszkania. Każde mieszkanie wyposażone w wideodomofon.
Możliwość dokupienia komórki lokatorskiej od 3,5 mkw do 5,5 mkw
Miejsce w hali garażowej dostępne także z komórką lokatorską, lub samodzielny garaż stanowiskowy. Ponadto na życzenie klienta możliwość zamontowania rolet zewnętrznych, klimatyzacji , czy wykończenia pod klucz. 
Zapraszam do kontaktu!
Andrzej Nowakowski
Licencja Polskiej Federacji Nieruchomości nr 28641
tel: 721404015
Umów się na prezentację!
Pomogę również bezpłatnie w zakresie otrzymania najlepszej oferty kredytu hipotecznego, oraz polecenia ekipy remontowo budowlanej, oraz projektanta wnętrz.
bez żadnych opłat i prowizji od kupującego.
Zdjęcia wnętrz to wizualizacje.
„Powyższa oferta ma charakter informacyjny i nie stanowi oferty handlowej w rozumieniu art. 66 §1 Kodeksu Cywilnego”</t>
  </si>
  <si>
    <t>https://otodom.pl/pl/oferta/unikalne-mieszkanie-z-widokiem-na-rzeke-warta-0-ID4haF1</t>
  </si>
  <si>
    <t>4haF1</t>
  </si>
  <si>
    <t>Trzy pokojowe po remoncie z wyposażeniem w Gdańsku</t>
  </si>
  <si>
    <t>Chełm, Gdańsk, pomorskie</t>
  </si>
  <si>
    <t>Po remoncie - pełna własność - blisko centrum
ATUTY:Trzypokojowe mieszkanie, po generalnym remoncie położone w spokojnej okolicy.Na wyciągnięcie ręki wszystko, czego potrzeba do codziennego życia - pełna baza handlowo-usługowa oraz komunikacyjna. W okolicy również piękne tereny zielone idealne do spacerowania i rekreacji na świeżym powietrzu. W cenie pełne wyposażenie lokalu!Mieszkanie świetnie sprawdzi się dla rodziny lub pod wynajem.
LOKALIZACJA:Nieruchomość znajduje się przy ulicy Emilii Hoene (dzielnica Chełm). Dostęp do bogatego zaplecza handlowo-usługowego, placówek oświatowych, medycznych oraz terenów zielonych, czyni to miejsce idealnym dla rodzin z dziećmi lub osób chcących zamieszkać w przyjaznej okolicy niedaleko centrum miasta. Znajdziemy tu chociażby sklepy spożywcze (Lidl, Biedronka), pasaż handlowy, stacje paliw, punkty gastronomiczne, Rossmann, Pepco, apteki, oddziały banków, pocztę, szkoły, przedszkola, kościół, Park Oruński itp.Miejsce doskonale skomunikowane z całym Gdańskiem. Bliskość pętli autobusowo-tramwajowej, oddalonej od nieruchomości o 15-minutowy spacer. Do najbliższego przystanku autobusowego zaledwie 2 minuty pieszo. Bardzo dobry dojazd do Obwodnicy Trójmiasta umożliwia szybką i sprawną podróż samochodem m. in. do Gdyni, czy połączenie z autostradą A1.
MIESZKANIE:Nieruchomość o powierzchni 64 m2, mieszcząca się na ostatnim piętrze 4-piętrowego budynku. W jej skład zalicza się:- salon z wyjściem na loggię,- sypialnia nr 1,- sypialnia nr 2,- kuchnia,- łazienka,- osobne WC,- przedpokój,
- piwnica.
Mieszkanie po generalnym remoncie, wykończone w wysokim standardzie, przy użyciu najwyższej jakości materiałów, z pomocą projektantki. Mieszkanie jest dwustronne i środkowe. Pokoje są ustawne, co powoduje, że lokal jest bardzo przestronny.
W cenie zawarte jest pełne umeblowanie i wyposażenie mieszkania!
BUDYNEK:4-piętrowy blok. Wejście do klatki schodowej zabezpieczone jest domofonem. Klatka schodowa jest czysta i zadbana. Pod budynkiem znajdują się ogólnodostępne miejsca parkingowe. 
Dla zainteresowanych wysyłamy film ze spaceru po mieszkaniu.</t>
  </si>
  <si>
    <t>https://otodom.pl/pl/oferta/sprzedam-mieszkanie-gdansk-ID4mloH</t>
  </si>
  <si>
    <t>4mloH</t>
  </si>
  <si>
    <t>Mieszkanie Oświęcim</t>
  </si>
  <si>
    <t>Z przyjemnością prezentuje Państwu urokliwe, jasne mieszkanie na osiedlu Chemików w Oświęcimiu. Lokal znajduje się na drugim piętrze w trzykondygnacyjnym bloku „starego budownictwa”, jego powierzchnia wynosi 47,44 m2.. Budynek niedawno został ocieplony wraz ze strychem.Mieszkanie składa się z dwóch pokoi, kuchni oraz łazienki, posiada też balkon. Wszystkie pomieszczenia są przestronne i ustawne, co oczywiście jest jego bardzo dużą zaletą. Większą przestrzeń zapewniają także przesuwne drzwi. W jednym z pokoi znajduje się bardzo pojemna szafa wykonana na wymiar. W mieszkaniu są drewniane podłogi, ściany w pokojach po odświeżeniu.Lokal mieści się blisko głównej ulicy, przy bloku  przystanek komunikacji miejskiej, wokół ścieżki rowerowe, parkingi, co pozwala na swobodny transport po mieście.Niedaleko znajduje się obwodnica, co umożliwia szybki dojazd, z łatwością dostaniemy się także do innych miast, takich jak na przykład: Wadowice, Tychy oraz Chrzanów.Wokół sklepy spożywcze i nie tylko, supermarkety, kioski, apteki, przychodnia zdrowia, wszystko z największych potrzeb codziennych jest w zasięgu ręki.W niedalekiej odległości znajduję się także szkoła podstawowa oraz ponadpodstawowa. Niedaleko kościół, parki, w tym jeden strzeżony, w którym znajdziemy miejsce do spacerów i odpoczynku, a w drugiej części wielki plac zabaw dla dzieci w każdym wieku. Nieopodal mieści się również skate park.W chłodniejsze dni skorzystać można z krytej pływalni ze zjeżdżalniami, krytego lodowiska, kina, które mieszczą się w niewielkiej odległości. Oświęcimskie Centrum Kultury także często organizuje ciekawe atrakcje takie jak: przyjęcia, imprezy, warsztaty, wystawy sztuki i inne.Do mieszkania przynależą również dwie piwnice, co pozwala na bezproblemowe i swobodne przechowywanie rowerów, narzędzi oraz innych potrzebnych przedmiotów. Korzystać także możemy z ocieplonego strychu.Miesięczny czynsz wraz z funduszem remontowym wynosi około 450 złotych.Nowi właściciele po zakupie mogą wprowadzić się natychmiast i cieszyć się swoim własnym lokum.W razie jakichkolwiek pytań zachęcam serdecznie do kontaktu:Grzegorz Ficek573 674 796Properton</t>
  </si>
  <si>
    <t>https://www.otodom.pl/pl/oferta/mieszkanie-oswiecim-ID4nuNQ</t>
  </si>
  <si>
    <t>4nuNQ</t>
  </si>
  <si>
    <t>Dwupoziomowe, taras 22 m.kw., 2 balkony</t>
  </si>
  <si>
    <t>ul. Kornela Makuszyńskiego, Karwiny, Gdynia, pomorskie</t>
  </si>
  <si>
    <t>Perfekcyjna wystawa okien na trzy strony świata: wschód - zachód - południe, z większością okien, tarasem i balkonami od strony południowej.
Rozplanowanie pomieszczeń jak w domku jednorodzinnym nadaje mieszkaniu wyjątkowy charakter.
Powierzchnia mieszkania w akcie notarialnym wyliczona zgodnie z normami budowlanymi, z pominięciem skosów na drugiej kondygnacji. Część powierzchni pod skosami niewliczona do metrażu, fizycznie daje znacznie większą przestrzeń użytkową.
Licząc oba poziomy po powierzchni podłogi otrzymamy 100 m.kw.
I poziom: hol otwarty na pokój dzienny, połączony z kuchnią ( łącznie ok. 36 m.kw.), łazienka z prysznicem, 1 pokój. Z pokoju dziennego wyjście na taras (ok. 22 m.kw.), oraz balkon.
II poziom: hol, duży pokój z wyjściem na balkon, garderoba, oraz łazienka z wanną. W razie potrzeby posiadania dwóch pokoi, pokój na tym poziomie jest łatwo podzielny na dwa mniejsze, a układ ścian w razie innych oczekiwań np. jeszcze większej przestrzeni pozwala również na znaczne powiększenie łazienki o garderobę i część holu.
Wykończenia pierwsze od wybudowania budynku, w pokoju dziennym podłoga naturale drewno, w pozostałych pokojach wykładziny dywanowe, drzwi wejściowe Dierre, wewnętrzne drewniane, okna PCV Schüco, dachowe Velux, mieszkanie mało używane.
Garaż i piwnica płatne dodatkowo 70.000 PLN - zakup obligatoryjny łącznie z mieszkaniem, cena łącznie 950.000 PLN (rozbicie ceny zastosowane z uwagi na przelicznik porównawczy ceny 1 m.kw. samego lokalu mieszkalnego).
Garaż posiada przejście na klatkę schodową, podjazd przed garażem przypisany notarialnie do garażu, pozwala na swobodne parkowanie auta przed garażem.
Budynek 5-lokalowy, na skraju osiedla przy lesie. Mała wspólnota z niskimi kosztami utrzymania, mieszkanie indywidualnie opomiarowane, c.o. i c.w. - lokalne, kotłownia gazowa w budynku. Budynek ogrodzony, furtka z domofonem, ładnie zagospodarowana przestrzeń przed domem, dużo zieleni, ławeczka.
LOKALIZACJA: Karwiny południowo - zachodnia dzielnica Gdyni, pomiędzy Małym a Wielkim Kackiem, wzdłuż lasów Trójmiejskiego Parku Krajobrazowego. 8 km do centrum Gdyni i 8 km do Sopotu, blisko stacji PKM Gdynia Karwiny. Osiedle z pełną infrastrukturą, publiczną.</t>
  </si>
  <si>
    <t>https://www.otodom.pl/pl/oferta/dwupoziomowe-taras-22-m-kw-2-balkony-ID4mNeo</t>
  </si>
  <si>
    <t>4mNeo</t>
  </si>
  <si>
    <t>Piękne mieszkanie przy galerii POSNANIA</t>
  </si>
  <si>
    <t>NOWE MIESZKANIE PRZY GALERII POSNANIA ORAZ RONDO RATAJE
Sprzedam nowoczesne, dwupokojowe mieszkanie w świetnej lokalizacji, w pobliżu Ronda Rataje i galerii handlowej Posnania. 
Całe mieszkanie zostało wykończone w najwyższym standardzie z dbałością o szczegóły i czeka na pierwszego właściciela.
Lokal mieszkalny ma łączną powierzchnię 32m2 i usytuowany jest na 4 piętrze, w bloku z windą. Mieszkanie składa się z pokoju dziennego wraz z aneksem kuchennym. Kuchnia w całości wykonana na zamówienie.  W mieszkaniu znajduje się osobna sypialnia, korytarz i łazienka. Łazienka została zaprojektowana w nowoczesnym stylu z najwyższej jakości materiałów. Z salonu znajduje się wyjście na duży balkon. W salonie została umieszczona piękna sofa wraz ze stolikiem i szafką tv. Mieszkanie składa się z:Pokoju dziennego z aneksem kuchennym i jadalniąSypialni                                                                                           
Łazienki                                                                                
Przedpokój
Do mieszkania przynależy miejsce postojowe w hali garażowej. Mieszkanie jest urządzone nowocześnie i w pełni umeblowane - meble prezentowane na zdjęciach zostały wykonane na wymiar i są już w cenie mieszkania. Lokal mieszkalny został wyposażony w energooszczędny sprzęt oraz oświetlenie (led). W kuchni znajduje się sprzęt agd w zabudowie: lodówka, płyta indukcyjna, piekarnik oraz zmywarka do naczyń. Mieszkanie jasne i przestronne, świetnie urządzone, znajdujące się w cichej i spokojnej okolicy. 
Mieszkanie znajduje się na nowym osiedlu zamkniętym. W bezpośrednim sąsiedztwie bloku znajduje się przystanek autobusowy (linie: 154, 190, 432, 501, 560, 220, 231), natomiast w odległości ok 800m zlokalizowane jest Rondo Rataje, gdzie jeździ duża ilość tramwajów i autobusów (dworzec autobusowy). Poza tym z mieszkania jest świetny dojazd drogą trzypasmową do autostrady.
Świetna lokalizacja, w bezpośrednim sąsiedztwie jeziora Malta i Wartostrady, w niedalekiej odległości Stary Rynek. 
W bezpośrednim sąsiedztwie galeria Posnania, a także inne  sklepy(biedronka, Lidl, żabka itd.), jak również żłobki, przedszkola i szkoły.Czynsz wynosi aktualnie tylko 300zł(zawiera wszystkie opłaty poza energią elektryczną)
Dodatkowo płatne jest miejsce postojowe w hali garażowej: 40 000 zł 
W mieszkaniu nigdy nikt nie mieszkał i czeka na pierwszego właściciela
Mieszkanie również świetnie się sprawdzi jako inwestycja krótka lub długoterminowa. </t>
  </si>
  <si>
    <t>https://www.otodom.pl/pl/oferta/piekne-mieszkanie-przy-galerii-posnania-ID4ozFY</t>
  </si>
  <si>
    <t>4ozFY</t>
  </si>
  <si>
    <t>Duży dom dla rodziny</t>
  </si>
  <si>
    <t>To jest propozycja dla ludzi z wyobraźnią. Takich, którzy nie boją się remontów i kochają domy "kostki".Dla takich, którzy doceniają uroki małych miasteczek. Którzy lubią bliskość lasu i potrafią docenić codzienny spokój.Czy jest to propozycja dla Ciebie?Dom w Woli Filipowskiej. Nie w ścisłym centrum, ale też nie na zupełnych obrzeżach. Tak w sam raz.Klasyczna "kostka", w której tak naprawdę użytek możesz zrobić aż z 4 poziomów, choć tylko 2 mają status mieszkalny. Masz więc zaledwie 125m2 powierzchni użytkowej, ale aż 278 całkowitej - a tutaj... sky is the limit!Ale po kolei:PIWNICA: standardowa kotłownia z piecem węglowym. To podstawa. Ale masz tu także doprowadzony prąd, wodę (jest zamontowany prysznic i toaleta) i wykonane ogrzewanie. Pomyśl tylko, co możesz tu wyczarować: saunę, jacuzzi, stół do ping ponga... Większość pomieszczeń ma wysokość 1,85m, ale jedno zostało powiększone do wysokości 2,00m i wyposażone w duże okno. Jest w tej chwili miejscem pracy i taki charakter możesz zachować - pomieszczenie jest ciepłe, dobrze doświetlone i ustawne.PARTER: dwa pokoje, kuchnia, łazienka, spiżarka (w planie osobne WC). I spory hall. Ten poziom wymaga remontu (standard lat 60/70), ale był do niedawna użytkowany, utrzymany jest więc w dobrym stanie. To tu możesz stworzyć dzienną część domu - salon, kuchnię, jadalnię, pokój dla gości... a może masz inny pomysł?PIĘTRO: to cześć domu w najlepszym stanie. W zasadzie możesz tu mieszkać podczas prowadzenia adaptacji pozostałych pomieszczeń. Remont miał miejsce kilkanaście lat temu. Masz tu do dyspozycji dwa duże pokoje, przestronną łazienkę i naprawdę wygodną kuchnię. Do tego dwa balkony. Kominek z rozprowadzonym nawiewem już na Ciebie czeka, a o ciepło stóp nie musisz się martwić dzięki już gotowemu ogrzewaniu podłogowemu w łazience i kuchni. To tu możesz stworzyć przestrzeń rodzinną - wygodne sypialnie, garderobę, pokój kąpielowy....STRYCH: duża, otwarta przestrzeń z potencjałem. W stanie surowym, ale wyposażona w instalację elektryczną. Czy widzisz tu już ogromny "przydasiownik"? A może raczej pokoje dzieci albo przestrzeń do relaksu?Rozwiń swoją wyobraźnię i stwórz z tego domu Twoje Miejsce Na Ziemi!Wokół domu masz zagospodarowane podwórko oraz budynek gospodarczy - w tej chwili jest warsztatem, może jednak z powodzeniem stać się garażem, spiżarką, budynkem gospodarczym... Ma też coś wyjątkowego: prawdziwą ziemiankę, w której przez całą zimę przechowasz ekologiczne warzywa od lokalnych rolników!Do tego wiata na samochód, przydomowa wędzarnia, gotowy plac zabaw dla dzieci, miejsce na trampolinę, grilla, stół ogrodowy.Doceń potencjał tego domu, przyjdź i zobacz go na żywo - zadzwoń i umów się na wizytę! Jesteś Pośrednikiem? Przyjdź koniecznie - to może być oferta dla Twojego Klienta! Zapraszam do współpracy!</t>
  </si>
  <si>
    <t>https://www.otodom.pl/pl/oferta/duzy-dom-dla-rodziny-ID4kCt4</t>
  </si>
  <si>
    <t>4kCt4</t>
  </si>
  <si>
    <t>2 pokojowe mieszkanie gotowe do wprowadzenia</t>
  </si>
  <si>
    <t>ul. Piotra Skargi, Piekary Śląskie, śląskie</t>
  </si>
  <si>
    <t>Witam,
Oferuję mieszkanie z balkonem w cichej, spokojnej okolicy w centrum Piekar Śląskich z dala od ruchliwej ulicy. Dodatkowym atutem są mili i bardzo uprzejmi sąsiedzi.
Mieszkanie składa się z dwóch pokoi: salonu i sypialni, oddzielnej kuchni, przedpokoju i łazienki. Całość po generalnym remoncie. Do dyspozycji nowych właścicieli jest suszarnia oraz piwnica, w której drzwi zostały dodatkowo zabezpieczone.
Blok jest ocieplony, dlatego też koszty ogrzewania nie są wysokie. Przestronna i czysta klatka schodowa. W lipcu 2023 założona została klimatyzacja.
Mieszkanie gotowe do wprowadzenia. Cena zawiera wszystkie meble oraz sprzęt AGD, za wyjątkiem ekspresu ciśnieniowego oraz oczywiście książek, ozdób oraz rzeczy osobistych. W okolicy znajduje się szkoła, przedszkole, Lidl, Kalwaria, przystanek autobusowy oraz przychodnia zdrowia.
Serdecznie zapraszamy do kontaktu i oględzin.
Do zobaczenia : )
Cena 279 000</t>
  </si>
  <si>
    <t>https://www.otodom.pl/pl/oferta/2-pokojowe-mieszkanie-gotowe-do-wprowadzenia-ID4oCih</t>
  </si>
  <si>
    <t>4oCih</t>
  </si>
  <si>
    <t>Stylowe 2 pokoje z pralnią i garderobą w centrum</t>
  </si>
  <si>
    <t>ul. Broni, Radom, mazowieckie</t>
  </si>
  <si>
    <t>Z przyjemnością prezentujemy unikalną ofertę mieszkania na sprzedaż przy ul. Broni w Radomiu, które obecnie przechodzi kompleksowy remont. To idealna okazja dla tych, którzy chcą wprowadzić się do nowoczesnego i dopracowanego mieszkania bez konieczności angażowania się w proces remontowy.  Opis nieruchomości:✦ Lokalizacja: Radom, ul. Broni 2.✦ Metraż: 55,75 m2✦ Piętro: 3 z 4✦ Układ: salon + sypialnia + kuchnia z jadalnią + łazienka + garderoba + pralnia  Opis Prac Remontowych:✦ Wymiana instalacji elektrycznej i   hydraulicznej, zapewniając najwyższą jakość i bezpieczeństwo. ✦ Montaż zabudowy na wymiar, starannie   wykonanej przez doświadczonego stolarza. ✦ Instalacja nowego sprzętu AGD, aby zapewnić   komfort codziennego użytkowania. ✦ Prace obejmują także równanie ścian i inne   drobiazgi, które sprawią, że mieszkanie będzie gotowe do zamieszkania.   Oględziny w Trakcie Remontu:✦ Zapraszamy do osobistego obejrzenia   mieszkania w trakcie trwających prac remontowych. ✦ Oferujemy możliwość zobaczenia, jak nasi   fachowcy pracują, jak układane są instalacje, a także jak dbamy o detale   każdego etapu remontu.Planowane Zakończenie Remontu:✦ Prace remontowe mają zakończyć się pod koniec lutego 2024 roku.   Dodatkowe Informacje:✦ Nasza firma specjalizuje się w   przygotowywaniu nowych mieszkań na rynku wtórnym. ✦ Wszystkie prace są wykonywane z najwyższą   dbałością o szczegóły, aby zapewnić mieszkaniom na rynku wtórnym nowe   życie. To unikatowa okazja, aby nabyć mieszkanie, które spełni najwyższe standardy nowoczesności i estetyki. Skontaktuj się z nami, aby umówić się na osobiste spotkanie i dowiedzieć się więcej o tej nieruchomości, która wkrótce stanie się dla Ciebie nowym domem.Serdecznie zapraszam na prezentacjęKonrad KądzielaKancelaria Nieruchomości KK Propertiestel. 511-892-675Oferta wysłana z programu dla biur nieruchomości ASARI CRM ()</t>
  </si>
  <si>
    <t>https://www.otodom.pl/pl/oferta/stylowe-2-pokoje-z-pralnia-i-garderoba-w-centrum-ID4oJyY</t>
  </si>
  <si>
    <t>4oJyY</t>
  </si>
  <si>
    <t>Sprzedam nowy dom z halą garażowa i dużą działką!</t>
  </si>
  <si>
    <t>Prezentujemy Państwu piękny nowy dom z dużą halą garażową usytułowanego na dużej działce o powierzchni 1500 m2 na ul. Teresy Remiszewskiej w Międzychodzie. Nieruchomość docelowo jest przygotowana do prowadzenia działalności gospodarczej, lecz posiada także predyspozycje dla innych inwestycji oraz możliwość przekształcenia w dwa oddzielne mieszkania. Jest to zabudowa dla osób, które wykorzystają swoją kreatywność i podkreślą piękno tej nieruchomości. Nieruchomość dostępna od zaraz skierowana dla przedsiębiorców, którzy chcą rozwijać dotychczasowy biznes lub zacząć pracować na własny rachunek.POŁĄCZENIE FOTOWOLTAIKI Z POMPĄ CIEPŁA, BĘDZIE CZYNIĆ BUDYNEK BARDZO EKONOMICZNYM !Informacja o nieruchomości: Nieruchomość znajduje się w pięknej okolicy na ustawnej działce w kształcie prostokąta o łącznej powierzchni 1500 m2 ogrodzoną betonowym płotem, pozbrukiem i trzema bramami wjazdowymi na pilota. Na przedmiotowej działce znajduje się dom z halą garażową składający się z dwóch kondygnacji (PARTER, I PIETRO) o łącznej powierzchni 386 m2. Dolna kondygnacja składa się z hali garażowej wykończonej pod klucz z trzema bramami wjazdowymi mieszczącej się swobodnie 6 samochodów osobowych. Brama od strony podwórka jest wysoka ze zmieszczą się również auta dostawcze typu bus wtedy 2 busy oraz 4 osóbki mogą wjechać z każdej indywidualnej bramy. Dużym atutem jest, że na tym samym poziomie znajduje się biuro, łazienka, kuchnia i klatka schodowa, z której można wejść do garażu i wyjść na zewnątrz budynku. Wszystko jest wykończone na wysokim standardzie do prowadzenia działalności gospodarczej. Pierwsza kondygnacja to część mieszkalna, której stan jest surowy zamknięty, składający się z dużego salonu z aneksem kuchennym, trzema sypialniami oraz dwoma łazienkami. Dodatkowo na zewnątrz posiadamy dwa tarasy z widokiem na panoramę miasta. Stan budynku: Nieruchomość posiada instalację fotowoltaiczną o mocy 9,9 kWp, co daje możliwość ogrzewania na przykład pompą ciepła, która czyni budynek bardzo ekonomicznym. Zawiera instalacje elektryczną oraz hydrauliczną z ogrzewaniem podłogowym (maty grzewcze) w dolnej kondygnacji. Na parterze również znajduje się profesjonalny warsztat samochodowy o łącznej powierzchni 152 m2, który jest ogrzewany lub chłodzony klimatyzacją kasetonową. Ściany wewnątrz są pokryte tynkiem mozaikowym, a podłoga wykończona betonem przemysłowym z wyżłobionym kanałem o długości 5 metrów. Hala garażowa zawiera trzy bramy wjazdowe sterowane aplikacją. Dwie bramy znajdują się od frontu budynku, a trzecia od strony podwórka. tyłu budynku znajduje się ogromny parking wraz z dużym blaszanym garażem. Na parterze znajduje się biuro, do którego można dostać się przez garaż oraz kuchnia wyposażona w aneks kuchenny, lodówkę, mikrofalówkę oraz zlew. Na wprost znajduję się łazienka z kabiną prysznicową oraz oknem. W tym samym pomieszczeniu znajduje się podgrzewacz wody marki Kospel. Wszystkie wyżej wymienione pomieszczenia są pokryte płytkami i zostały wykończone w wysokim standardzie. W drodze na pierwsze piętro przechodzimy przez dużą klatkę schodową, która prowadzi nas do części mieszkalnej na piętrze. Po wejściu na pierwsze piętro wchodzimy do wielkiego salonu z aneksem kuchennym z trzema wyjściami na taras. Po lewej stronie znajdują się trzy sypialnie, toaleta oraz przestronna łazienka z wyjściem na taras frontowy. Informacje o budynku: Budynek został wybudowany w 2023 roku z betonu komórkowego firmy Ytong o grubości 48 cm. Nieruchomość została otynkowana wysokiej jakości materiałami, dodatkowo zostało dołożone 5 cm styropianu na ściany zewnętrze co przewyższa obowiązujące normy. Stropy w budynku są betonowe oraz drewniane. Na zewnątrz została wyprowadzona instalacja elektryczna do oświetlenia i systemu do monitoringu. W budynku znajdują się trzyszybowe okna marki Oknoplast z zabezpieczeniem poprzez rolety antywłamaniowe elektryczne z silnikami Somfy. Elewacja zewnętrzna jest w kolorze antracyt, natomiast wewnątrz to dąb bielony. Górna cześć inwestycji posiada instalację hydrauliczną i elektryczną oraz tynki maszynowe. Pozostaje wykończenie i dobór ogrzewania. Przed budynkiem znajduje się duża liczba miejsc parkingowych. Dużym walorem jest to, że cała woda opadowa odprowadzana jest do podziemnego zbiornika na deszczówkę z zamontowaną pompą, którą można wykorzystać do podlewania ogrodu.Rozmieszczenie pomieszczeń: PARTER:- Hala garażowa o powierzchni 152 m2 (trzy bramy)- Klatka schodowa z oknami oraz wyjściem na zewnątrz o powierzchni 25 m2- Łazienka z wc i kabiną prysznicową o powierzchni 2 m2- Aneks kuchenny z wyposażeniem o powierzchni 2,2 m2- Biuro o powierzchni 12 m2I PIĘTRO: - Sypialnia o powierzchni 14,3 m2- Pokój dla dziecka o powierzchni 14,3 m2- Pokój dla gości o powierzchni 15,3 m2- Duża łazienka z wc o powierzchni 14,8 m2- Toaleta z wc o powierzchni 3,5 m2- Przestronny salon o powierzchni 65 m2- Duży taras o powierzchni 36 m2- Drugi taras frontowy o powierzchni 18 m2RZUTY W OFERCIE SĄ PODGLĄDOWE!  Stan prawny: Nieruchomość należy do dwóch współwłaścicieli, a księga wieczysta założona jest na grunt. Istnieje możliwość wsparcia się kredytem hipotecznym.Opłaty:Koszty związane z użytkowaniem budynku to tylko opłaty eksploatacyjne m.in prąd i woda według zużycia. Dodatkowo płatny jest podatek od nieruchomości.JEST MOŻLIWOŚĆ POŁĄCZENIA FOTOWOLTAIKI Z POMPĄ CIEPŁA!Lokalizacja:Budynek znajduję się w bliskiej odległości od centrum w Międzychodzie przy wjeździe na ul. Remiszewskiego znajduje się przychodnia i w bliskiej odległości sklep Biedronka oraz PSB Mrówka. Jednocześnie nieruchomość zlokalizowana jest blisko natury lasy i jezioro. Istnieję możliwość aktywnego spędzania czasu poprzez jazdę na rowerze lub spacery. W okolicy znajdują się wszystkie możliwe udogodnienia: szkoła, przedszkole, restauracje, sklepy, siłownia, kościół, firmy, usługi, stacja paliw, przystanek autobusowy oraz dworzec PKP. Międzychód ma bezpośredni wjazd na trasę DK24 i S3 łączący Pniewy z Gorzowem Wielkopolskim oraz bardzo dobry dojazd do trasy A2Zapraszam do kontaktu oraz prezentacji na żywo.Zuzanna Ptaszyńska Doradca ds. nieruchomości Współpracujemy z Kancelariami Notarialnymi z nami państwo mają duże rabaty u Notariuszy. Pomagamy w uzyskaniu kredytu współpracujemy ze sprawdzonym doradcą kredytowym, który chętnie odpowie na wszystkie pytania oraz bezpłatnie pomoże przy wyborze najbardziej korzystnego kredytu hipotecznego. Korzyści jakie przyniesie współpraca z naszym doradcą kredytowym: kompleksowa obsługa dokumentacji niezbędnych do kredytu i zakupu nieruchomości współpraca z wieloma bankami w Polsce ekspercka i aktualizowana wiedza o ofertach bankowych badanie zdolności kredytowej dostosowane do potrzeb klienta dyskrecja dyspozycyjnośćU NAS PAŃSTWO MOGĄ RÓWNIEŻ UBEZPIECZYĆ SWOJĄ NIERUCHOMOŚĆ !znajduje się przychodnia przy wjeździe do ulicy      Otwórz   </t>
  </si>
  <si>
    <t>https://otodom.pl/pl/oferta/sprzedam-nowy-dom-z-hala-garazowa-i-duza-dzialka-ID4maQb</t>
  </si>
  <si>
    <t>4maQb</t>
  </si>
  <si>
    <t>Kamienica * 2,8H * 2 Balkony * Widok * Parkiet</t>
  </si>
  <si>
    <t>Mam do zaoferowania fenomenalnie zlokalizowaną nieruchomość o powierzchni 63 m2, znajdującą się na warszawskiej Nowej Pradze - przy kultowym PLACU HALLERA!Mieszkanie mieści się na 5 piętrze (z 6) w kamienicy z lat 50-tych.Budynek jest prężnie zarządzany i przeszedł szereg prac remontowych ( nowoczesna winda, klatki, instalacje, obecnie prowadzony jest remont elewacji).W mieszkaniu na podłodze znajduje się odnowiony parkiet, wymienione zostały okna, a także piony wod-kan, instalacja elektryczna również jest nowego typu.Mieszkanie ma piękny widok na Plac Hallera oraz korony drzew Ogrodu Zoologicznego, jest świetnie nasłonecznione.W obecny skład M wchodzi:- przedpokój,- sypialnia,- salon,- druga sypialnia,- osobna i widna kuchniaDodatkowo:- 2 BALKONY- piwnicaIstnieje możliwość przekształcenia układu mieszkania ze względu na obecność ścian działowych!Wysokość: ~ 280 cmLOKALIZACJAMieszkanie doskonale skomunikowane, ciche w zielonej okolicy!W bliskiej odległości znajdziemy sklepy, restauracje, apteki, kafejki i bary, a także parki (Park Praski, ZOO)- 8 minut piechotą do METRA DWORZEC WILEŃSKI- 3 minuty do tramwajuSTAN PRAWNYOdrębna własność z KW, można posiłkować się kredytem - pomagamy w formalnościach!Dla konkretnych klientów cena do negocjacji*Jestem dostępny 7 dni w tygodniu.ZADZWOŃ TERAZ ZANIM KTOŚ BĘDZIE PIERWSZY!600 813 132Jan MikołajczukEkspert ds. NieruchomościThe Estate Warsaw</t>
  </si>
  <si>
    <t>https://otodom.pl/pl/oferta/kamienica-2-8h-2-balkony-widok-parkiet-ID4m6Zu</t>
  </si>
  <si>
    <t>4m6Zu</t>
  </si>
  <si>
    <t>Ustroń Zawodzie-nowe apartamenty 51m2, z ogródkiem</t>
  </si>
  <si>
    <t>KUPUJĄCY NIE PŁACI PROWIZJI !!!
Ustroń Zawodzie-nowe apartamenty 51 m2, parter z ogródkiem. Apartamenty w stanie developerskim.
Nowa inwestycja. Dwa budynki po 4 mieszkania w uzdrowiskowej dzielnicy Ustronia.
Apartamenty zostaną oddane do końca grudnia 2023r.
Piękne widoki, spokojna dzielnica to co jest potrzebne do odpoczynku.
 Opis :
-Pokój z aneksem kuchennym 17 m2,
-pokój 11,2 m2,
-pokój 8,2 m2,
-łazienka 4,2 m2,
-korytarz 8,5 m2,
-wiatrołap 2 m2,
-taras.
W mieszkaniach będzie ogrzewanie elektryczne podłogowe kocioł 2-funkcyjny z zasobnikiem.
Okna 6 komorowe pakiet 3 szybowy.
Agent prowadzący Sebastian Heller tel 698 506 113 Universal
w godzinach 9:00 - 17:00 od poniedziałku do piątkuPrzedstawione informacje nie stanowią oferty handlowej w rozumieniu art. 66 §1 kodeksu cywilnego oraz innych przepisów prawnych a dane w niej zawarte mają charakter informacyjny</t>
  </si>
  <si>
    <t>https://otodom.pl/pl/oferta/ustron-zawodzie-nowe-apartamenty-51-m2-z-tarasem-ID4hrcC</t>
  </si>
  <si>
    <t>4hrcC</t>
  </si>
  <si>
    <t>Ładne 2 pokoje na sprzedaż!</t>
  </si>
  <si>
    <t>Zapraszam serdecznie do zakupu atrakcyjnej nieruchomosci przy ulicy Armii Krajowej 17 w Brzegu. Lokal położony na 4 piętrze (ostatniej kondygnacji) w kamienicy. Doskonała lokalizacja, możliwość komunikacji pieszo - ponieważ jest dobrze usytuowane. Parking przy budynku. Mieszkanie składa się z 2 niezależnych pokoi, kuchni, łazienki z wc i przedpokoju. Jest umeblowane i gotowe do zamieszkania.Możliwość przejęcia także z najemcą, więc jest to też świetna lokata kapitału. Opłaty :Wspólnota ( koszty eksploatacji i funduszu remontowego) 480 zł Gaz 200 Prąd 100 Zapraszam do prezentacji, pośrednik odpowiedzialny zawodowo, Katarzyna Wawrzyniak  nr 25050Oferta wysłana z programu dla biur nieruchomości ASARI CRM ()</t>
  </si>
  <si>
    <t>https://otodom.pl/pl/oferta/ladne-2-pokoje-na-sprzedaz-ID4m2ee</t>
  </si>
  <si>
    <t>4m2ee</t>
  </si>
  <si>
    <t>al. Aleja Rzeczypospolitej, Błonia Wilanowskie, Wilanów, Warszawa, mazowieckie</t>
  </si>
  <si>
    <t xml:space="preserve">Przestronne i komfortowe mieszkanie o powierzchni 67,2m2, usytuowane na drugim piętrze 4-piętrowego apartamentowca przy al. Rzeczypospolitej w Miasteczku Wilanów. Mieszkanie jest jasne, pełne słońca i przestrzeni przed oknami. Widok z okien na zieleń i patio. Plac zabaw znajduje się na wewnętrznym dziedzińcu. Teren zamknięty i chroniony. Dookoła bloku duży parking, nigdy nie ma problemu ze znalezieniem miejsca.W skład mieszkania wchodzi:- salon (22,5 m&amp;sup2;)- kuchnia (9,0m&amp;sup2; )- hol ( 10,7m&amp;sup2;)- sypialnia (15,9 m&amp;sup2;)- łazienka ( 5,5 m&amp;sup2;)- garderoba (3,6 m&amp;sup2;)- balkon (4,2 m&amp;sup2;)Wysokość pomieszczeń - 282cm.Sprzedaż wraz z meblami oraz wyposażeniem (lodówka, zmywarka, piec z piekarnikiem, pralka). Mieszkanie zostało wykończone z wysokiej jakości materiałów.Na podłodze deska Merbau. W holu, kuchni i łazience gres, dodatkowo ogrzewanie podłogowe. Szafki kuchenne wykonane z płyty MDF z systemami BLUMOkna drewniane, parapety marmurowe.Nieruchomość zlokalizowana jest w bliskim sąsiedztwie szpitala Medicover, wśród kameralnej zabudowy, na monitorowanym i chronionym osiedlu. Nieopodal apartamentu znajdują się przystanki autobusowe, liczne punkty usługowe, kawiarnie, restauracje, przedszkola, szkoły. Nieruchomość leży w doskonałym punkcie komunikacyjnym, w pobliżu Południowej Obwodnicy Warszawy, gwarantując komfortowe połączenie z każdą częścią miasta. Do najbliższego przystanku autobusowego 5 minut pieszo. Bardzo dobre połączenie z centrum miasta lub stacją metra (10 minut autobusem). Rozpoczęto budowę linii tramwajowej. Pełna własność, KW bez obciążeń. Czynsz około 500 złotych.Serdecznie polecam i zapraszam na prezentację nieruchomości. Kontakt Wojciech Wodnicki, tel.: 501 100 545.Pośrednik odpowiedzialny zawodowo za wykonanie umowy pośrednictwa: Magdalena Lemieszek (licencja nr: 17819) </t>
  </si>
  <si>
    <t>https://otodom.pl/pl/oferta/rewelacyjna-oferta-dla-rodziny-lub-na-inwestycje-ID4kOcL</t>
  </si>
  <si>
    <t>4kOcL</t>
  </si>
  <si>
    <t>Słoneczne mieszkanie z dużym tarasem</t>
  </si>
  <si>
    <t>ul. Powstańców Warszawy, Pruszcz Gdański, gdański, pomorskie</t>
  </si>
  <si>
    <t xml:space="preserve">Na sprzedaż dwupoziomowe, jasne, słoneczne (od strony zachodniej) mieszkanie z dużym (49 m2) tarasem w Pruszczu Gdańskim na Osiedlu Wschód. Na całość o powierzchni 82,66 m2 składają się: POZIOM 1:- salon z kominkiem, otwartą kuchnią i wyjściem na taras- WCPOZIOM 2:- dwie sypialnie- łazienkaGARAŻ dodatkowo płatny 50 000 PLN - zakup opcjonalny.Atutem mieszkania jest duży 49 m taras od strony zachodniej. Słoneczne, ciepłe miejsce gdzie można miło spędzić wiosenne i letnie wieczory. Przyjąć gości lub rodzinę na sympatyczne spotkanie. Kolejne udogodnienie to bardzo duże miejsce postojowe w garażu (pomieści 3 auta) wraz z komórką lokatorską - dodatkowe miejsce przechowania na rzeczy których nie chcemy trzymać w mieszkaniu. Wysokość pomieszczeń: na dole 275 cm, na górze 255 cm.Schody drewniane podobnie jak stolarka kuchenna.Okna PCV. Przed budynkiem dodatkowe, ogólnodostępne miejsca postojowe.Ogrzewanie - kotłownia gazowa na cały budynek.OKOLICA: w pobliżu dominuje niska zabudowa jednorodzinna. Niedaleko stacja benzynowa, delikatesy, giełda, punkty handlowo-usługowe.OPŁATY: około 900 PLN w tym zaliczki na ogrzewanie, wodę, wywóz nieczystości, administrację. Opłaty stałe przez cały rok.WYDANIE: do uzgodnienia._KUP Z NAMI - NAJKORZYSTNIEJ, NAJSZYBCIEJ I BEZPIECZNIE!Jeżeli zainteresowało Cię powyższe ogłoszenie to:- Zadzwoń pod wskazany nr tel. - Umów się na Prezentację,- Przyjedź i Obejrzyj na żywo,- Zaproponuj Swoją cenę prezentowanej nieruchomości.Gwarantujemy bezpieczny zakup i najlepszą CENĘ.Oferujemy skuteczną i bezpłatną pomoc w uzyskaniu kredytu.Zapewniamy fachowe doradztwo przy zakupie pod inwestycję.Wszystkie nasze transakcje są objęte ubezpieczeniem OC w PZU.Z nami u Notariusza otrzymasz Ofertę Specjalną.Więcej podobnych ofert znajdziesz na naszej stronie: </t>
  </si>
  <si>
    <t>https://otodom.pl/pl/oferta/sloneczne-mieszkanie-z-duzym-tarasem-ID4gQio</t>
  </si>
  <si>
    <t>4gQio</t>
  </si>
  <si>
    <t>Mieszkanie, 39,09 m², Gorzów Wielkopolski</t>
  </si>
  <si>
    <t>Przedstawiam Państwu mieszkanie 2-pokojowe na Osiedlu Staszica przy ul. Staszica w Gorzowie Wlkp. Nieruchomość usytuowana jest na drugim piętrze w wysokim bloku z windą.Na powierzchnię mieszkania 39 m2 składają się: *Salon,*Sypialnia, *Osobna widna kuchnia,*Łazienka,*Osobne WC,*Przedpokój*STANDARD MIESZKANIA*Nieruchomość gotowa do wprowadzenia. Okna PCV. Panele na podłodze w pokojach. Kafle w kuchni, łazience i WC. Ściany bez tapet, szpachlowane i malowane.Dwa mieszkania na piętrze, zadbana klatka schodowa. Centralne ogrzewanie. Ciepła woda z sieci miejskiej. *INFORMACJE DODATKOWE:-nieruchomość własnościowa bez zadłużeń i hipotek,-opłaty eksploatacyjne ok 600 zł, prąd według zużycia,w czynsz wliczone są zaliczki na : wodę zimną i ciepłą, gaz, ogrzewanie, śmieci, fundusz remontowy oraz opłaty administracyjne )-ogrzewanie oraz ciepła woda z sieci miejskiej,-do mieszkania przynależy piwnica ok. 2 m2,-termin przekazania natychmiastowyOsiedle Staszica - w pobliżu nieruchomości znajduję się bogata infrastruktura ,przedszkola, szkoły, żłobek, przychodnia ,liczne bezpłatne miejsca parkingowe, sklepy, plac zabaw, przystanek autobusowy - szybki dojazd do centrum.Cena ofertowa podlega negocjacjom.Serdecznie polecam i zapraszam na prezentację.Vanesa Nowak Doradca ds. Nieruchomości nr. licencji 28058 OFERTA NA WYŁĄCZNOŚĆ !!Reprezentuję markę WGN, która jest liderem na rynku nieruchomości, a dzięki swojemu 30-letniemu doświadczeniu oferuje najwyższą jakość usług. Dysponujemy szerokim zapleczem w postaci wiedzy i doświadczenia naszych agentów, pomocy prawnej oraz kompleksowej obsługi biura. Pozwala nam to zapewnić naszym klientom korzystne ibezpieczne transakcje. Stosujemy system jakości ZJ - WGN. Gwarantuję pełne zaangażowanie przy współpracy z Państwem. Niniejsza oferta nie stanowi oferty w rozumieniu przepisów Kodeksu Cywilnego.</t>
  </si>
  <si>
    <t>https://www.otodom.pl/pl/oferta/mieszkanie-39-09-m-gorzow-wielkopolski-ID4osZQ</t>
  </si>
  <si>
    <t>4osZQ</t>
  </si>
  <si>
    <t>Kołobrzeg- apartament w Villa Tarsis</t>
  </si>
  <si>
    <t>TYLKO U NAS!Apartament o powierzchni 47,70 m2 znajdujący się w rekreacyjnej VILLI na obrzeżach miasta!Ta nieruchomość to idealny pomysł na inwestycje! Na powierzchnię lokalu składa się:- przestronny salon,- sypialnia,- kuchnia, - garderoba- łazienka z WC. Nieruchomość w pełni umeblowana, nie wymaga dodatkowych nakładów finansowych. Ogrzewanie i ciepła woda z sieci lokalnej. Czynsz wynosi około 800 zł, w tym: czynsz, fundusz remontowy, fundusz inwestycyjny, Zarząd. Dodatkowe opłaty to woda, prąd, ogrzewanie, internet oraz TV. Apartament dochodowy, z powodzeniem wynajmowany w sezonie. W budynku znajduje się recepcja, która jest znacznym udogodnieniem przy najmie krótkoterminowym. Villa przystosowana do osób niepełnosprawnych. Dodatkowo zagospodarowana przestrzeń rekreacyjna dla dzieci z placem zabaw. Przy budynku dostępne liczne miejsca parkingowe.Niewątpliwym atutem nieruchomości jest lokalizacja w bezpośrednim sąsiedztwie Eko Parku Wschodniego, przez który przebiega ścieżka rowerowa prowadząca bezpośrednio do samego Kołobrzegu oraz nadmorskich miejscowości. To lokalizacja idealna dla osób szukających ciszy i spokoju. Plaże w tej lokalizacji są szerokie i mało oblegane podczas sezonu letniego.  Zaledwie 100 m od apartamentu znajduje się przystanek komunikacji miejskiej, natomiast w odległości około 200 m znajduje się kryty basen.Chcesz wiedzieć więcej? Zapraszam Cię na prezentację połączoną ze spacerem po tej urokliwej okolicy. Kontakt: Małgorzata Rutkowska: 530 855 012."Opis nieruchomości zawarty w niniejszej ofercie został sporządzony na podstawie informacji przekazanych nam przez stronę sprzedającą. Zwracamy uwagę, że mogą one zawierać błędy lub nieścisłości. W przypadku zainteresowania ofertą zalecamy osobistą weryfikację tych informacji. Oferta ta nie stanowi oferty w rozumieniu przepisu art. 66 i nast. Kodeksu cywilnego."-Mikulski Nieruchomości - licencjonowana  sieć biur nieruchomości. Baza sprawdzonych nieruchomości. Nasza firma posiada 7 oddziałów. Pracujemy w systemach wymiany ofert z biurami nieruchomości na terenie całej Polski. Posiadamy polisę OC. Obsługujemy teren całego województwa zachodniopomorskiego. Nasz skład liczy blisko 40 osób.Dobierzemy dla Państwa najtańszy kredyt na zakup każdej nieruchomości. Nie musisz kupować z nami nieruchomości, by otrzymać świetny kredyt! W ofercie mamy ponad 20 banków! Zadzwoń po kredyt hipoteczny już dziś: +4████████8 531CENTRALA FIRMY:+4████████5 003Nasze oddziały:Oddział GOLENIÓWul. M. Konopnickiej 7672-100 GoleniówTel. +4██████████6 57Oddział STARGARDul. Mikołaja Reja 8/173-110 StargardTel. +4██████████7 57Oddział NOWOGARDul. Bankowa 3B/4 (I piętro)72-200 NowogardTel. +4██████████6 87Oddział SZCZECINul. Łaziebna 1 (wejście od ul. Tkackiej) 70-557 SzczecinTel. +4██████████1 64Oddział ŚWINOUJŚCIEul. Gen. J. Bema 7/2 (I piętro)72-600 ŚwinoujścieTel. +4██████████9 01Oddział KOŁOBRZEGul. Armii Krajowej 20C/1978-100 KołobrzegTel. +4██████████0 23Zapraszamy do naszych oddziałów! ::oferta eksportowana z programu mediaRent::</t>
  </si>
  <si>
    <t>https://www.otodom.pl/pl/oferta/kolobrzeg-apartament-w-villa-tarsis-ID4oAag</t>
  </si>
  <si>
    <t>4oAag</t>
  </si>
  <si>
    <t>Słoneczne trzypokojowe mieszkanie z balkonem</t>
  </si>
  <si>
    <t>ul. Gdyńska, Świnoujście, zachodniopomorskie</t>
  </si>
  <si>
    <t xml:space="preserve">Uwaga uwaga ! Na sprzedaż trzypokojowe mieszkanie o powierzchni 56.9m2,  usytuowane na parterze w bloku w Świnoujściu przy ul. Gdyńskiej ✅Mieszkanie rozkładowe,słoneczne,✅Okna PCV, ✅Duży balkon✅Do nieruchomości przynależy piwnica ✅ Teren wokół budynku monitorowany,✅Ogrzewanie miejskie, ✅Miejsca parkingowe pod budynkiem,✅Czynsz ok 700 zł,✅Zadbana klatka,✅ Nieruchomość zlokalizowana w dobrze skomunikowanej części Świnoujścia, ✅Idealna forma inwestycji jak i na użytek własny,✅ W pobliżu rynek, osiedlowe sklepiki, basen oraz przystanek autobusowy. </t>
  </si>
  <si>
    <t>https://www.otodom.pl/pl/oferta/sloneczne-trzypokojowe-mieszkanie-z-balkonem-ID4nIbK</t>
  </si>
  <si>
    <t>4nIbK</t>
  </si>
  <si>
    <t>Sprzedam mieszkanie w centrum Supraśla</t>
  </si>
  <si>
    <t>Supraśl, Supraśl, białostocki, podlaskie</t>
  </si>
  <si>
    <t>Sprzedam mieszkanie w  ścisłym centrum Supraśla w sąsiedztwie poczty w budynku wielorodzinnym z osobnym wejściem i fragmentem podwórka oraz pomieszczeniem gospodarczym. Możliwość garażowania na zamkniętej posesji. Mieszkanie mieści się na parterze -   2 oddzielne pokoje, kuchnia, łazienka.  Prawo własności. Ogrzewanie na opał stały. Mieszkanie do zamieszkania od zaraz lub możliwość przeprowadzenia remontu.</t>
  </si>
  <si>
    <t>https://www.otodom.pl/pl/oferta/sprzedam-mieszkanie-w-centrum-suprasla-ID4oHGx</t>
  </si>
  <si>
    <t>4oHGx</t>
  </si>
  <si>
    <t>Apartamentowiec Brda</t>
  </si>
  <si>
    <t>ul. Dworcowa, Śródmieście, Bydgoszcz, kujawsko-pomorskie</t>
  </si>
  <si>
    <t>U zbiegu ulic Dworcowej i Fredry,  znajduje się jeden z najbardziej rozpoznawalnych budynków w Bydgoszczy. Przez kilkadziesiąt lat pełnił on rolę hotelu, z salami bankietowymi na parterze i na dziesiątym piętrze.
Obecnie obiekt przechodzi metamorfozę, zmieniającą  kultowy hotel w nowoczesny blok mieszkalny.  Doskonała lokalizacja w centrum miasta w bliskiej odległości od dworca głównego PKP i pętli węzła komunikacji miejskiej oraz terenów rekreacyjnych takich jak bulwar nad Brdą czy basenu Astoria. W okolicy znajdują się także kino i opera. Budynek zlokalizowany jest w niewielkiej odległości od starego miasta, wyspy młyńskiej oraz galerii handlowej.   Wnętrze budynku zmieniło całkowicie swój układ.  Mieszkania zostały starannie zaprojektowane, z myślą o przyszłych mieszkańcach. Na parterze budynku znajdować będą się sklepy i punkty usługowe.
Możliwość zakupu dodatkowo komórek lokatorskich na poziomie -1 oraz miejsc postojowych w zewnętrznym garażu czteropoziomowym położonym przy budynku.  
 Termin zakończenia budowy IV kwartał 2024
Powyższy opis ma charakter informacyjny i nie stanowi oferty w rozumieniu przepisów Kodeksu Cywilnego
 </t>
  </si>
  <si>
    <t>https://www.otodom.pl/pl/oferta/apartamentowiec-brda-ID4mZDJ</t>
  </si>
  <si>
    <t>4mZDJ</t>
  </si>
  <si>
    <t>Do sprzedania 3 pokojowe mieszkanie, Dzierżoniów</t>
  </si>
  <si>
    <t>Dzierżoniów, dzierżoniowski, dolnośląskie</t>
  </si>
  <si>
    <t xml:space="preserve">Do sprzedania mieszkanie przeznaczone do kapitalnego remontu, położone na parterze o łącznej powierzchni 56m kw. Mieszkanie składa się z 3 pokoi, kuchni, łazienki i przedpokoju. Mieszkanie przeznaczone jest do kapitalnego remontu, położone jest w cichym i spokojnym miejscu, lokal posiada balkon. 
Lokalizacja: Dzierżoniów osiedle Błękitne 
</t>
  </si>
  <si>
    <t>https://www.otodom.pl/pl/oferta/do-sprzedania-3-pokojowe-mieszkanie-dzierzoniow-ID4mzsP</t>
  </si>
  <si>
    <t>4mzsP</t>
  </si>
  <si>
    <t>SASANKA XL z garażem, 4 pokoje, 2 łazienki, ogród</t>
  </si>
  <si>
    <t>Ciechanów, ciechanowski, mazowieckie</t>
  </si>
  <si>
    <t xml:space="preserve">Prezentujemy Państwu nową inwestycję powstającą we Władysławowie k.Ciechanowa.
Ciechanowska Sasanka to przyjazne rodzinom kameralne osiedle bezczynszowych domków o powierzchni brutto ok 101 m2 każdy, na które składają się:
·      8 domów jednorodzinnych połączonych wyłącznie ścianami garażowymi
·      2 pojedyncze domy jednorodzinne
·      każdy z oferowanych domów posiada ogród (od 125 do 300m2)
·      każdy z oferowanych domów posiada garaż (18 m2)
·      każdy z oferowanych domów posiada 2 miejsca parkingowe
Prezentowana jednostka o powierzchni 82,90m2+18m2 garaż na wizualizacji osiedla to:
A2 lub C2 lub F2, w cenie 549 000 brutto
"B1" w cenie 559 000 brutto
"B2" w cenie 559 000 brutto
"F1" ZAREZERWOWANY
"C1" ZAREZERWOWANY
"D" ZAREZERWOWANY
"E" ZAREZERWOWANY
"A1" ZAREZERWOWANY
Jeśli szukasz ekonomicznej, funkcjonalnej i sprawdzonej nieruchomości w nowoczesnym stylu o wysokim standardzie wykończenia, to ta oferta jest właśnie dla Ciebie.
SASANKA® to dom sprawdzony przez kilkaset rodzin w różnych zakątkach Polski. Sam projekt ewaluował przez kilka lat, osiągając ostateczną wersję, którą dzisiaj mamy przyjemność Państwu zaprezentować.
SASANKA® jest ceniona przez dotychczasowych klientów przede wszystkim za:
niskie koszty utrzymania, porównywalne do mieszkania w bloku 45-53m2.
wyjątkowo efektywne wykorzystanie dostępnej przestrzeni
codzienną funkcjonalność układu pomieszczeń - idealną dla rodziny z dziećmi
elastyczność w aranżacji
Każdy z domów oferowany jest w podwyższonym standardzie deweloperskim, który obejmuje:
1. Parapety z konglomeratu wewnętrzne
2. Kolektory słoneczne ogrzewające wodę użytkową dla niższych rachunków za ogrzewanie
3. Dodatkowa płyta OSB na sufit na piętrze dla lepszej izolacji akustycznej i termicznej
4. Ściany działowe z bloczków sylikatowych = poprawiona akustyka, wyciszenie pomieszczeń
5. Bezpieczne szyby. W trosce o bezpieczeństwo mieszkańców każde z okien typu fix na piętrze posiada tzw. bezpieczną szybę. Budowa bezpiecznej szyby składa się z użycia tafli szkła + umieszczenia folii + kolejnej warstwy szyby. Ważną cechą szkła laminowanego i zbrojonego jest to, że kiedy zachodzi stłuczenie szkła to ono nie rozpada się na drobne kawałki.
6. Ciepłe drzwi zewnętrzne o współczynniku przenikania ciepła conajmniej 1,3W/m2k. Drzwi zewnętrzne spełniające normy dla domu energooszczędnego.
Na dwupoziomowy dom o powierzchni całkowitej wynoszącej 101 m2 składają się:
·      wiatrołap z miejscem na zabudowę typu komandor - 3,74 m2,
·      łazienka - 5,40 m2,
·      salon - 22,47 m2,
·      kuchnia (otwarta/aneks lub zamknięta) - 7,79 m2,
·      schowek pod schodami - 0,73 m2,
·      garaż - 18,12 m2 
·      pokój I - 9,20 m2,
·      pokój II - 9,20 m2,
·      pokój III - 6,70 m2 z miejscem na szafę w zabudowie 1,95 m2,
·      łazienka z miejscem na wannę i prysznic - 6,93 m2,
·      korytarz - 3,72 m2,
·      komunikacja - 5,39 m2.
Domy w zabudowie jednorodzinnej, połączone są wyłącznie ścianami garażowymi. Budujemy z silikatów, które pomijając inne zalety - wykazują doskonałe właściwości akustyczne co zapewnia komfort użytkowania mieszkańcom.
Lokale są sprzedawane w stanie deweloperskim jako standard, możliwe jest również uzgodnienie szczególnych warunków i doprowadzenie na życzenie klienta domu do stanu „pod klucz”.
SASANKA® XL to: 
funkcjonalne i łatwe do adaptacji wnętrza
jasny i przestronny salon z dużym oknem balkonowym i miejscem na instalację kominka
kolektory słoneczne wspomagające ogrzewanie wody użytkowej 
kuchnia połączona w otwartą przestrzeń z salonem, możliwość zamknięcia kuchni
3 sypialnie
2 łazienki
własny ogród (od 125 do 300 m2)
strych do adaptacji
miejsce na garderobę w głównej sypialni
4 miejsca na szafy: w korytarzu, w przedpokoju oraz w każdej z dwóch sypialnia dziecięcych
2 duże schowki: w pomieszczeniu WC na parterze oraz pod schodami.
Każdy dom posiada dostęp do wody, prądu, kanalizacji, gazu i światłowodu.
W każdym domu w standardzie jest miejsce na kominek w salonie, instalacja ogrzewania podłogowego, dodatkowo grzejniki w łazienkach.
W ogłoszeniu znajdziecie Państwo wirtualny spacer po domu modelowym, który na życzenie można odwiedzić osobiście (Kąpino, woj. pomorskie).
Więcej o prezentowanych domu znajdziecie Państwo na stronie: ciechanowskasasanka pl
Zapraszamy do kontaktu telefonicznego lub do naszego biura sprzedaży mieszczącego się w Ciechanowie przy ul. Pl. Kościuszki 13/5 (wejście od ul. Zielona Ścieżka w narożnym budynku 1 piętro). Prosimy tylko o kontakt w celu umówienia się na wizytę.   
TRANSPORT
0 min Przystanek autobusowy
4 min Szpital
5 min Centrum Ciechanowa
5 min Opinogóra Górna
ZAKUPY
2 min Castorama
3 min Biedronka
3 min Centrum handlowe MMG
4 min Auchan
EDUKACJA
3 min Szkoła Podstawowa
8 min Technikum 
10 min Liceum ogólnokształcące
REKREACJA 3 min ROD Sona
3 min Hopa Park, dmuchańce
3 min Galeria Fitness Kołecki
5 min Muzeum Romantyzmu w Opinogórze Górnej
8 min Kąpielisko Krubin
10 min Basen miejski
10 min Kino
Zapraszamy do kontaktu
Powyższa oferta ma charakter informacyjny i nie stanowi oferty handlowej w rozumieniu art. 66 §1 Kodeksu Cywilnego.
</t>
  </si>
  <si>
    <t>https://www.otodom.pl/pl/oferta/sasanka-xl-z-garazem-4-pokoje-2-lazienki-ogrod-ID4nNjz</t>
  </si>
  <si>
    <t>4nNjz</t>
  </si>
  <si>
    <t>Dobrze zaprojektowany dom w Mosinie -NOWA CENA</t>
  </si>
  <si>
    <t>     Zapraszam do zakupu nieruchomości  - dom wolnostojący – w stanie  deweloperskim -  w  miejscowości Mosina  -  tylko 16 km od Poznania i autostrady A2.
Dom położony w bardzo dobrej lokalizacji, w dzielnicy domów jednorodzinnych, w pobliżu pełna infrastruktura – sklepy , szkoły, przedszkola, stacja PKP, apteka, punkty usługowe.
Cena 849.500 zł
Powierzchnia: 199 m2 
Działka: 700 m2
Na nieruchomość składa się:
Parter: powierzchnia ok.  114
- wiatrołap
-  2 pokoje
- salon z aneksem kuchennym i wyjściem na taras
Piętro: powierzchnia ok. 86 m2
- 3 sypialnie
- łazienka
- pralnia
- garderoba
- salonik
Dodatkowo: -
                    - ogrodzenie
                    -  okna PCV z roletami zewnętrznymi sterowane automatycznie
                    - ogrzewanie: gazowe ( piec dwufunkcyjny)
                    - taras 
                    - piwnica ok. 26 m2
Media woda, gaz, prąd, kanalizacja
Instalacje : wodno-kanalizacyjna , elektryczna , gazowa
Nr oferty: 22/EP/AR/43
Zapraszam do kontaktu!
Ewa Palacz : 500 114 440 / 720 806 208
Agnieszka Ratajczak : 516 072 023
"Powyższa oferta ma charakter informacyjny i nie stanowi oferty handlowej w rozumieniu KC. Wszystkie dane zawarte w ofercie, uzyskane zostały od sprzedających."</t>
  </si>
  <si>
    <t>https://otodom.pl/pl/oferta/przestronny-dobrze-zaprojektowany-dom-w-mosinie-ID4ixiE</t>
  </si>
  <si>
    <t>4ixiE</t>
  </si>
  <si>
    <t>Wygodny dom-Rudawa,Zabierzów. Nowa Cena !!!</t>
  </si>
  <si>
    <t>Przedmiotem sprzedaży jest duży dom mieszkalny jednorodzinny, wolnostojący znajdujący się na 0,07 [ha] działce w miejscowości Rudawa gm. ZabierzówDom świetnie zlokalizowany - w ciągu 1 minuty dojdziemy do szkoły czy przedszkola. Wszystko co potrzebujemy znajduje się w niedalekim sąsiedztwie - sklepy, tereny spacerowe, dworzec kolejowy, przychodnia itp.Rok budowy: 2002. Dom wykonany w technologii tradycyjnej murowanej, ocieplony styropianem 10 cm, otynkowany, częściowo podpiwniczony.Dach pokryty jest dachówką betonową.Budynek ma powierzchnię użytkową 156 m², całkowitą 195,5 m².Parter zawiera:* wiatrołap z szafą* pokój dzienny - salon z kominkiem i wyjściem na taras* wyposażona i przestronna kuchnia z jadalnią * przedpokój ze schodami* jeden osobny pokój* łazienkę z WCPiętro (poddasze) zawiera:* hall* trzy małe pokoje * jedna duża sypialnia z szafą i garderobą, z wyjściem na balkon* łazienka z WCSchody na piętro lane, obłożone drewnem.Podłogi - panele plus terakota.Okna plastikowe.Dom usytuowany jest na równej działce o powierzchni 700 m² w kształcie nieregularnym. W otoczeniu dużo zieleni i niska zabudowa. Droga dojazdowa asfaltowa.Na działce znajduje się garaż typy blaszak. Niewątpliwą zaletą jest dostępność dodatkowych miejsc parkingowych, bezpośrednio przed posesją.Media: prąd, woda, gaz, kanalizacja. Dom wyposażony w stację uzdatniania wody.Dla nieruchomości zlecono wykonanie świadectwa charakterystyki energetycznej.Potrzebujesz więcej informacji, zapraszam do kontaktu. Świadectwo charakterystyki energetycznej - zapotrzebowanie na energię: EU - użytkową (kWh/m2*rok): 93.18; EK - końcową (kWh/m2*rok): 115.10; EP - nieodnawialną energię pierwotną (kWh/m2*rok): 134.50; EC02 - Wielkość emisji CO2 (t C02/m2*rok): 0.03; UOZE - Udział odnawialnych źródeł energii w zapotrzebowaniu na energię końcową [%]: 12.36; W przypadku zainteresowania nabyciem prawa do prezentowanej powyżej nieruchomości, nabywca (klient) zobowiązany jest do ustalenia indywidualnych warunków współpracy z biurem oraz wysokości wynagrodzenia za świadczone usługi.Oferta wysłana z programu dla biur nieruchomości ASARI CRM ()</t>
  </si>
  <si>
    <t>https://otodom.pl/pl/oferta/wygodny-dom-rudawa-zabierzow-nowa-cena-ID4kY3i</t>
  </si>
  <si>
    <t>4kY3i</t>
  </si>
  <si>
    <t>Domy z ogrodami k. Gdyni 149m2</t>
  </si>
  <si>
    <t>Jaworowe wzgórze, Pogórze, Kosakowo, pucki, pomorskie</t>
  </si>
  <si>
    <t>Komfort budynków i wysoki standard wykonania. Piękna architektura w zacisznej i spokojnej okolicy. Jednoczesna bliskość Gdyni i terenów zielonych. Zapraszamy Państwa do zamieszkania na Jaworowym Wzgórzu — osiedlu doskonale skomunikowanym z Gdynią, Sopotem i Gdańskiem!
Na osiedlu Jaworowe Wzgórze w Suchym Dworze oferujemy Państwu atrakcyjny i przestronny nowoczesny dom w zabudowie bliźniaczej z poddaszem użytkowym i garażem. Projekt domu wyróżnia się niezwykłą funkcjonalnością, niskimi kosztami budowy i użytkowania. Budynek ma bardzo nowoczesny wygląd i łączy w sobie tradycyjną formę z nowoczesnymi akcentami.
Jaworowe Wzgórze zlokalizowane jest Suchym Dworze - w cichej i przepięknej okolicy. Od centrum Gdyni dzieli je zaledwie kilka minut jazdy samochodem. Architektura domów doskonale wpisuje się w sielski, nadmorski krajobraz.
Osiedle posiada pełną infrastrukturę - znajdują się tutaj sklepy, żłobek, przedszkole i przychodnia, w okolicy zaś - tereny sportowo-rekreacyjne. Dodatkowo bliskość terenów zielonych daje Państwu nieograniczone możliwości aktywnego wypoczynku.
Spartan Jaworowe Wzgórze Sp. z o.o.Suchy DwórSowia 7</t>
  </si>
  <si>
    <t>https://otodom.pl/pl/oferta/domy-z-ogrodami-k-gdyni-149m2-ID38w2v</t>
  </si>
  <si>
    <t>38w2v</t>
  </si>
  <si>
    <t>Parter - 2 pokoje do wejścia.</t>
  </si>
  <si>
    <t>ul. Antoniukowska, Antoniuk, Białystok, podlaskie</t>
  </si>
  <si>
    <t>DrBroker Nieruchomości prezentuje na sprzedaż mieszkanie 2-pokojowe o pow. 45,70m2 w Białymstoku, przy ul. Antoniukowskiej.Lokal nieprzechodni, z ekspozycją północno-wschodnią i południowo-zachodnią mieści się na parterze w bloku z cegły, z 1970 roku. Składa się z pokoju dziennego, sypialni, kuchni, łazienki (z WC) i przedpokoju. Przynależy do niego balkon i piwnica. Okolica posiada niezbędną infrastrukturę (w sąsiedztwie szkoła podstawowa i przedszkole), do centrum miasta ok. 2km.Informacyjnie, czynsz administracyjny wynosi ok. 400 zł z zaliczkami na wodę i ogrzewanie.-Oferujemy pomoc w znalezieniu optymalnego rozwiązania kredytowego bez ponoszenia dodatkowych kosztów.Jeżeli ta oferta nie spełnia Państwa oczekiwań, prosimy o kontakt. Zapewniamy profesjonalną pomoc w znalezieniu najlepszej nieruchomości.Więcej ciekawych ofert na naszej stronie  drbroker pl Zapraszamy!</t>
  </si>
  <si>
    <t>https://otodom.pl/pl/oferta/parter-2-pokoje-do-wejscia-ID4j26T</t>
  </si>
  <si>
    <t>4j26T</t>
  </si>
  <si>
    <t>Parkowe Wzgórze Etap II</t>
  </si>
  <si>
    <t>Osiedle Na Stoku, Kielce, świętokrzyskie</t>
  </si>
  <si>
    <t>KUP MIESZKANIE I ZYSKAJ Z `PAKIETEM KORZYŚCI `!  Oferuję do sprzedaży mieszkanie o pow. 63,60 mkw., usytuowane na III piętrze, w skład którego wchodzi: salon z aneksem kuchennym, 2 pokoje,2 garderoby, łazienka, WC. Dodatkowo balkon o pow. 6,61 mkw.  Stan deweloperski umożliwia własną aranżację wnętrza. Dla wygody i komfortu mieszkańców budynek będzie wyposażony w cichobieżne windy, które są dostępne z poziomu garażu.  Zakup miejsca postojowego w hali garażowej - 39.000 zł oraz komórki lokatorskiej (3000 zł/mkw) Sprzedaż z fakturą VAT - przy zakupie brak PCC (2%).  Planowany termin ukończenia budowy - czerwiec 2024 rok.  `PARKOWE WZGÓRZE BOCIANEK ETAP II` to propozycja dla ludzi ceniących swój drogocenny czas, poczucie smaku estetycznego, ale też ceniący dostępność do rekreacji i sportu. To przedsięwzięcie uznające wysoki komfort budowanych mieszkań jako podstawowy standard obecnych czasów i tendencji deweloperskich.  Podana cena jest ceną dewelopera. Kupując mieszkanie z nasza pomocą otrzymasz od nas `Pakiet Korzyści,` który pozwoli Ci na realne oszczędności przy zakupie materiałów do wykończenia mieszkania i wystroju wnętrza. Otrzymasz także darmową polisę OC.  Serdecznie zapraszam do zapoznania się z ofertą. - Profesjonalizm naszych usług oparty jest na prawie 40-letnim doświadczeniu i kierunkowym wykształceniu naszej ekipy. Transakcje realizowane są przez licencjonowanych pośredników i doradców, w oparciu o przepisy prawa i znajomość lokalnego rynku. Dodatkowo naszych klientów chroni polisa OC - CONCORDIA (kwota ubezpieczenia 500.000 EUR). Nasi doradcy finansowi wyszukają najlepszy kredyt lub dofinansowanie. Poprzez sieć i kontakty, nasze oferty docierają do największej rzeszy klientów nie tylko w Polsce. Zapraszamy - ekipa   Opis oferty ma charakter wyłącznie informacyjny i sporządzany jest na podstawie oględzin nieruchomości oraz informacji uzyskanych od właściciela, może podlegać aktualizacji i nie stanowi oferty określonej w art. 66 i następnych KC.</t>
  </si>
  <si>
    <t>https://otodom.pl/pl/oferta/parkowe-wzgorze-etap-ii-ID4lAmI</t>
  </si>
  <si>
    <t>4lAmI</t>
  </si>
  <si>
    <t>Warszawa, Targówek, oś. Wilno, Idealne dla rodziny</t>
  </si>
  <si>
    <t>ul. Montwiłłowska, Elsnerów, Targówek, Warszawa, mazowieckie</t>
  </si>
  <si>
    <t>Warszawa, Targówek, oś. Wilno, 4 pokoje. Idealne dla rodziny z dziećmi.Główne atuty nieruchomości: • cicha i spokojna okolica• rozkład pomieszczeń• wysoki standard wykończeńNieruchomość złożona z: • sypialnia 11,65 m.kw• sypialnia 11,27 m.kw• sypialnia 10,46 m.kw• pokój z aneksem kuchennym 18,79 m.kw• łazienka 4,58 m.kw• magazyn 1,44 m.kw W skład nieruchomości wchodzi też:• komórka lokatorskaTyp ogrzewania: ogrzewanie miejskie. Typ własności: własność. Na sprzedaż mamy mieszkanie 4 pokojowe 70 m2 z loggią 8 m2 na Targówku oś. Wilno. Osiedle Wilno wpisuje się w nurt nowego urbanizmu. Charakteryzuje się niską intensywnością zabudowy i dużymi mieszkaniami. Osiedle jest dobrze zorganizowane i posiada dużo zieleni.Rozkład pomieszczeń:3 sypialnie, łazienka(z ogrzewaniem podłogowym),magazynek (z możliwością przerobienia na WC) pokój z aneksem, loggiaKomunikacja:200 m do przystanku i stacji PKP Warszawa Zacisze-Wilno.20 min. samochodem do Centrum Warszawy35 min. komunikacją miejską do Centrum WarszawyW okolicy liczne sklepy, restauracje, lokale usługowe palcówki medyczne, place zabawPosiadamy również dwa miejsca postojowe w garażu podziemnym i komórkę lokatorską. (dodatkowo płatne)</t>
  </si>
  <si>
    <t>https://otodom.pl/pl/oferta/warszawa-targowek-os-wilno-idealne-dla-rodziny-ID4lVZ7</t>
  </si>
  <si>
    <t>4lVZ7</t>
  </si>
  <si>
    <t>Wyremontowana, umeblowana kawalerka z Co!</t>
  </si>
  <si>
    <t>ul. Armii Krajowej, Mysłowice, śląskie</t>
  </si>
  <si>
    <t>Oferujemy do sprzedaży komfortowe mieszkanie typu kawalerka, usytuowane na wysokim parterze bloku w centrum - okolice ul. Armii Krajowej.Mieszkanie składa się z pokoju, przedpokoju, aneksu kuchennego oraz łazienki z WC. Do mieszkania przynależy piwnica.Blok zarządzany przez Wspólnotę Mieszkaniową, monitorowany wewnętrzny parking dla mieszkańców.IDEALNE MIESZKANIE INWESTYCYJNE - KOMPLETNY czynsz miesięczny wynosi jedynie 167,54 zł z zaliczkami na wodę i C.O. przy jednej zameldowanej osobie!Mieszkanie po generalnym remoncie w idealnym stanie!W cenie mieszkania wliczona zabudowa kuchenna  z AGD, zabudowa przedpokoju i większość wyposażenia widoczna na zdjęciach!Standard wykończenia : plastikowe okna, nowe drzwi zewnętrzne i wewnętrzne. Nowe instalacja wodna ,kanalizacyjna, CO i elektryczna. Gładzie gipsowe na ścianach, wszędzie podwieszane sufity z oświetleniem LED, na podłodze w pokoju panele, kafle w przedpokoju, łazienka cała w kaflach, nowe sanitariaty (wysokiej klasy).Blisko szkoły, place zabaw dla dzieci, sklepy, przychodnie, parking itp.Jeżeli szukają Państwo ustawnego mieszkania w dobrej lokalizacji i z możliwością szybkiego dostania się do centrum i miast ościennych to prosimy o kontakt!Pomagamy we wszelkich formalnościach- weryfikujemy stan prawny, kompletujemy dokumenty do transakcji, pomagamy uzyskać kredyt na zakup nieruchomości, umawiamy notariusza itp. W razie pytań proszę dzwonić: Kawka Nieruchomości - 509581981. Pośrednik odpowiedzialny zawodowo za przeprowadzenie oferty: Karol Kawka lic. 17 759.Zapraszamy do oględzin!!! Powyższa oferta ma charakter informacyjny i nie stanowi oferty handlowej w rozumieniu Art.66 §1 KC</t>
  </si>
  <si>
    <t>https://otodom.pl/pl/oferta/wyremontowana-umeblowana-kawalerka-z-co-ID4mqfN</t>
  </si>
  <si>
    <t>4mqfN</t>
  </si>
  <si>
    <t>Dwupoziomowy apartament pl. Unii Lubelskiej/Szucha</t>
  </si>
  <si>
    <t>Śródmieście Południowe, Śródmieście, Warszawa, mazowieckie</t>
  </si>
  <si>
    <t xml:space="preserve">| Do sprzedania luksusowy, dwupoziomowy, czteropokojowy apartament zlokalizowany przy Placu Unii Lubelskiej. Lokal znajduje się na siódmym oraz ósmym(ostatnim) piętrze wyremontowanej, przedwojennej  kamienicy przy alei Szucha. W budynku przeprowadzono wszelkie konieczne prace remontowe, wymieniono instalacje(wod-kan, elektryczna, grzewcza).W skład apartamentu wchodzą: Parter Salon z jadalnią oraz wyjściem  na tarasKuchniaPrzedpokój WCPiętro Trzy sypialnieTrzy łazienkiKorytarzLokal położony w absolutnie topowej lokalizacji. Bezpośrednie sąsiedztwo Łazienek Królewskich,  Ambasad oraz najwyższych instytucji Państwowych z kancelarią Prezesa Rady Ministrów i Belwederem na czele, czyni nieruchomość niezwykle atrakcyjną dla osób zajmujących eksponowane stanowiska Państwowe. Lokal stanowi odrębną własność, w momencie zakupu można posługiwać się kredytem.Po więcej szczegółów zapraszam do kontaktu telefonicznego oraz na prezentację. Klucze w biurze!Marcin RumianowskiTel. 730 808 166 ::LINK DO STRONY | ::KONTAKT DO AGENTA | Marcin Rumianowski | 730808166 | ::DANE BIURA | Kapica Nieruchomości Puławska | Puławska 1/4 | 05-515 Warszawa | </t>
  </si>
  <si>
    <t>https://otodom.pl/pl/oferta/dwupoziomowy-apartament-pl-unii-lubelskiej-szucha-ID4aE19</t>
  </si>
  <si>
    <t>4aE19</t>
  </si>
  <si>
    <t>Wyjątkowe M-5, Fordon, Przylesie</t>
  </si>
  <si>
    <t>| Polecam czteropokojowe mieszkanie o powierzchni 72,96 m2 z balkonem na Osiedlu Przylesie.
Mieszkanie usytuowane jest na I piętrze w trzypiętrowym bloku.
Nieruchomość obejmuje:
- salon z wyjściem na balkon ( 20 m2),
- trzy sypialnie (10, 56 m2, 8,14 m2, 6,37 m2),
- kuchnię ( 7,66 m2),
- łazienkę ( 5,86 m2),
- WC ( 0,95 m2),
- przedpokój ( 13,42 m2).
Do mieszkania przynależy piwnica.
Pełna infrastruktura komunikacyjna (tramwaj, autobus), szkoły, przedszkola, sklepy.
Jednocześnie blisko tereny zielone.
Informacje dodatkowe:
- ogrzewanie: miejskie,
- wysokość czynszu: 780 zł liczony na 4 osoby,
- układ dwustronny, rozkładowy o ekspozycji północno-południowej,
- blokiem zarządza wspólnota mieszkaniowa,
- miejsca parkingowe dla mieszkańców i gości przed blokiem.
Możliwość zamiany na dom w Bydgoszczy lub Gminie Osielsko za dopłatą.
Pomagamy w uzyskaniu na najlepszych warunkach kredytu hipotecznego oraz gotówkowego na zakup każdej nieruchomości.
Zapraszam do kontaktu.
Pośrednik odpowiedzialny zawodowo za wykonanie umowy pośrednictwa: Andrzej Owczarski (licencja nr: 11511)
-
Treść niniejszego ogłoszenia nie stanowi oferty handlowej w rozumieniu Kodeksu Cywilnego.
|</t>
  </si>
  <si>
    <t>https://otodom.pl/pl/oferta/wyjatkowe-m-5-fordon-przylesie-ID4gZsx</t>
  </si>
  <si>
    <t>4gZsx</t>
  </si>
  <si>
    <t>PARK DULIN'A/Gdańsk 3-pokoje Bezpośrednio</t>
  </si>
  <si>
    <t>https://otodom.pl/pl/oferta/park-dulina-gdansk-3-pokoje-bezposrednio-ID4ltqs</t>
  </si>
  <si>
    <t>4ltqs</t>
  </si>
  <si>
    <t>Drożki – Gmina Rychtal,na sprzedaż mieszkanie 43 m</t>
  </si>
  <si>
    <t>Drożki – Gmina Rychtal, powiat Kępno – na sprzedaż lokal mieszkalny, tzw."CZWORAKI" ,odrębna nieruchomość, z księgą wieczystą udział  25/100 ,parter, z udziałem w gruncie ,o powierzchni działki 365 m kw. o powierz .lokalu 43 m kw. ( pokój z kuchnią) z możliwością zrobienia w lokalu antresoli ,ponieważ lokal ma ponad 5 m wysokości, lokal do remontu kapitalnego, właściwie w stanie surowym, okna – PCV, uzbrojenie : W,E, szambo, brak ogrzewania, 
Cena sprzedaży : 55.000 zł       ARENDA - NIERUCHOMOŚCI</t>
  </si>
  <si>
    <t>https://otodom.pl/pl/oferta/drozki-gmina-rychtal-na-sprzedaz-mieszkanie-43-m-ID4lJLl</t>
  </si>
  <si>
    <t>4lJLl</t>
  </si>
  <si>
    <t>Parter willi 3-y pokoje z ogródkiem i garażem</t>
  </si>
  <si>
    <t xml:space="preserve">Biuro Nieruchomości Fankulewscy oferuje do sprzedaży mieszkanie na parterze willi w obrzeżach Jeleniej Góry. Powierzchnia całkowita mieszkania wraz z piwnicą oraz oszklona werandą wynosi 105m2Powierzchnia mieszkania wynosi 84m2.Powierzchnia mieszkalna składa się z:- salonu 24m2- 2 sypialni 20m2, 14m2- oddzielnej kuchni z oknem 14m2 i wyjściem na oszkloną werandę 6m2 (przez werandę można również wejść do mieszkania).- łazienki z WC i oknem 7,60m2- przedpokoju 4,80m2.Do mieszkania przynależy duża piwnica 15,30m2.Dla wymagającego klienta mieszkanie wymaga wykończenia - stan jak na zdjęciach.Całość ogrzewana piecem gazowym dwufunkcyjnym.Nieruchomość posadowiona jest na działce o powierzchni 978m2, udział sprzedających wynosi 30%.Do ich dyspozycji pozostaje kawałek ogródka i tam też posadowiony jest drewniany garaż i komórka lokatorska.Na wspólnej części zielonej ogródka jest miejsce na grilla i sporo terenu rekreacyjnego.Doskonała lokalizacja w bardzo spokojnej części Jeleniej Góry.Cena podlega rozsądnej negocjacji.Serdecznie zapraszam do prezentacji.W chwili obecnej brak świadectwa charakterystyki energetycznej.Nota prawna . Opis oferty zawarty na naszej stronie internetowej sporządzony jest na podstawie oględzin nieruchomości oraz informacji przekazanych przez właściciela , może on podlegać weryfikacji i nie stanowi oferty określonej w art. 66 i następnych K.C.Pośrednik odpowiedzialny zawodowo za wykonanie umowy pośrednictwa: Violetta Beata Fankulewska (licencja nr: 8236) </t>
  </si>
  <si>
    <t>https://otodom.pl/pl/oferta/parter-willi-3-y-pokoje-z-ogrodkiem-i-garazem-ID4lW5B</t>
  </si>
  <si>
    <t>4lW5B</t>
  </si>
  <si>
    <t>Wyposażone mieszkanie 1pok 32m2, Al. Jerozolimskie</t>
  </si>
  <si>
    <t>Raków, Włochy, Warszawa, mazowieckie</t>
  </si>
  <si>
    <t>Na sprzedaż wykończony i umeblowany, 1-pokojowy lokal (niemieszkalny) o pow. 32,27 m2 zlokalizowany w dzielnicy Włochy przy Al. Jerozolimskich. Mieszkanie znajduje się na 3 piętrze, w nowoczesnym apartamentowcu z 2017 roku. Elegancka klatka schodowa. Budynek strzeżony i monitorowany. W pobliżu węzeł komunikacyjny, obwodnica Warszawy. Dworzec Zachodni 4 km, lotnisko Chopina 7 km. Nieruchomość idealna jako inwestycja pod wynajem. W skład pomieszczeń wchodzą: salon, aneks kuchenny w przedpokoju, łazienka. Ekspozycja okien: północ. Lokal w pełni umeblowany i wyposażony w niezbędny sprzęt (lodówka, zmywarka, płyta indukcyjna, piekarnik, mikrofalówka). Centralna klimatyzacja w lokalu. Wspólne pralnia/suszarnia dostępna na poziomie -1.Koszty utrzymania: czynsz do wspólnoty 800 PLN zawierający zaliczkę na wodę, ogrzewanie, fundusz remontowy + 187,31 PLN miejsce parkingowe w garażu podziemnym + prąd wg wskazań liczników. Miejsce parkingowe  w garażu podziemnym dodatkowo płatne 40.000 PLN (obowiązkowe).Dane kontaktowe do agenta: Agnieszka Pankanin Tel: 888-889-659 E-mail: For service in English call Wojciech Rusin at +4████████████4.-Biuro nieruchomości PROPERCO współpracuje z doświadczonymi specjalistami finansowymi, oferującymi sprawdzenie zdolności kredytowej oraz przedstawienie oferty finansowania nieruchomości / Informacje dotyczące opisu nieruchomości podane są przez właściciela, mają charakter wyłącznie informacyjny i mogą podlegać aktualizacji. Oferta dotycząca nieruchomości nie stanowi oferty określonej w art. 66 i następnych KC.Zapraszamy do siedziby naszego biura w Warszawie przy ul. Brylowskiej 2 lok. 3B (Wola, Czyste).Dane adresowe:PROPERCO sp. z o.o. sp.kul. Brylowska 2 lok. 3B01-216 Warszawa/</t>
  </si>
  <si>
    <t>https://otodom.pl/pl/oferta/wyposazone-mieszkanie-1pok-32m2-al-jerozolimskie-ID4k49o</t>
  </si>
  <si>
    <t>4k49o</t>
  </si>
  <si>
    <t>Przestronny apartament w centrum + antresola !</t>
  </si>
  <si>
    <t>pl. Plac Słowiański, Kętrzyn, kętrzyński, warmińsko-mazurskie</t>
  </si>
  <si>
    <t xml:space="preserve">Przedstawiam Państwu ofertę sprzedaży mieszkania dwupokojowego ( salon z aneksem + sypialnia) z antresolą po gruntownym remoncie (wymienione wszystkie instalacje, podłogi, stolarka drzwiowa i okienna, izolacje ścian i sufitu). Lokal ma powierzchnię użytkową 38,1 m2 ( po podłodze około 80 m2 ) oraz pomieszczenie gospodarcze na tym samym poziomie  o powierzchni 4,4 m2, które można zagospodarować np. na pralnie i suszarnie ( zainstalowane zostały już przyłącza ) Dodatkowo przynależy bardzo duża piwnica o powierzchni 8,2 m2. Mieszkanie przygotowane pod ostatni etap wykończenia - montaż kuchni oraz wykończenie łazienki.
Została przygotowana instalacja pod ogrzewanie elektryczne ale istnieje możliwość montażu instalacji pod ogrzewanie gazowe jak również można wstawić np.kominek 
Mieszkanie bezczynszowe,oplata wspólnoty mieszkaniowej - koszty zarzadu + remontówka obecnie 400zl (nowy dach i elewacja).
Zapraszam do kontaktu i na prezentację.
Dawid Wojciechowski
794 219 965
</t>
  </si>
  <si>
    <t>https://otodom.pl/pl/oferta/przestronny-apartament-w-centrum-antresola-ID4mniY</t>
  </si>
  <si>
    <t>4mniY</t>
  </si>
  <si>
    <t>Przytulne mieszkanie</t>
  </si>
  <si>
    <t>ul. Łukowa, Służew, Mokotów, Warszawa, mazowieckie</t>
  </si>
  <si>
    <t>Jasne, przestrzenne mieszkanie. Przedpokój w kształcie litery L. Osobne wejścia do każdego z pomieszczeń; Istnieje możliwość negocjacji ceny.
- kuchnia z oknem (ok 6mkw)
- salon z balkonem (ok 16mkw)
- 1 sypialnia (ok 11mkw)
- 2 sypialnia (ok 11mkw)
- łazienka z wanną (ok 5mkw)
- toaleta (ok 1,5mkw)
- przedpokój (ok 10mkw)
Do mieszkania przynależy piwnica. Przed blokiem dostępne miejsca parkingowe. Istnieje możliwość wykupienia prywatnego miejsca do parkowania.
Ekspozycja okien na dwie strony. Dwie sypialnie po stronie zachodniej, salon i kuchnia po stronie wschodniej. Okna wychodzą na zieloną stronę Dolinki Służewieckiej. Wysokie 1-wsze piętro. Z naturalnym dostępem światła.
Blok odnowiony, wewnątrz i na zewnątrz, wykonana termomodernizacja.
Mieszkanie znajduje się w cichej i spokojnej okolicy z zielenią wokół. Park Dolina Służewiecka. Dobra infrastruktura. Blisko metro Służew - 10 min pieszo lub 2 przystanki autobusowe. Blisko szkoła, przedszkole, sklep, place zabaw. Szybki wjazd/wyjazd w Warszawy.
Zachęcamy do kontaktu i obejrzenia mieszkania. Nie prowadzimy sprzedaży z biurem nieruchomości. Sprzedajemy mieszkanie samodzielnie. Prosimy o kontakt w mailowy w celu umówienia spotkania.</t>
  </si>
  <si>
    <t>https://otodom.pl/pl/oferta/przytulne-mieszkanie-ID4kzyG</t>
  </si>
  <si>
    <t>4kzyG</t>
  </si>
  <si>
    <t>Wygodne Mieszkanie na Osiedlu Architektów B2.3.M81</t>
  </si>
  <si>
    <t>Przedmiotem ogłoszenia jest 1-pokojowe mieszkanie numer B_81 położone na 3. piętrze w inwestycji Osiedle Architektów. To wyjątkowy lokal o powierzchni 25,54 m kw. Cechą inwestycji jest wysoki standard i świetna lokalizacja.Istnieje możliwość zakupienia komórki lokatorskiej lub miejsca postojowego w garażu podziemnym.O inwestycjiOsiedle Architektów to kompleks dwóch eleganckich budynków mieszkalnych realizowany w południowej części Rzeszowa.Nowoczesna bryła budynku, dogodne układy i dobre doświetlenie pomieszczeń zapewnią przyszłym mieszkańcom wysoki komfort każdego dnia. Osiedle Architektów proponuje zarówno funkcjonalne mieszkania, jak i nietuzinkowe rozwiązania!Prestiżu dodadzą mu przeszklone tarasy oraz loftowy charakter elewacji. Co nas wyróżnia?Jakość wykonania i podejście do potrzeb przyszłych mieszkańców!Kawa na tarasie z widokiem na panoramę miasta czy odpoczynek na leżaku we własnym ogródku? Wybór należy do Ciebie. Pomożemy Ci wybrać wymarzone mieszkanie!To idealne miejsce dla par, singli oraz rodzin z dziećmi. Osiedle Architektów to także zieleń blisko Ciebie!W trosce o estetykę osiedla oraz środowisko wpisaliśmy w projekt liczne zielone nasadzenia oraz wydzieliliśmy teren zielony bogaty w drzewa oraz krzewy gdzie odpoczniesz czytając ulubioną książkę, zaś dla małych mieszkańców oddamy nowoczesne i bezpieczne place zabaw.Ponadto przestronna hala garażowa, komórki lokatorskie, nowoczesne windy, dostępne dla mieszkańców rowerownie oraz stojaki rowerowe - to wszystko dla usprawnienia codziennej komunikacji.Topowa lokalizacjaOsiedle Architektów zlokalizowane jest u zbiegu ulic Architektów i Solidarności w południowej części Rzeszowa.Usytuowanie inwestycji pozwala na szybkie przedostanie się do innych części miasta oraz dostęp do sklepów i restauracji, placówek oświaty oraz komunikacji miejskiej. Tutaj wszędzie jest blisko!Sklep spożywczy Delikatesy Centrum 90mPrzychodnia 90mŻabka 110mApteka 130mKościół 200mSklep spożywczy Stokrotka 230mPlac Zabaw 330mPoczta 420mStacja Paliw ORLEN 480mFly Park 630mRestauracja Gościniec 740m Politechnika Rzeszowska 790mBiedronka 820mKino Helios 1,4kmMc Donald's 1,6kmO deweloperzeARCH-DOM Development S.A. to spółka - córka Przedsiębiorstwa Handlowo- Usługowego DOMAR Sp. z o.o., które na rynku podkarpackim działa w oparciu o 50-letnie doświadczenie.Nieruchomości to nasza pasja!Spółka ta powstała z myślą o stworzeniu idealnego miejsca do zamieszkania, w którym każdy poczuje się bezpiecznie, wyjątkowo i komfortowo.Zadowolenie naszych klientów jest naszym najwyższym priorytetem.Zazdwoń i poznaj szczegóły naszej oferty!</t>
  </si>
  <si>
    <t>https://otodom.pl/pl/oferta/wygodne-mieszkanie-na-osiedlu-architektow-b2-3-m81-ID4dzMd</t>
  </si>
  <si>
    <t>4dzMd</t>
  </si>
  <si>
    <t>ok. Sierakowa- Mieszkania Deweloperskie od 52M-81M</t>
  </si>
  <si>
    <t>27 lat doświadczenia w nieruchomościach. Bezpieczeństwo transakcji!Wynagrodzenie pośrednika  pokrywa sprzedający !LOKALIZACJA WYJATKOWA: ok. Sierakowa, sąsiedztwo Puszcza Notecka , między 2 jeziorami: Lutom 300m, Jaroszewskie 200mJeżeli chcesz spędzić lato w okolicach Puszczy Noteckiej , to to mieszkanie jest gotowe do wprowadzenia i cieszenia się urokami przyrody ! Sprzedaż mieszkań w stanie deweloperskim lub do wykończonym / płytki, panele, drzwi, wykończona łazienka/ w zależności od potrzeb klienta. Mieszkania letniskowe- całoroczne (z możliwością zameldowania)  ok. Sierakowa, do każdego przynależy ogródek około 230mWYBÓR : 51,53M(2 pokoje), 53,72M(2pokoje), 80,49M(4 pokoje),  81,36M(4 pokoje). Wybór mieszkań w budynku 4 lokalowym powierzchnia  całkowita budynku  264,91m, na działce 1008m,  wybudowanym z najlepszych materiałów w 2023r, budynek o ciekawej bryle architektonicznej,  w części z poddaszem użytkowym .WYKOŃCZENIE i BUDOWA  : - cegła porothem-styropian grafitowy 15 cm- ocieplenie/-okna plastikowe + rolety-otynkowany, tynk akrylowy-tarasy wykończone płytkami- dach pokryty blachodachówką, izolowany wełną mineralną i płytą O.S.B.- teren ogrodzony- kanalizacja- woda miejska- ogrzewanie, chłodzenie klimatyzacja- kominekSTAN DEWELOPERSKI = 1m brutto= 8500zl- wszystkie instalacje rozprowadzone- kanalizacja, klimatyzacja, miejsce na kominek - ściany gipsowane- schody sosnowe na poddaszu- rolety zewnętrzne, na drzwi tarasowe rolety elektryczne na parterze- alarmSTAN WYKOŃCZONY : 1m=9300zl -ściany gipsowane -klimatyzacja, miejsce  na kominek -rolety zewnętrzne na parterze -łazienka wykończona komplet (prysznic, umywalka,) -drzwi wewnętrzne-panele AC5UKŁAD MIESZAKŃ :1.mieszkania  2 pokojowe na jednym poziomie- parter : pokój z aneksem kuchennym 36,85m, sypialnia 10m,łazienka 6m 2.mieszkania 4 pokojowe- 2 poziomowe,  parter i poddasze: pokój z  aneksem kuchennym 39,10m, sypialnia 9,50m, łazienka 5,12m, poddasze 2 pokoje   BUDYNEK  ZEWNĘTRZNIE, CAŁKOWICIE WYKOŃCZONY, OTYNKOWANY, TEREN OGRODZONY . Jeżeli chcesz spędzić lato w okolicach Puszczy Noteckiej , to to mieszkanie jest gotowe do wprowadzenia i cieszenia się urokami przyrody ! Nie czekaj, bądź pierwszy !Oferta wysłana z programu dla biur nieruchomości ASARI CRM ()</t>
  </si>
  <si>
    <t>https://otodom.pl/pl/oferta/ok-sierakowa-mieszkania-deweloperskie-od-52m-81m-ID4m62T</t>
  </si>
  <si>
    <t>4m62T</t>
  </si>
  <si>
    <t>Wygodne Mieszkanie Osiedle Słoneczne | 60B</t>
  </si>
  <si>
    <t>Oferta
Przedmiotem ogłoszenia jest 2-pokojowe mieszkanie położone na czwartym piętrze w inwestycji Osiedle Słoneczne. To wyjątkowy lokal o powierzchni 53,1 m kw. Cechą inwestycji jest wysoki standard i świetna lokalizacja. Zapraszamy do zapoznania się z ofertą i do kontaktu.
Inwestycja
Kolejna odsłona Osiedla Słonecznego, to nowoczesne budownictwo pełne innowacyjnych rozwiązań usytuowane w sąsiedztwie lasu. 
Z wszelką dbałością zaprojektowano każdy detal, mając na uwadze dobro mieszkańców, jak i otaczającego krajobrazu.
Wydzielona strefa zabaw dla dzieci otoczona zharmonizowaną kompozycją roślin nadaje inwestycji unikatowy charakter. 
Kompleks mieszkalny docelowo składać się będzie z trzech budynków. Pierwszy budynek drugiego etapu, to 66 lokali mieszkalnych, które swoją aurą zapraszać będą w komfortową przestrzeń wypełnioną swobodą możliwości aranżacyjnych. 
Osiedle Słoneczne to projekt doskonale wpisujący się w kameralny charakter Solca. To ponadczasowe kolory i elegancja w każdym detalu.
kameralny, pięciopiętrowy budynek
66 przytulnych mieszkań
garaż podziemny
dwie klatki schodowe z windami
wygodne balkony przynależne do mieszkań
możliwość łączenia lub zmiany układu mieszkania
parapety z konglometartu
duże okna 
zagospodarowane tereny zielone
wydzielona strefa zabaw dla dzieci 
Lokalizacja
Solec Kujawski, to lokalizacja która łamie stereotypy. To właśnie tutaj można odpocząć, korzystając z takich miejsc jak Jurapark, czy też Park Wodny. Tuż przy Osiedlu powstać ma Nasycalnia Sportu, miejsce które zapewnia niezwykłą sportową przygodę każdemu pokoleniu, to tutaj będzie bić sportowe serce mieszkańców Solca. Bliska odległość takich miejscowości jak Bydgoszcz oraz Toruń pozwala na wiele perspektyw zawodowych. 
Jest w pobliżu wszystkiego co niezbędne – w  okolicy znajdują się szkoły, przedszkola, przychodnie oraz sklepy. Osiedle Słoneczne dzieli krótki spacer od Dworca Głównego, z którego wygodnie można podróżować w każdą część Polski. Takie położenie pozwala na połączenie miejskiego życia z ciągłym kontaktem z naturą. Osiedle zostało zlokalizowane i zaprojektowane z szacunkiem dla otaczającej przestrzeni, zachowując dbałość o komfort i uwzględniając nowoczesność. 
Kameralne Osiedle usytuowane jest w lokalizacji, która zaspokaja wszystkie potrzeby. Tu swoje miejsce znajdą nie tylko rodzinny z dziećmi, ale także seniorzy i single. 
Sąsiedztwo lasu, bliska odległość do centrum, a także dogodny dojazd do Bydgoszczy i Torunia nie stawia żadnych ograniczeń. 
Do najważniejszy punktów na mapie Solca z Osiedla mamy: 
Szkoła Podstawowa nr 1 – 0,8 km 
Żłobek – 1,4 km
Przedszkole – 0,8 km 
Dworzec PKP – 1,4 km 
Sklep Spożywczy – 0,5 km 
Apteka – 1,3 km
Przychodnia – 1,5 km
Kościół – 1,2 km
Park Wodny Ośrodka Sportu i Rekreacji – 0,9 km
Zapraszamy do kontaktu!</t>
  </si>
  <si>
    <t>https://otodom.pl/pl/oferta/wygodne-mieszkanie-osiedle-sloneczne-60b-ID4hb5x</t>
  </si>
  <si>
    <t>4hb5x</t>
  </si>
  <si>
    <t>Apartamenty w Trzęsaczu! Basen! Plaża!</t>
  </si>
  <si>
    <t>ul. Pałacowa, Trzęsacz, Rewal, gryficki, zachodniopomorskie</t>
  </si>
  <si>
    <t>Polecamy Państwu apartament położony w urokliwej, nadmorskiej miejscowości Trzęsacz. Budynek znajduje się zaledwie ok. 500 m od pięknej plaży. Idealna oferta dla osób ceniących sobie wypoczynek nad morzem z dala od zatłoczonych kurortów typu Międzyzdroje czy Świnoujście. Proponowany apartament jest częścią inwestycji obejmującej 24 apartamenty o powierzchni od 29 m2 do 66,5 m2. Budynek stoi w miejscu pałacowej stajni i jest połączeniem nowoczesności z klimatem pobliskiego pałacu. Mur pruski oraz liczne drewniane elementy przepięknie nawiązują do byłej oraz istniejącej zabudowy. Apartament będący przedmiotem tej oferty znajduje się na piętrze i ma powierzchnię 37,02 m2. Składa się z salonu z aneksem kuchennym, sypialni, łazienki i przedpokoju.Z salonu jest wyjście na DWA słoneczne balkony z ładnym widokiem na zieleń!  Zapraszam do przejrzenia galerii. Znajduje się tam rzut lokalu oraz całej kondygnacji.Na terenie obiektu znajduje się plac zabaw oraz podgrzewany pompą ciepła basen tylko do użytku właścicieli!Deweloper planując inwestycję postawił na nowoczesność i ekologię. W każdym z apartamencie zastosowany został system rekuperacji, a na dachu zamontowane zostały panele fotowoltaiczne.Ogrzewanie apartamentów poprzez indywidualne piece gazowe.Czynsz wynosi 8,5 zł/m2 w tym utrzymanie wszystkich części wspólnych. Apartamenty oddawane są w stanie deweloperskim.Możliwość wykończenia 'pod klucz' w ramach dodatkowych funduszy.Budowa została już zakończona, trwają prace porządkowe. Planowany termin podpisywania umów przeniesienia własności to kwiecień/maj 2023 r.Na terenie inwestycji znajdują się 24 prywatne miejsca postojowe. Istnieje możliwość kupienia takiego miejska za dodatkową kwotę 35 tyś. netto.Podana cena jest ceną netto. Cały projekt objęty jest stawką 23 % VAT.Zapraszamy na niewątpliwie miłą dla oka prezentację!!!Treść niniejszego ogłoszenia nie stanowi oferty handlowej w rozumieniu Kodeksu Cywilnego. Treść ma charakter informacyjny i zalecamy ich osobistą weryfikację.Pośredniczymy w transakcjach obrotu nieruchomościami i pomagamy uzyskać kredyt hipoteczny na terenie całej Polski. Posiadamy 10 oddziałów - w Szczecinie, Warszawie, Poznaniu, Gdańsku, Olsztynie, Rzeszowie, Białymstoku i Lublinie. Nasi agenci bezpłatnie dojeżdżają do Klientów. Jesteś zainteresowany niezobowiązującym spotkaniem? Zadzwoń do nas już dziś.Oferta wysłana z programu dla biur nieruchomości ASARI CRM ()</t>
  </si>
  <si>
    <t>https://www.otodom.pl/pl/oferta/apartamenty-w-trzesaczu-basen-plaza-ID4lx5d</t>
  </si>
  <si>
    <t>4lx5d</t>
  </si>
  <si>
    <t>Dom z możliwością prowadzenia usług w Szczecinku</t>
  </si>
  <si>
    <t>ul. Szymanowskiego, Szczecinek, szczecinecki, zachodniopomorskie</t>
  </si>
  <si>
    <t>Polecamy na sprzedaż nieruchomość mieszkalną z możliwością prowadzenia działalności gospodarczej w Szczecinku przy ul. Szymanowskiego. Dom o powierzchni 184m2 znajduje się na działce o powierzchni 946m2 całkowicie ogrodzonej i zagospodarowanej. Nieruchomość może z powodzeniem pełnić dwie funkcje mieszkalną i działalności usługowej.
Dom 3 kondygnacyjny składa się z:
I kondygnacja:
pomieszczenia gospodarcze
garaż
II kondygnacja część pierwsza:
wiatrołap
2 pokoje – wyjście na duży taras
kuchnia z osobną spiżarnią
łazienka
II kondygnacja część druga:
2 pokoje
kuchnia
łazienka
III kondygnacja
3 pokoje – z jednego wyjście na balkon, z drugiego na loggie
łazienka
Dom wybudowany w latach 80-tych, okna PCV, dach pokryty papą, ogrzewanie C.O.
Świetna lokalizacja  z doskonałym  dostępem do szkoły, sklepów i komunikacji miejskiej. Nieruchomość położona blisko strefy aktywnego wypoczynku z oczkiem wodnym, siłownią, placem zabaw.
Zapraszamy do kontaktu i osobistego zapoznanie się z nieruchomością.</t>
  </si>
  <si>
    <t>https://www.otodom.pl/pl/oferta/dom-z-mozliwoscia-prowadzenia-uslug-w-szczecinku-ID4lAv7</t>
  </si>
  <si>
    <t>4lAv7</t>
  </si>
  <si>
    <t>\Wyposażony i wyremontowany - 0 % Prowizji!</t>
  </si>
  <si>
    <t>Bojszów, Rudziniec, gliwicki, śląskie</t>
  </si>
  <si>
    <t>--- KUPUJĄCY NIE PŁACI PROWIZJI --- --- DOM W BOJSZOWIE --- Tylko u nas! --- Nieruchomość w pełni wyposażona w RTV, AGD ORAZ MEBLE. ZOSTAJE WSZYSTKO --- Z ogromną przyjemnością chciałbym Państwu zaprezentować nieruchomość o powierzchni użytkowej 190 m2, położoną w Bojszowie w powiecie gliwickim, w gminie Rudziniec. Bojsz&amp;oacute;w to niewielka wieś sołecka, kt&amp;oacute;ra położona jest z dala od miejskiego zgiełku, a zarazem z bardzo dobrym dojazdem do centrum Gliwic (ok. 15 km). Lokalizacja jest idealna dla os&amp;oacute;b ceniących sobie spok&amp;oacute;j, ciszę i żyjących w zgodzie z naturą. W SKŁAD PARTERU WCHODZĄ:salon - wyposażony w kanapę TYPU &amp;quot;L&amp;quot;, stolik, wysokiej klasy kominek, telewizor &amp;quot;LG&amp;quot;, kino domowe &amp;quot;DENON&amp;quot; kuchnia połączona z jadalnią  - w pełni wyposażona w wysokiej klasy sprzęty AGD (lod&amp;oacute;wka dwu drzwiowa &amp;quot;SAMSUNG&amp;quot;, zmywarka &amp;quot;BOSCH&amp;quot;, piekarnik &amp;quot;whirlpool&amp;quot;,płyta indykcyjna &amp;quot;whirlpool&amp;quot;,okap, mikrofal&amp;oacute;wka &amp;quot;SAMSUNG&amp;quot;) łazienka z prysznicem i WC garaż z wejściem do kotłowni  - garaż o powierzchni ok. 20 m2, z przejściem do kotłowni w kt&amp;oacute;rej zamontowana została pompa ciepła firmy &amp;quot;NIBE&amp;quot;.  taras - wybrukowany, na kt&amp;oacute;rym jest Jacuzzi, huśtawka, oraz dojście do grilla betonowego. wiatrołap PIĘTRO:5 całkowicie niezależnych pokoi - (3 sypialnie, gabinet, garderoba) balkon łazienka - z wanną, prysznicem typu &amp;quot;WALK-IN&amp;quot;, dwoma umywalkami i WCstrych - z powodzeniem pomieścimy w nim sprzęty gospodarstwa domowego. DODATKOWE INFORMACJE:- budynek zakupiony w 2013 roku w stanie deweloperskim, wykończony został w 2017 roku.- budynek ocieplony styropianem  i porotherm&amp;#39;em - sufity napinane w sypialni, salonie oraz łazience - klimatyzacja &amp;quot;VIVAX&amp;quot;- dach skośny, dwuspadowy, pokryty dach&amp;oacute;wką oraz ocieplony wełną szklaną- alarm na czujnik ruchu - na terenie posesji wybudowany został dodatkowy garaż dwu stanowiskowy o pow. ok 50 m2. - dwie bramy wjazdowe, elektryczne- dojazd do posesji - asfalt- oświetlenie zewnętrzne - monitoring zewnętrzny oraz wewnętrzny - ogrzewanie: pompa ciepła &amp;quot;NIBE&amp;quot; - przydomowa oczyszczalnia ściek&amp;oacute;w  - ogrzewanie podłogowe na parterze, oraz w g&amp;oacute;rnej łazience - na podłogach: wysokiej klasy kafle- studnia - linie telefoniczne oraz światłow&amp;oacute;d CAŁE WYPOSAŻENIE DOMU ZOSTAJE! W cenie domu całe wyposażenie widoczne na zdjęciach, a także kosiarka, piła mechaniczna, narzędzia itp. Gł&amp;oacute;wnym atutem, kt&amp;oacute;ry chciałbym podkreślić jest LOKALIZACJA nieruchomości oraz duża, otwarta przestrzeń wok&amp;oacute;ł domu, kt&amp;oacute;ra będzie niewątpliwie idealnym miejscem do spędzania wsp&amp;oacute;lnie czasu w gronie najbliższych, ale r&amp;oacute;wnież spotkań towarzyskich na świeżym powietrzu czy miejsce do zabaw dla najmłodszych. Okolica, w kt&amp;oacute;rej położony jest budynek, oferuje r&amp;oacute;wnież sporo atrakcji i jest świetnym miejscem wypadowym.W niedalekiej odległości znajdują się: - wyjazd na Drogę Krajową 88 (ok. 6km)- dojazd do centrum Gliwic (ok. 15&amp;#39;) - lekarz rodzinny - szkoła podstawowa - przystanek autobusowy - sklep - ścieżki rowerowe - stawy hodowlane - lasy Kupno domu to bardzo ważna decyzja, na wiele lat. Dom to nasze miejsce na ziemi, powinno być wygodne oraz dopasowane do naszych potrzeb. A zatem jeśli zależy Ci na miejscu położonym z dala od miejskiego zgiełku, a zarazem z dogodnym dostępem do wszelkich ośrodk&amp;oacute;w użyteczności publicznej to ta oferta jest właśnie dla Ciebie. Spełnij marzenie swoje i swoich najbliższych!Zapraszam do kontaktu, chętnie udzielę więcej informacji! Nieruchomością opiekuje się Michał: 786 841 571  ::KONTAKT DO AGENTA Michał Nikodem786841571</t>
  </si>
  <si>
    <t>https://otodom.pl/pl/oferta/wyposazony-i-wyremontowany-0-prowizji-ID4hQlW</t>
  </si>
  <si>
    <t>4hQlW</t>
  </si>
  <si>
    <t>Winda, rolety zewnętrzne, podłogówka, klimatyzacja</t>
  </si>
  <si>
    <t>Najlepsza lokalizacja i najwyższy standard w Żywcu!
Nasza nowa inwestycja realizowana jest w centrum Żywca przy ulicy Świętokrzyskiej i obok świetnej lokalizacji wyróżnia się bardzo wysokim standardem, który z całą pewnością zaspokoi oczekiwania nawet najbardziej wymagających:
wygodne dla mieszkańców windy osobowe,
najwyższej jakości stolarka okienna firmy REHAU,
do wyjścia na przestronne tarasy o powierzchni około 9 mkw prowadzą okna uchylno / przesuwne firmy REHAU,
elektryczne rolety zewnętrzne zapewniają dodatkowy komfort oraz oczekiwaną prywatność,
najwyższej jakości drzwi wejściowe do budynków jak również apartamentów,
ogrzewanie podłogowe zapewniający komfort mieszkania w okresie zimowym,
wylewki anhydrytowe charakteryzuje się doskonałym przewodnictwem cieplnym co w połączeniu z oferowanym ogrzewaniem podłogowym pozwala na znacznie szybsze nagrzewanie pomieszczeń i lepszy komfort użytkowania systemów z ogrzewaniem podłogowym, 
instalacja pod przyszły montaż klimatyzacji zapewniająca komfort w okresie letnim,
wygodne miejsca postojowe w garażu podziemnym,
komórki lokatorskie w garażu podziemnym,
monitoring osiedla...
Do apartamentu można dodatkowo nabyć:
zewnętrzne miejsce postojowe w cenie 15.000,- PLN
miejsce postojowe w garażu podziemnym w cenie 35.000,- PLN
miejsce postojowe w garażu podziemnym wraz z komórką lokatorską w cenie 39.000,-
Serdecznie zapraszamy na stronę inwestycji - przySwietokrzyskiej kropka pl
W przypadku pytań jesteśmy do Państwa dyspozycji pod numerem 602 123 456</t>
  </si>
  <si>
    <t>https://otodom.pl/pl/oferta/winda-rolety-zewnetrzne-podlogowka-klimatyzacja-ID4e4Q7</t>
  </si>
  <si>
    <t>4e4Q7</t>
  </si>
  <si>
    <t>al. Wyścigowa, Służewiec, Mokotów, Warszawa, 3pok.</t>
  </si>
  <si>
    <t>Służew, Mokotów, Warszawa, mazowieckie</t>
  </si>
  <si>
    <t>Sprzedam bezpośrednio mieszkanie ciche z pięknym widokiem na tereny zielone i bardzo dobrze skomunikowane.
Mieszkanie znajduje się  w nowoczesnym apartamentowcu na Mokotowie, oddanym do użytku w 2012 roku, w inwestycji Point House.
Trzypokojowy apartament  o powierzchni 73 m kw. zlokalizowany jest na I piętrze, przy Al. Wyścigowej  na Służewcu.
Opis mieszkania 
W skład apartamentu wchodzi: – salon z aneksem kuchennym (ok. 33 m2) – sypialnia (ok. 13,5 m2) sypialnia (ok. 12,7 m2) – łazienka (ok. 3,7 m2) – WC( ok. 3 m2) – hol ok. 8 m2 – balkon ok. 19 m2
Mieszkanie rozkładowe, wykończone w wysokim standardzie, wnętrze zaprojektowane przez architekta. Wszystkie materiały wykończeniowe z wysokiej jakości materiałów. Duże drewniane okna idealnie doświetlające wszystkie pomieszczenia, z ekspozycją  na południowy zachód, okna posiadają żaluzje zewnętrzne.
Na podłodze drewniany parkiet oraz terakota, salon połączony z otwartą, w pełni wyposażoną kuchnią. Łazienka z wanną i parawanem prysznicowym, wyposażona i wykończona w wysokim standardzie, dodatkowo osobno WC.
W dużej sypialni oraz korytarzu znajdują się funkcjonalne szafy wykonane na wymiar.
Wyjście na balkon z salonu oraz z większej sypialni.
Do budynku przynależy również zamknięte, zielone patio z placem zabaw dla dzieci, dostępne wyłącznie dla mieszkańców. Na parterze budynku znajdziemy sklepy spożywcze, salon kosmetyczny i fryzjera.  
Otoczenie:
Doskonała lokalizacja: 20 minut pieszo do Galerii Mokotów, 10 minut tramwajem do metra Wilanowska, 10 minut samochodem Lotnisko Chopina.
Sklepy: Żabka,  sklepy osiedlowe, Biedronka, ryneczek na Gotarda, Carrefour, Galeria Mokotów;
Rekreacja: liczne tereny zielone, park Dolinka Służewiecka, Potok Służewiecki, Tor Wyścigów Konnych Służewiec;
Edukacja / kultura: przedszkole, szkoła podstawowa, Wydział Zarządzania Uniwersytetu Warszawskiego, Służewski Dom Kultury.
Dodatkowe informacje:
- teren wokół budynku monitorowany i chroniony (recepcja 24h),  w mieszkaniu wideofon;
- miejsce parkingowe wraz z boksem (schowek) -płatne dodatkowo 60 000 zł
CENA OBEJMUJE MEBLE I WYPOSAŻENIE.
Cena do negocjacji.
Agencjom dziękujemy.
 </t>
  </si>
  <si>
    <t>https://otodom.pl/pl/oferta/warszawa-mokotow-sluzewiec-al-wyscigowa-3-pokoje-ID4lPCT</t>
  </si>
  <si>
    <t>4lPCT</t>
  </si>
  <si>
    <t>Dwupokojowy apartament z garderobą</t>
  </si>
  <si>
    <t>Apartament w Kołobrzeg-Podczele wykończony pod kluczGłówne atuty nieruchomości: • cicha i spokojna okolica• bliskość terenów zielonych• blisko morzaNieruchomość złożona z: • sypialnia 10,6 m.kw• salon 26 m.kw• korytarz 4 m.kw• garderoba 3 m.kw• łazienka 6 m.kw W skład nieruchomości wchodzą też:• balkon• miejsce parkingoweTyp ogrzewania: ogrzewanie miejskie. Typ własności: własność. Szukasz wymarzonego apartamentu w spokojnej zacisznej części parku nadmorskiego - ta oferta jest właśnie dla Ciebie. Nieruchomości znajduje się we wschodniej dzielnicy Kołobrzegu, w Podczelu. Po wejściu do apartamentu widzimy w pełni wyposażoną kuchnię połączoną z salonem. Wymarzone miejsce na wypoczynek z widokiem na park. Z salonu możemy wejść do sypialni oraz garderoby. Duża łazienka wykończona w nowoczesnym stylu będzie idealnym miejscem, gdzie po aktywnym dniu można zaznać odrobiny relaksu.Wychodząc z salonu na duży, zachodni taras możemy pełną piersią wdychać świeże nadmorskie powietrze, bogate w prozdrowotny jod. Apartament przeszedł całkowity remont, wszelkie wyposażenie jest wymienione i pachnie jeszcze zapachem nowości. Nieruchomość mieści się w apartamentowcu składającym się z około 45 lokali. Na terenie obiektu są miejsca parkingowe dostępne dla właścicieli. Tylko 800 metrów chronionym parkiem od morza, gdzie nie powstaną nowe zabudowania.Istnieje opcja przekazania apartamentu do zarządzania.Jeśli chciałbyś odpoczywać wśród natury, w otoczeniu Ekoparku Wschodniego - to ta oferta jest dla Ciebie!Zadzwoń teraz i umów się na spotkanie! Jesteśmy dostępni od poniedziałku do soboty, w godzinach od 9:00 do 18:00.Oferta dostępna tylko w Metrohouse. ZADZWOŃ: 668 310 999.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</si>
  <si>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https://otodom.pl/pl/oferta/dwupokojowy-apartament-z-garderoba-ID4ijgp</t>
  </si>
  <si>
    <t>4ijgp</t>
  </si>
  <si>
    <t>Pogórze/ ogródek/ Do wprowadzenia/ Blisko morza</t>
  </si>
  <si>
    <t>ul. Tadeusza Kościuszki, Pogórze, Kosakowo, pucki, pomorskie</t>
  </si>
  <si>
    <t>Zalety nieruchomości:- mieszkanie gotowe do wprowadzenia,- w okolicy place zabaw, boiska do gry w piłkę nożną, koszykówkę,- łatwy dojazd do Centrum Gdyni oraz obwodnicy Trójmiasta,- blisko przystanek autobusowy,- w pobliżu pełna infrastruktura usługowo-handlowa,- niedaleko nadmorskich miejscowości turystycznych Rewa i Mechelinki,Budynek:Mieszkanie na Osiedlu Na Fali w Pogórzu. Blok czteropiętrowy wybudowany w 2017 roku. Wejście do klatki zabezpieczone domofonem. Budynek wyposażony w windę.Lokalizacja:Osiedle mieści się w Pogórzu, jest bardzo dobrze skomunikowane z centrum Gdyni oraz z trójmiejska obwodnicą. Dużym atutem jest również bliskość morza, plaża na Oksywiu i Babich Dołach. Infrastruktura dzielnicy pozwala cieszyć się bliskością licznych placówek edukacyjnych, placówek opieki zdrowotnej oraz licznych punktów usługowych i obiektów handlowych.Nieruchomość:Nieruchomość wykończona wysokiej klasy materiałami, gotowe do wprowadzenia. Mieszkanie o łącznej powierzchni 29,5m2, składa się z pokoju dziennego z aneksem kuchennym, sypialni, pokoju, łazienki oraz przedpokoju . Miejsce postojowe zewnętrzne dodatkowo płatne 15000zł, zakup obligatoryjny.Opłaty 300 zł/mc (lato),  550zł/mc (zima).Zapraszam do kontaktuDOBRY POŚREDNIK NIERUCHOMOŚCIBartłomiej Gzyl573 343 115</t>
  </si>
  <si>
    <t>https://otodom.pl/pl/oferta/pogorze-ogrodek-do-wprowadzenia-blisko-morza-ID4mkbf</t>
  </si>
  <si>
    <t>4mkbf</t>
  </si>
  <si>
    <t>Przytulne 76m2 z Ogródkiem, Atrakcyjna Lokalizacja</t>
  </si>
  <si>
    <t>MIĘTOWA PARK  - domy z ogródkiem w willowej dzielnicy Poznania
Miętowa Park to kameralne osiedle 60 domów z zacisznymi ogródkami w trzech wariantach powierzchni:
- 76m2 - salon z jadalnią, kuchnia, toaleta, 3 sypialnie łazienka
- 91m2 - salon z jadalnią, kuchnia, toaleta, dodatkowe pomieszczenie na parterze, 3 sypialnie, łazienka
- 107m2 - salon, oddzielna jadalnia, kuchnia, toaleta, dodatkowe pomieszczenie na parterze, 4sypialnie, łazienka
[Główne atuty:]
- atrakcyjne położenie w cichej i spokojnej okolicy o willowym charakterze w północnej części Poznania w dzielnicy Naramowice / Umultowo
- własny przydomowy ogródek oraz dwa miejsca parkingowe
- świetna komunikacja miejska i podmiejska – autobus miejski przy ul. Naramowickiej, pętla autobusowa Różany Potok oraz realizowana prze Miasto Poznań trasa tramwajowa na Naramowice
- doskonała infrastruktura – dojazd drogą asfaltową, kanalizacja, dostępność usług multimedialnych INEA z szybkim światłowodowym Internetem
- dużym atutem jest również strych, na który prowadzą składane schody
- dojazd i bezpośredni wjazd na osiedle z drogi asfaltowej
- spokojna okolica – z dala od zgiełku miasta, blisko terenów nadwarciańskich, jeziora Umultowskiego i Rezerwatu Meteoryt Morasko
- ścieżki rowerowe i pobliskie tereny rekreacyjne zapewniają aktywny wypoczynek
- oferowana nieruchomość charakteryzuje się pełną własnością domu i działki
[Szczegóły oferty:]
Parter budynku w większości powierzchni stanowi jasny i przestronny pokój dzienny z wyjściem na ogród, oddzielna kuchnia oraz toaleta. Na piętrze znajdują się trzy sypialnie i duża łazienka. W cenie standardu deweloperskiego proponujemy następujące wyposażenie: betonowe schody wewnętrzne, dwufunkcyjny piec gazowy, grzejniki panelowe (w łazienkach grzejnik typu drabinka), a także zainstalowane kasety do montażu elektrycznych rolet zewnętrzne we wszystkich oknach.
Wyróżnia nas bardzo dobra jakość budowy i zastosowanych materiałów oraz wysoka estetyka wykonania.
Oferowane nieruchomości charakteryzują się pełną własność domu i działki.
[Położenie / Lokalizacja:]
Atrakcyjne położenie w cichej i spokojnej okolicy o willowym charakterze w północnej części Poznania w dzielnicy Naramowice/Umultowo., przy ulicy Miętowej 20.
Dogodna lokalizacja osiedla Miętowa Park umożliwia szybki dojazd do centrum Poznania.
Nieopodal znajduje się autobus miejski przy ul. Naramowickiej, pętla autobusowa Różany Potok oraz realizowana przez Miasto Poznań trasa tramwajowa na Naramowice.
Doskonale rozwinięta infrastruktura okolicy z pewnością zaspokoi wszystkie potrzeby mieszkańców. W pobliżu osiedla mieści się szkoła podstawowa, przedszkole, punkty handlowo – usługowe, Kampus Uniwersytetu UAM oraz centra handlowe na Piątkowie (Tesco, Plaza i Pestka) i kryte pływalnie.
Wielbicieli aktywnego wypoczynku z pewnością ucieszą pobliskie ścieżki rowerowe oraz sąsiedztwo terenów nadwarciańskich, jeziora Umultowskiego i Rezerwatu Metorytów Morasko.
Jandach Deweloper – od ponad 30 lat budujemy marzenia</t>
  </si>
  <si>
    <t>https://otodom.pl/pl/oferta/przytulne-76m2-z-ogrodkiem-atrakcyjna-lokalizacja-ID4bvHW</t>
  </si>
  <si>
    <t>4bvHW</t>
  </si>
  <si>
    <t>Ostatnie wolne mieszkanie 2 pokoje - Odbiór 2023</t>
  </si>
  <si>
    <t xml:space="preserve">
INWESTYCJA OSIEDLE WIERZBOWE
Realizowana inwestycja to zespół nowoczesnych i energooszczędnych budynków wykonanych z najlepszej  jakości materiałów, przy użyciu niezawodnych technologii budowlanych. Głównym założeniem, które przyświecało przy tworzeniu projektu nowej inwestycji w Żywcu było stworzenie miejsca przyjaznego mieszkańcom, w którym każdy będzie mógł poczuć się komfortowo.
Bryła budynku została zaprojektowana w oparciu o modernistyczną i oryginalną elewację, która jednocześnie urzeka prostotą formy i kształtu. W każdym z budynków znajdują się 24 mieszkania o zróżnicowanej powierzchni od 26 m2 do 67 m2, z możliwością ich dalszego łączenia. Każde z mieszkań posiada od 1 do 3  zamkniętych sypialni, przestronny salon z kuchnią oraz łazienkę.
Mieszkania na parterze  mają bezpośredni dostęp do prywatnych ogródków, które można dostosować do własnych potrzeb. Mieszkania na wyższych kondygnacjach posiadają duże i przestronne balkony zaprojektowane tak by zapewniały prywatność oraz możliwości aranżacji własnej strefy wypoczynku. Na terenie inwestycji będą znajdowały się również wydzielone miejsca postojowe przypisane do każdego z mieszkań.
Każde z mieszkań zostanie wykończone w standardzie deweloperskim, klatki schodowe i komunikacja do mieszkań zostanie wykończona z dbałością o szczegóły, pod nadzorem projektanta wnętrz, posadzka zostanie wykonana z kamienia naturalnego. Teren inwestycji w końcowej fazie zostanie zagospodarowany i obsadzony roślinnością podkreślającą nowoczesny charakter inwestycji.
Lokalizacja Osiedla 
Osiedle Wierzbowe zostało lokalizowane w cichej i ustronnej części Żywca - Sporyszu, przy ul. Stawy. Inwestycja znajduje się w pobliżu strefy rekreacyjnej miasta. Mieszkańcy osiedla będą mieć możliwość uprawiania wielu sportów, korzystania ze ścieżki pieszo-rowerowej nad Jezioro Żywieckie, wypoczynku na licznych progach wodnych nad rzeką Koszarawą, a w zimie korzystania z wyciągu narciarskiego. W niedalekiej odległości znajduje się Amfiteatr, w którym organizowane są liczne wydarzenia kulturalne i sportowe, a także Park Żywiecki z mini zoo.
Zakup bezpośrednio od dewelopera- bez prowizji dla agencji nieruchomości
Niskie koszty utrzymania budynku i opłat administracyjnych
Mieszkania 2 pokojowe –  kondygnacja parter
Salon połączony z aneksem kuchennym - 14,17 m2
Sypialnia - 8,84 m2
Łazienka - 3,91 m2
Komunikacja - 2,92 m2
Łączna powierzchnia użytkowa mieszkania  - 29,84 m2
Dodatkowo do mieszkania przynależy balkon o powierzchni 6,2 m2
Zakup bez PCC  2% - rynek pierwotny
Mieszkanie oddawane jest w stanie deweloperskim
W standardzie klient otrzymuje
Duże 3 szybowe energooszczędne okna elewacyjne zapewniające efektowne doświetlenie
Ogrzewanie podłogowe  na całej powierzchni mieszkania
Instalacja wodno kanalizacyjna w łazienkach , kuchni
Instalacja Internetu światłowodowego oraz TV SAT 
Instalacja elektryczna w każdym z pomieszczeń
Instalacja centralnego ogrzewania i ciepłej wody użytkowej - piec gazowy
Instalacja domofonowa
Drzwi wejściowe z atestowanymi zabezpieczeniami antywłamaniowymi
Tynki gipsowe, cementowe-wapienne w łazienkach
Wylewki betonowe  na całej powierzchni mieszkania
Standard wykonania budynku
Ściany zewnętrze i działowe murowane z energooszczędnego Bloczka Silikatu
Fundament wykonany na płycie fundamentowej  zaizolowanej 15 cm warstwą styropianu
Izolacja ścian zewnętrznych Styropian fasadowy grubość 15 cm z tynkiem  zewnętrznym
Stropy wewnętrzne żelbetowe typu Filigram
Balkony zewnętrzne żelbetowe wyposażone  z barierkami  wypełnię siatka cięto ciągniona stal perforowaną lub szyba bezpieczna matowa
Murowane kanały wentylacyjne w kuchni , łazience
Standard wykonania klatki schodowej
Okładzina podłogowa z kamienia naturalnego/ płytek ceramicznych ( granit/marmur)
Barierki schodowe nierdzewne z wypełnieniem z szkła bezpiecznego
Ściany wewnętrzne wykończone
Drzwi zewnętrzne z zabezpieczeniami antywłamaniowymi oraz instalacją videodomofonową
Nowoczesne oświetlenie szynowo przewodowe
Oświetlenie schodowe LED
Zagospodarowanie terenu osiedla
Liczne nasadzenia z drzew i krzewów na terenie inwestycji
Oświetlenie zewnętrzne ciągów komunikacyjnych oraz parkingów
Wydzielone przestrzenie pod ogródki dla mieszkań znajdujących się na parterze
Wydzielone miejsca postojowe wykonane w technologii kostki brukowej i geokraty
Plac zabaw dla dzieci
System monitoringu parkingów znajdujących się na terenie osiedla
Ogrodzony i zamknięty teren inwestycji
</t>
  </si>
  <si>
    <t>https://otodom.pl/pl/oferta/ostatnie-wolne-mieszkanie-2-pokoje-odbior-2023-ID4ma8L</t>
  </si>
  <si>
    <t>4ma8L</t>
  </si>
  <si>
    <t>Vista by kras-dom Mieszkanie 74,91 m2</t>
  </si>
  <si>
    <t>Bolesławiec, bolesławiecki, dolnośląskie</t>
  </si>
  <si>
    <t>Vista by KRAS-DOM to pierwsza taka inwestycja w Bolesławcu, w ramach której powstaną lokale mieszkalne z widokiem na panoramę miasta, usytuowane w trzech 9-kondygnacyjnych budynkach wielorodzinnych oraz lokale usługowe. Inwestycja zlokalizowana będzie w obrębie ulic Staroszkolnej i Hutniczej w Bolesławcu. W ofercie posiadamy mieszkania dwu-, trzy- oraz czteropokojowe. Dla naszych klientów zaprojektowano lokale o zróżnicowanych metrażach w przedziale 46-94 m2, każdy z przestronnym tarasem oraz komórką lokatorską w cenie. Budynki wyposażone będą w nowoczesne windy, którymi mieszkańcy będą mogli dostać się z garażu podziemnego do swojego mieszkania. Niewątpliwym atutem podnoszącym prestiż inwestycji jest lokalizacja. Budynki zlokalizowane w bezpośrednim sąsiedztwie pasażu handlowego i sklepu spożywczego oraz kilka minut pieszo od bolesławieckiego Rynku, a jednocześnie z dala od ruchliwych ulic.</t>
  </si>
  <si>
    <t>https://otodom.pl/pl/oferta/vista-by-kras-dom-mieszkanie-74-91-m2-ID4lVXg</t>
  </si>
  <si>
    <t>4lVXg</t>
  </si>
  <si>
    <t>Dom*Fasty*Widokowa*granica Białegostoku</t>
  </si>
  <si>
    <t>Widokowa, Zawady, Białystok, podlaskie</t>
  </si>
  <si>
    <t>Polecamy na sprzedaż  domy w zabudowie bliźniaczej  zlokalizowane w Fastach przy ul. Widokowej, tuż przy granicy Białegostoku.
Świetna lokalizacja gwarantuje doskonałe połączenie z centrum miasta i dostęp do niezbędnej infrastruktury jak również zapewnia bliskość przyrody, obok zielone tereny Puszczy Knyszyńskiej.
 WNĘTRZE I FUNKCJONALNOŚĆ
powierzchnia użytkowa domu z garażem 148,70 m2
działka  375 m2
parter z  dużymi przeszkleniami dające poczucie większej przestrzeni oraz bliskości z naturą
wiatrołap, garderoba,  pomieszczenie gospodarcze, wc i garaż + miejsce postojowe
salon połączony z kuchnią oraz dwa wyjścia na przestronny, zadaszony taras
piętro z  trzema sypialniami, garderobą oraz łazienką z wc, poddasze do zagospodarowania
pomieszczenie gospodarcze z osobnym wejściem z zewnątrz
bezpośrednie przejście z garażu do domu przez wiatrołap
możliwość zamontowania kominka
korzystne usytuowanie budynku względem stron świata
brama garażowa przesuwna – dzięki czemu zyskujemy dodatkowe miejsce postojowe na podjeździe
STANDARD WYKOŃCZENIA
tynki wewnętrzne tradycyjne cementowo-wapienne
posadzki przygotowane do ułożenia podłóg
stolarka PCV, 2 drzwi tarasowych
drzwi wejściowe KMT
brama garażowa segmentowa Horman z napędem
zbiornik na deszczówkę z przyłączem rynien
pokrycie dachowe: dachówka betonowa BRAAS
ocieplenie domu; styropian+tynk silikonowy
instalacja elektryczna, wodno-kanalizacyjna i sanitarna
światłowód
taras, opaska, podjazd i wejście z płyt chodnikowych
ogrodzenie panelowe dookoła posesji
brama garażowa przesuwna z automatem
zagospodarowanie terenu
INSTALACJA WEWNĘTRZNA:
ogrzewanie podłogowe- parter, grzejniki-piętro
ciepła woda podgrzewana w piecu gazowym
podłączenie do gminnej sieci wodociągowej i gazowej
przyłącza pod urządzenia sanitarne
instalacja elektryczna
domofon
wentylacja grawitacyjna
CENY POSZCZEGÓLNYCH SEGMENTÓW:
Segment lewy: 779 000 zł
Segment prawy: 749 000 zł 
Istnieje możliwość wykończenia domu pod klucz, według projektu kupującego.
Kupujący nie płaci podatku PCC (2 %)
Do każdego zakupionego domu voucher na realizację zakupów bez Vat-u oraz wizualizację łazienki w Salonie Łazienek BLU w Białymstoku.
Idealne miejsce dla wielbicieli ciszy i spokoju, bliskości natury oraz dobrej komunikacji z miastem. Zaledwie  10 minut do Centrum Miasta.
Zapraszamy do kontaktu:
tel: 600 899 812
tel: 798 197 360
 </t>
  </si>
  <si>
    <t>https://otodom.pl/pl/oferta/domfastywidokowagranica-bialegostoku-ID4k4Vg</t>
  </si>
  <si>
    <t>4k4Vg</t>
  </si>
  <si>
    <t>Przestronny, jasny apartament - Willa Grottgera</t>
  </si>
  <si>
    <t xml:space="preserve">Mam przyjemność zaprezentować ekskluzywne mieszkanie o powierzchni 68 m2 w prestiżowej lokalizacji.Krowodrza- Łobzów- Grottgera charakteryzuje się kameralną zabudową, piękną przyrodą i licznymi atrakcjami. To również wymarzone miejsce do rekreacji, z wieloma trasami spacerowymi, ścieżkami rowerowymi bezpośrednio przy najdłuższym parku w Polsce- Młynówce Królewskiej. APARTAMENTZnajduje się na 2 piętrze kameralnego budynku z 2018 roku. Składa się na niego:- pokój dzienny z aneksem kuchennym,- przedpokój,- sypialnia I,- sypialnia II,- WC,DODATKOWE INFORMACJE- mieszkanie jasne, bardzo dobrze oświetlone, kameralny budynek (10 lokali)
- pełny projekt stylizacji i wyposażenia mieszkania- sprzęty AGD najwyższej klasy,
- przestronne i eleganckie części wspólne- budynek wyposażony w cichobieżną windę i monitoring,
- do apartamentu przynależy wspólny ogród w otulinie Młynówki Królewskiej
- parking podziemny- wjazd podgrzewany zimą
Komunikacja
Przystanki autobusowe: Radio Kraków, Mazowiecka - wszystkie 10 min pieszo
Przystanek tramwajowy: 8 min pieszo, Urzędnicza
Kraków Główny (PKP): 20 min pieszo
Kraków Łobzów (PKP) i przystanek autobusowy: 15 min pieszoMożliwość dokupienia miejsca postojowego w garażu podziemnym - 65000,-PLNSerdecznie zapraszamy do obejrzenia nieruchomości.
Ogłoszenie jest prywatne. BEZ POŚREDNICTWA.
Agencje pośrednictwa proszone są do ograniczenia kontaktu do umówienia spotkań ze swoimi klientami.
</t>
  </si>
  <si>
    <t>https://otodom.pl/pl/oferta/przestronny-jasny-apartament-willa-grottgera-ID4fvCW</t>
  </si>
  <si>
    <t>4fvCW</t>
  </si>
  <si>
    <t>Przestronny Apartament PREMIUM/ 99,60m2/Zalasewo</t>
  </si>
  <si>
    <t>Apartament nowy ! Nie zamieszkały !
Szukasz czegoś dla siebie i swojej rodziny ? Może jesteście parą i macie w planach powiększyć swoją rodzinę? A może posiadasz kapitał który topnieje Ci z dnia na dzień przez duża inflacje? Jeśli odpowiedziałeś/aś TAK na jedno z trzech pytań to jesteś w dobrym miejscu !
Przestrzenny, dwupoziomowy , z dwoma łazienkami , z czterema pokojami w większości umeblowane pozwalające zamieszkać odrazu, czyli JUŻ TERAZ ! Idealne dla rodzin 2+2, idealne dla par która wyczekują swoich pociech. Dwa wolne pokoje czekają aż zagospodarujesz je w sposób dla Ciebie najbardziej korzystny , czy to pokoje dla dzieci, czy też może biuro jeśli prowadzisz biznes z domu, możesz również przygotować z nich pokój dla rodziny która Cię odwiedza masz pełne pole do popisu ! Wszystko zależy od tego czego chcesz i potrzebujesz . 
 To jest również mieszkanie dla Ciebie jeśli chcesz OCHRONIĆ swój kapitał ! Dziś rentowność wynajmu jest na poziomie 13-14% to dużo więcej niż chociażby lokata w banku ! Pomyśl, gdyż pokoje wolne możesz zagospodarować właśnie pod Twoich wynajmujących ! 
Rozkład mieszkania:
poziom 1
komunikacja 10,60 m2
sypialnia 1. 10.36m2
sypialnia 2. 8.94m2
łazienka (wanna, pralka samsung, suszarka samsung, armatura najwyższej jakości) 5.68m2
salon z aneksem kuchennym (zmywarka samsung, lodówka samsung side by side, piekarnik dualcook samsung, mikrofala samsung, płyta indukcyjna elice Tesla, blaty drewno jesion, pełne umeblowanie kuchenne, schody jesionowe wraz ze szklana balustrada) 33.83m2
balkon 5,32m2
poziom 2 (oddzielony od poziomu 1 estetyczna szklana ściana z wygłuszeniem akustycznym)  
sypialnia 3 (łóżko wymiar 200 x 180, garderoba dla dwóch osób, biurko, uszykowane wyjście pod rzutnik) 24,19m2
łazienka (prysznic, armatura najwyższej, wszędzie mozaika) 6m2
Mieszkanie wyposażone jest w Klimatyzacje MITSUBISHI w części salonowo kuchennej oraz w sypialni na poziomie 2 . 
Dodatkowo system ogrzewania wyposażony jest w sterownik który pozwala precyzyjnie ustawić temperaturę dogodna dla Ciebie w każdym pomieszczeniu ! Główny sterownik jest w przedpokoju ,zaraz koło wideofonu lecz Ty możesz mieć pełna kontrole nad ogrzewaniem ze swojego smartphone ! Co nam to daje ? Pozwala nam to przede wszystkim oszczędzać pieniądze. Dla komfortu w budynku zamontowano stację zmiękczania wody co pozwala wydłużyć żywotność wszyskich sprzętów w domu jak i armatury !!
Dla bezpieczeństwa zainstalowano wewnętrzny i zewnętrzny monitoring !!  
Do apartamentu przynależy miejsce parkingowe w podziemnym parkingu dodatkowo płatne  30 000 zł. 
Lokalizacja apartamentu Poznań/Zalasewo , dlaczego zaspokoi Twoje potrzeby ? już Ci pisze. 
Jeśli potrzebujesz sklepy spożywcze w okolicy masz ich od groma . 
Dino
Lidl
Biedronka
Żabka 
ABC 
do nich wszystkich dojdziesz pieszo są w maksymalnej odległości 750m . 
Masz dzieci ? potrzebujesz żłobka ? przedszkola ? placu zabaw ? a może szkoły czy też uniwersytetu ?
Żaden problem, do większości z tych miejsce dojdziesz spacerem, jeśli jednak potrzebujesz dojechać gdzieś dalej zaledwie 50m od apartamentu masz przystanek autobusowy który pozwoli Ci dostać się tam gdzie potrzebujesz.  
W okolicy pełna infrastruktura, zaplecze medyczne, restauracje, kawiarnie, bary oraz Galeria BUMERANG.
W pobliżu również tereny zielone las oraz Jezioro Swarzędzkie idealne na niedzielne spacery z rodzina czy też rekreacyjny jogging. 
Stan prawny : PEŁNA WŁASNOŚĆ  
Cena : 900000 zł 
Cena obejmuje całe wyposażenie . 
Zapraszam do prezentacji
Kontakt bez pośrednika .</t>
  </si>
  <si>
    <t>https://otodom.pl/pl/oferta/przestronny-apartament-premium-obejrzyj-film-ID4j6wF</t>
  </si>
  <si>
    <t>4j6wF</t>
  </si>
  <si>
    <t>Vista by kras-dom Mieszkanie 67,45 m2</t>
  </si>
  <si>
    <t>https://otodom.pl/pl/oferta/vista-by-kras-dom-mieszkanie-67-45-m2-ID4lVUm</t>
  </si>
  <si>
    <t>4lVUm</t>
  </si>
  <si>
    <t>ParLaMer Pobierowo | przestronne mieszkanie A03</t>
  </si>
  <si>
    <t>ul. Piastowska, Pobierowo, Rewal, gryficki, zachodniopomorskie</t>
  </si>
  <si>
    <t>Przedmiotem ogłoszenia jest 2-pokojowe mieszkanie położone na parterze w inwestycji ParLaMer Pobierowo. To wyjątkowy lokal o powierzchni 39,9 m². Cechą inwestycji jest wysoki standard i świetna lokalizacja. Zapraszamy do zapoznania się z ofertą i do kontaktu.
Zestawienie powierzchni pomieszczeń
P0.01: pokój dzienny z aneksem kuchennym 27,00 m²
P0.02: sypialnia 8,8 m²
P0.03: łazienka 4,1 m²
Łączna powierzenia lokalu: 39,9 m²
Taras: 6,5 m²
Ogródek (razem z tarasem): 33,9 m²
Miejsce parkingowe 20.000 zł netto + 23% VAT
Inwestycja
ParLaMer Pobierowo to nadmorskie apartamenty stanowiące atrakcyjną ofertę zarówno pod inwestycję, jak również doskonałe miejsce wypoczynku dla całej rodziny. To doskonały wybór dla osób ceniących komfort oraz bliskość morza. W budynku znajduje się 15 komfortowych apartamentów, usytuowanych zaledwie 250 metrów plaży. W aktualnej ofercie dostępne są mieszkania z własnym ogródkiem, tarasem lub balkonem o metrażu od 35,4m² do 39,9 m². Kameralny nowoczesny budynek składa się z 2 pięter. Inwestycja posiada także lokale przystosowane dla osób niepełnosprawnych. Dla mieszkańców dostępne są naziemne miejsca postojowe.
Rozpoczęcie budowy to marzec 2022 roku, zakończenie budowy planowane jest na IV kwartał 2022 roku.
Inwestując w Apartamenty ParLaMer Pobierowo nie tylko stajesz się właścicielem wyjątkowego apartamentu nad morzem ale zarabiasz, chroniąc swój kapitał przed inflacją.</t>
  </si>
  <si>
    <t>https://otodom.pl/pl/oferta/parlamer-pobierowo-przestronne-mieszkanie-a03-ID4iplr</t>
  </si>
  <si>
    <t>4iplr</t>
  </si>
  <si>
    <t>Ostróda/Ryn,250m2,wolnostojący,działka3500m2.</t>
  </si>
  <si>
    <t>Ryn, Ostróda, ostródzki, warmińsko-mazurskie</t>
  </si>
  <si>
    <t xml:space="preserve">PRZEPIĘKNY DOM POŁOŻONY W CUDNYCH OKOLICZNOŚCIACH PRZYRODYSOLIDNIE WYBUDOWANY Z DBAŁOŚCIĄ O SZCZEG&amp;Oacute;ŁYJEŚLI SZUKAJĄ PAŃSTWO TAKIEJ NIERUCHOMOŚCI TA OFERTA JEST IDEALNA!!!!!Jednorodzinny dom o powierzchni użytkowej 250m2. (powierzchnia całkowita ok. 300m2.), położony na działce 3500m2. w kształcie kwadratu.Miejscowość RYN, znajdująca się 10 km od OSTR&amp;Oacute;DY i ok. 60km. od OLSZTYNA, wojew&amp;oacute;dztwo warmińsko-mazurskie, powiat ostr&amp;oacute;dzki. Położona u podn&amp;oacute;ża Parku Krajobrazowego Wzg&amp;oacute;rz Dylewskich - około 10 km. od Hotelu Spa Dr Irena Eris .Dom pasywny został wzniesiony w 2014 roku. Dzięki trzyszybowym oknom ( ciepły montaż ) oraz wysokim 3 metrowym fundamentom, odizolowanym styropianem, a także wentylacją mechaniczną z rekuperacją w sufitach oraz podłodze, znacznie  zmniejsza straty ciepła - nawet o 70-90%.W/w wentylacja polega na tym, iż w okresie zimowym świeże, przefiltrowane powietrze przechodzi przez gruntowy wymiennik ciepła, gdzie zostaje wstępnie ogrzane. Następnie trafia do rekuperatora, kt&amp;oacute;ry przekazuje mu ciepło powietrza wywiewanego. Takie rozwiązanie ma na celu ponowne wykorzystanie raz wytworzonej energii &amp;ndash; ciepło ogrzanego powietrza z wewnątrz budynku jest przekazywane świeżemu, przychodzącemu z zewnątrz.Aby system ten był bardziej oszczędny , zostało zamontowane nowoczesne ogrzewanie pompą ciepła sopel lodu z radiatorami -  charakteryzuje się bardzo niskim kosztem eksploatacji w stosunku do konwencjonalnych form ogrzewania. Dodatkowo na działce znajduje się mała farma fotovoltaiczna.Dach pokryty dach&amp;oacute;wką, ocieplony ekofibrą. Woda ciepła ogrzewana pompą ciepła oraz bojlerem. Ekologiczna oczyszczalnia ściek&amp;oacute;w na działce.Na metraż domu składa się:I kondygnacja - parter- wiatrołap pow. 5,5m2.- korytarz pow. 7 m2.- łazienka pow.5,28m2.- salon 36,3 m2.- aneks kuchenny pow.14,5m2.-  pomieszczenie biurowe 10,36m2.- garaż 60 m2 .II kondygnacja - p&amp;oacute;łpiętro- garderoba 28 m2.- pralnia 7,77 m2.III kondygnacja - I piętro- sypialnia 1 - 20,75 m2.- sypialnia 2 - 13,20 m2.- sypialnia 3 - 21m2.- łazienka 1 - 10,51 m2.- łazienka 2 - 7,70 m2.Na I kondygnacji w łazience oraz na podłodze położony jest granit.Kuchnia wyposażona w zabudowę drewnianą, z lod&amp;oacute;wką, zmywarką, płytą indukcyjną oraz okapem.  Taras około 50 m2, podpiwniczony.Na II kondygnacji łazienka r&amp;oacute;wnież wyłożona granitem, natomiast w sypialniach oraz korytarzu położone zostały panele. Z każdej sypialni można wyjść na balkon a także wejść do łazienki. Schody dębowe.Dom stoi  na pięknie zagospodarowanej działce (3500 m2). Dookoła dużo zieleni,  zarybiony staw głębinowy ( około 300-400m2) z odprowadzeniem wody. Woda deszczowa odprowadzana z domu r&amp;oacute;wnież swoje ujście ma w stawie (drenaż ceramiczny) . W głąb działki wyznaczone miejsce do grillowania z grillem z kamienia oraz ławeczkami.CENA DO NEGOCJACJI !!!Nieruchomość godna polecenia zar&amp;oacute;wno na walory lokalizacji jak i zastosowane rozwiązania. Zapraszam na prezentację oferty.Więcej informacji udzielę telefonicznie 505-165-898Niniejsze ogłoszenie nie stanowi oferty w rozumieniu art. 66 par. 1 Kodeksu Cywilnego i ma jedynie charakter informacyjny. Stworzone na podstawie oświadczenia właściciela o stanie prawnym i technicznym. Właścicielem ogłoszenia oraz poszczeg&amp;oacute;lnych jego element&amp;oacute;w jest GALERIA  NIERUCHOMOŚCI HANNA TETMER-RZEPECKA oraz podmioty ze mną wsp&amp;oacute;łpracujące. Wszelkie prawa są zastrzeżone. Kopiowanie, rozpowszechnianie oraz korzystanie z niniejszych materiał&amp;oacute;w w jakikolwiek inny spos&amp;oacute;b wykraczający poza dozwolony użytek określony przepisami ustawy z 04.02.1994 r. o prawie autorskim i prawach pokrewnych bez pisemnej zgody GALERIA NIERUCHOMOŚCI HANNA TETMER-RZEPECKA  lub podmiot&amp;oacute;w ze mną wsp&amp;oacute;łpracujących jest zabronione i może stanowić podstawę odpowiedzialności cywilnej oraz karnej. </t>
  </si>
  <si>
    <t>https://otodom.pl/pl/oferta/ostroda-ryn-250m2-wolnostojacy-dzialka3500m2-ID4mfKd</t>
  </si>
  <si>
    <t>4mfKd</t>
  </si>
  <si>
    <t>Park Moczydło| 2 pokoje | Cegła |Ciche| Inwestycja</t>
  </si>
  <si>
    <t>Koło, Wola, Warszawa, mazowieckie</t>
  </si>
  <si>
    <t>Mam przyjemność zaprezentować przestronną oraz widną  2 - pokojową nieruchomość o powierzchni 37,50 m2, usytuowaną na Woli.Lokalizacja:Najbliższy przystanek autobusowy i tramwajowy znajduje się w odległości 100m. Dojazd do metra Księcia Janusza - 8 min. W okolicy 500m liczne sklepy i punkty usługowe oraz przedszkole i szkoła podstawowa.Znajdziemy również zielone miejsca jak Park Moczydło oraz Lasek na Kole.Mieszkanie:Lokal składa się z dużego salonu połączonego widną kuchnią, oddzielnej sypialni, łazienki z prysznicem oraz przedpokoju. Do nieruchomości przynależy piwnica 12m2. Wysokość mieszkania- 260 cm.Budynek z cegły wybudowany w 1936 roku, który w ostatnich latach przeszedł remont klatki schodowej, została wymieniona instalacja elektryczna oraz piony wodno-kanalizacyjne.Dodatkowym plusem jest ogrodzone osiedle oraz mnóstwo miejsc parkingowych.Stan Prawny:Pełna własność z Księgą Wieczystą i uregulowanym gruntem (możliwy zakup na kredyt).Zapraszam na prezentację mieszkania oraz do kontaktu telefonicznego, celem uzyskania większej ilości informacji 9:00-21:00Opiekun oferty: Stella Sokół - 794 206 951Specjalista ds. Nieruchomości - UNIQUE PARTNERS</t>
  </si>
  <si>
    <t>https://otodom.pl/pl/oferta/park-moczydlo-2-pokoje-cegla-ciche-inwestycja-ID4kxxt</t>
  </si>
  <si>
    <t>4kxxt</t>
  </si>
  <si>
    <t>*Wysoki Standard*4 Pokoje*Nowe Miasto</t>
  </si>
  <si>
    <t>Nowe Miasto, Białystok, podlaskie</t>
  </si>
  <si>
    <t xml:space="preserve">Gustowne wnętrze w nowym budownictwiePrzedstawiam Państwu piękne i elegancko urządzone mieszkanie usytuowane na 1 piętrze w 8 piętrowym bloku z  2021 r. przy ulicy Filipowicza (dzielnica Nowe Miasto, Osiedle Rekreacyjne).Na powierzchnię 75,54 m2 składa się:salon z aneksem kuchennymtrzy ustawne sypialniełazienka z wc oraz prysznicemprzedpokójWnętrze zaprojektowane zgodnie z najnowszymi trendami- zadbane i gotowe do zamieszkania. Wykończona w wysokim standardzie, z użyciem wysokiej jakości materiałów.  Blaty kuchenne wykonane z kamienia, drzwi wewnętrzne firmy PORTA z magnetycznymi zamkami. W kuchni nowoczesna zabudowa stała oraz dobrej klasy sprzęt AGD (płyta indukcyjna, mikrofala, piekarnik, okap, zmywarka, lodówka). W salonie zastosowano dużo przeszkleń, które optycznie powiększają przestrzeń. Dodatkowym atutem jest duży balkon wyposażony w meble wypoczynkowe.Do mieszkania przynależy komórka lokatorska o powierzchni 3,3m2 na tym samym piętrze.  Dodatkowym atutem jest duży balkon o wielkości 11,9 m2 wyposażony w meble wypoczynkowe-  skierowany na wewnętrzny dziedziniec. Przy zakupie mieszkania istnieje możliwość zakupu garażu dwustanowiskowego w garażu podziemnym.Osiedle rekreacyjne to idealna propozycja dla osób, które nie chcą rezygnować z miejskich udogodnień, a jednocześnie ceniących sobie sąsiedztwo terenów zielonych. W okolicy znajduje się Las Solnicki, liczne trasy spacerowe oraz ścieżki rowerowe, a na terenie osiedla m.in sklep spożywczy,  przedszkole, boisko sportowe, dwa place zabaw oraz konstrukcja do treningów CrossFit &amp;bdquo;pod chmurką&amp;rdquo;.Oferta szczególnie polecana osobom poszukującym wygodnego mieszkania w przyjemnej lokalizacji dobrze skomunikowanej z Centrum. To może być idealna nieruchomość dla Ciebie!Zapraszam na bezpłatną prezentacjęAmbasada NieruchomościKarolina Hiero784 900 052 </t>
  </si>
  <si>
    <t>https://otodom.pl/pl/oferta/wysoki-standard4-pokojenowe-miasto-ID4lVRk</t>
  </si>
  <si>
    <t>4lVRk</t>
  </si>
  <si>
    <t>Dwupoziomowe mieszkanie Pogórze Nadmorski Zakątek</t>
  </si>
  <si>
    <t>ul. ks. Jana Twardowskiego, Pogórze, Kosakowo, pucki, pomorskie</t>
  </si>
  <si>
    <t>Przestronne mieszkanie z poddaszem - Pogórze - w pobliżu morza i GdyniNajważniejsze atuty:✅ dostępność od ZARAZ!✅ Kameralna niska zabudowa z osobnym wejściem do mieszkania.✅ Dobra komunikacja z centrum.Inwestycja znajduje się w kameralnym budynku o nowoczesnej architekturze, w którym są tylko 4 mieszkania, co niewątpliwie gwarantuje intymność i spokój.Nieruchomość  mieści się na zamkniętym osiedlu Nadmorski Zakątek na Pogórzu przy granicy Gdyni co dzięki wielu liniom autobusowym zapewnia doskonałą komunikację z Centrum, od którego dzieli je jedynie 6km. W niedalekiej odległości liczne sklepy (w tym Lidl, Żabka, Biedronka) szkoły, przedszkola, centra handlowe, obiekty rekreacyjne takie jak: boiska, baseny i parki.Do najbliższej plaży w Babich Dołach autem ok 14 minut!Bliskość szkoły, basenu i sklepów, znacznie poprawia komfort życia codziennego, a niewielka odległość od przystanku autobusowego sprawia, że dojazd do centrum Gdyni nie stanowi problemu dla osób korzystających z komunikacji miejskiej.
Mieszkanie o wielkości 102 m2 (63,30 metrów + 38,90 m2 poddasze) z balkonem oraz osobnym wejściem w stanie deweloperskim do odbioru od ZARAZ!
Na pierwszym poziomie nieruchomości  znajduje się salon z aneksem kuchennym i wyjściem na balkon , dwie sypialnie, pomieszczenia gospodarcze, łazienka. Drugi poziom mieszkania to poddasze, które możemy  w dowolny sposób zaaranżować.
BUDYNEK wskaźnik rocznego zapotrzebowania na energię końcową: EK=87,87 kWh/m2 rokŚciany działowe murowane, malowane na biało. Ogrzewanie podłogowe OPEC.</t>
  </si>
  <si>
    <t>https://otodom.pl/pl/oferta/dwupoziomowe-mieszkanie-pogorze-nadmorski-zakatek-ID4m8MF</t>
  </si>
  <si>
    <t>4m8MF</t>
  </si>
  <si>
    <t>Wyjątkowe 4 pokojowe mieszkanie w centrum Bytomia</t>
  </si>
  <si>
    <t>ul. dr. Józefa Rostka, Śródmieście, Bytom, śląskie</t>
  </si>
  <si>
    <t xml:space="preserve">Polecam komfortowe, funkcjonalne i bez jakiegokolwiek wkładu finansowego , ciche i spokojne mieszkanie na ostatnim 3 piętrze kamienicy przy ulicy Rostka /róg Katowickiej W trakcie eksploatacji mieszkania docieplony został strop nad całym mieszkaniem ( ciepło w zimie i chłodniej latem) oraz ściana na całej długości dwóch pokoi od strony północnej .Mieszkanie ciche ze względu na brak sąsiadów za ścianami. Do dyspozycji tzw. wózkownia/rowerownia w piwnicy suchej i bez wilgoci. Ponadto istnieje możliwość przechowywania rzeczy na strychu ( na tym samym poziomie co mieszkanie) oraz na półpiętrze w komórce na balkonie ( ok 4m2 ) . Funkcjonalność rozmieszczenia mebli i miejsc do przechowywania przez lata dopracowywana . W przedpokoju funkcjonalna komórka z ujęciem wody i kotłem C.O. oraz przydatna zabudowa przedpokoju . Podział pomieszczeń gwarantuje swobodę w aranżacji wnętrz i funkcjonalności . Usytuowanie sypialni umożliwia spokojny odpoczynek z dala od innych domowników . W salonie spokojnie mieszczą się dwa rozłożone stoły na przyjęcia okolicznościowe . Łazienka funkcjonalna z oknem. Zapraszam do obejrzenia i oczywiście zakupu . Krótkie info o lokalu.- oddzielna kuchnia z ekspozycją na wschód ( na zdjęciu widoczna lodówka wolnostojąca i zmywarka która nie jest na wyposażeniu mieszkania ) 11,46 m2 - 3 sypialnie i salon ( na zdjęciu sypialni szafa narożna obecnie nie stanowi wyposażenia mieszkania ) 14,92m2; 16,98m2; 15,32m2 i salon 20,15 m2- łazienka z WC 3,97m2- przedpokój z pomieszczeniem gospodarczym z pralką Whirlpool na wyposażeniu 11,36 m2 Wysokośc pomieszczeń tylko 2,73m
W trakcie eksploatacji :- wymienione zostały wszystkie instalacje; elektryczna, wodna oraz CO. - w całym mieszkaniu na podłogach zostały położone wysokiej klasy panele oraz płytki.- ściany, w zależności od pomieszczenia i pożądanego efektu, wykończone są w zróżnicowany sposób: gładź, beton, tynki strukturalne oraz naturalna piękna cegła.
Ponadto - na półpiętrze balkon z komórką - 2 piwnice o łącznej powierzchni 11,20m2- powierzchnia mieszkania 94,16 m2- niske opłaty fundusz remontowy 235 zł , opłata eksploatacyjna 190 zł - ogrzewanie gazowe - piec dwufunkcyjny Junkers- ciepła woda bojler Ariston Velis - szybki i energooszczędny .
Lokalizacja jest bardzo funkcjonalna pod względem usytuowania w bezpośrednim sasiedztwie sklepów , dostępu do szkół i przychodni lekarskich , bardzo blisko na rynek , ok 200 m do przystanków tramwajowych .  Z okna kuchennego widać nowy plac zabaw z super zaranżowanyną przestrzenią miejską . Możliwośc parowania na zamykanym brama podwórku . Do centrum Agora tylko 6 min pieszo , do dworca autobusowego 10 min , do przepieknego parku ok 15 min . Więc czego chcieć więcej . Polecam i zapraszam do obejrzenia.AGENCJOM I POSREDNIKOM DEFINITYWNIE DZIĘKUJĘ
</t>
  </si>
  <si>
    <t>https://otodom.pl/pl/oferta/wyjatkowe-4-pokojowe-mieszkanie-w-centrum-bytomia-ID4ljg5</t>
  </si>
  <si>
    <t>4ljg5</t>
  </si>
  <si>
    <t>Domy jednorodzinne w zabudowie szeregowej</t>
  </si>
  <si>
    <t>Powierzchnia każdego domu wraz z garażem w bryle budynku wynosi 122,11 m². Każdy dom posiada także działkę o powierzchni od 166 do 250 m², co sprzyjać będzie poczuciu prywatności i dodatkowej przestrzeni.
Niewątpliwym atutem ułatwiającym życie mieszkańców będzie chodnik wewnętrzny do osiedla, który umożliwi dostęp do budynku również od strony drogi gminnej. Na terenie osiedla zaprojektowano dwa zadrzewione place zabaw dla naszych przyszłych mieszkańców. Niewątpliwie miejsca te  staną się ulubionym miejscem rekreacji i odpoczynku. Budynki zostały usytuowane tak, aby w jak największym stopniu wykorzystać dobrą ekspozycję słoneczną.
Nowoczesna forma budynków skrywa wygodne, ustawne wnętrza, dzięki czemu przyszli mieszkańcy nie będą mieć żadnych problemów z funkcjonalnym wykończeniem i aranżacją wnętrz. Opcjonalnie proponujemy wersję z dodatkowym pokojem na parterze w miejsce garażu.
Gwarantujemy bardzo wysoki standard wykończenia każdego z budynków m.in. ogrzewanie podłogowe, rolety w oknach etc. – co jest wartością dodatnią, rzadko spotykaną na rynku deweloperskim. Proponowane przez nas rozwiązania zapewniają wysoki komfort użytkowania jednocześnie z niskimi kosztami przyszłej eksploatacji.
Osiedle zaprojektowano z myślą o mieszkańcach ceniących sobie ciszę, ale zarazem dobrą komunikację i bliskość najważniejszych ośrodków gminy co pozwoli na spokojne i wygodne życie.
Oferowane przez Nas domy przekazujemy Klientom w stanie deweloperskim, obejmującym m.in.:
Tynk silikatowy
Styropian 20 cm
Pustak ceramiczny 25 cm
Tynki wewnętrzne maszynowe
Docieplenie stropu 30 cm wełna mineralna
Przyłącza: wodociągowe, elektryczne, kanalizacyjne
Okna plastikowe trzyszybowe o bardzo wysokiej izolacji termicznej
Rolety elektryczne
Przygotowana instalacja pod system alarmowy
Oświetlenie zewnętrzne
Drogi wewnętrzne wykończone kostką betonową
2 miejsca parkingowe, w tym jedno w garażu
Przygotowanie pod wykończenie tarasu
Własny kawałek ogrodu od 50 m2 do 132 m2
Przygotowana instalacja pod internet i tv światłowodową
Parapety wewnętrzne i zewnętrzne wykonane z granitu
Pokrycie dachów blachą na rąbek stojący
Komplet prac instalacji sanitarnej (woda, kanalizacja, C.O. pompa ciepła) wraz z ogrzewaniem podłogowym
Wejście oraz podjazd garażowy wykonany z kostki
Taras ogrodowy
Dokładniejsze dane na stronie  
Dom jest w budowie ,szacunkowy czas oddania do użytku ok 6 miesięcy od podpisania umowy</t>
  </si>
  <si>
    <t>https://otodom.pl/pl/oferta/domy-jednorodzinne-w-zabudowie-szeregowej-ID4mlna</t>
  </si>
  <si>
    <t>4mlna</t>
  </si>
  <si>
    <t>Nowoczesne STUDIO przy Lesie! KUP I ZAINWESTUJ!</t>
  </si>
  <si>
    <t>ul. Bytkowska, Wełnowiec-Józefowiec, Katowice, śląskie</t>
  </si>
  <si>
    <t>Naciesz się swoim NOWYM, wybranym, wymarzonym mieszkaniem!!
Zamieszkaj w najlepszym mieście pod względem warunków życia na Śląsku!Niezwykle urokliwa i bezpieczna okolica w pobliżu Lasów Bytkowskich!
Mieszkanie jest wykończone oraz wynajęte. Kup i zainwestuj w nowym budownictwie w Katowicach już dziś!
- mieszkanie o powierzchni 33m2
- wszechstronna kawalerka
- do mieszkania przynależy miejsce parkingowe dodatkowo płatne w cenie 36.000zł 
Dysponujemy pakietami wykończeniowymi od 450zł za metr kwadratowy przy wycenie indywidualnej. Realizujemy również pakiety wykończeniowe od 900zł netto za metr kwadratowy!!- ciekawy standard wykończenia mieszkania 
- duży przestronny BALKON!! 
- wysoki standard wykończenia BUDYNKU- bogata infrastruktura wewnętrzna osiedla i jego najbliższego otoczenia- osiedle wyróżnia się jakością wykorzystanych materiałów, oraz bogactwem przyrody -zapewniamy wiele udogodnień dla młodych par, a nasi najmłodsi lokatorzy wesoło spędzą czas na przygotowanym dla nich placu zabaw teren osiedla zostanie estetycznie zagospodarowany zielenią i elementami małej architektury- wygodę mieszkańców zapewnia rozbudowana infrastruktura usługowa w sąsiedztwie. - Kilkaset metrów od osiedla funkcjonują sklepy, apteka, gabinety lekarskie, klinika weterynarii-odległość do przystanku autobusowego to 20m,Katowice jest to jedno z najlepszych miast w Polsce pod względem warunków życia! Świetnie zarządzane, nowoczesne oraz dbające o środowisko jak i bezpieczeństwo mieszkańców. Infrastruktura na najwyższym poziomie w połączeniu z dobrze zorganizowanym węzłem komunikacyjnym, sprawia, że mieszkańcom żyje się wspaniale! Dodatkowym atutem jest fakt, że w Katowicach znajduje się bardzo dużo skwerów zieleni, tras rowerowych i miejsc do codziennych spacerów.
Lokalizacja daje mnóstwo możliwości na ciekawe i kreatywne spędzanie wolnego czasu. Planetarium, ogród zoologiczny, wesołe miasteczko - to wszystko znajduje się zaledwie kilka minut stąd!
·          bliskość największego Parku na Śląsku
·          Bezpośrednie sąsiedztwo urokliwego Lasku Bytkowskiego
·          zaledwie 15 minut do Spodka
·          przystanek bezpośrednio przy inwestycji
·          10 minut do Silesia City Center 
SPRAWDŹ SAM!Jesteśmy dla Państwa dostępni również w weekendy!Do Państwa dyspozycji pozostają nasi profesjonalni doradcy finansowi, którzy ZA DARMO pomogą w dopasowaniu najlepszej oferty kredytu hipotecznego dopasowanego do Państwa potrzeb.Proszę pamiętać, że każdorazowo do zakupionego za Naszym pośrednictwem mieszkania oferujemy 10% rabatu do pakietu wykończenia przez Naszą firmę oraz nawet do 30% rabat na materiały budowlane w kilkunastu hurtowniach na terenie całego Śląska.
Dodatkowo przy zakupie mieszkania DARMOWA konsultacja z architektem!
W celu uzyskania szerszego zakresu informacji na temat kompleksowej oferty zakupu mieszkania bądź zakupu mieszkania z wykończeniem pod klucz zachęcamy do kontaktu telefonicznego
na numer +48 696-331-835.
Kontaktując się z Nami, bezpośrednio bądź poprzez przesłanie formularza zgłoszeniowego, wyrażają Państwo jednocześnie zgodę na przetwarzanie danych osobowych w celu nawiązania kontaktu oraz w celach marketingowych.
Administratorem Państwo danych osobowych jesteśmy My, czyli Aldom Company</t>
  </si>
  <si>
    <t>https://otodom.pl/pl/oferta/nowoczesne-studio-przy-lesie-kup-i-zainwestuj-ID4gfCu</t>
  </si>
  <si>
    <t>4gfCu</t>
  </si>
  <si>
    <t>Ostatnie piętro. Po Remoncie</t>
  </si>
  <si>
    <t>ul. Zaroślak, Śródmieście, Gdańsk, pomorskie</t>
  </si>
  <si>
    <t xml:space="preserve">Tylko u Nas! Zadzwoń i umów się na prezentacje.Wirtualna Wizyta:LOKALIZACJA:Mieszkanie znajduje się około 10 min pieszo od gdańskiego śródmieścia. W bliskiej odległości dostępna jest wszelka infrastruktura handlowo-usługowa. Nieopodal mieszkania znajduje się przystanek autobusowy, a około 8 min pieszo węzeł tramwajowy, przystanek SKM oraz Galeria Forum. MIESZKANIE:lokal znajduje się na ostatnim piętrze, trzypiętrowej kamienicy. Jest to jedyny lokal na piętrze. Użytkowa powierzchnia lokalu wynosi  46,81 m2, jednakże po podłodze gdzie skosy znajdujące się w mieszkania nie są uciążliwe wynosi około 60 m2. Nieruchomość przeszła 5 lat temu generalny remont. Remont obejmował między innymi wymianę całkowitą instalacji elektrycznej, wycyklinowanie dębowej podłogi, wymianę opierzenia dachowego, oraz dodatkowe ocieplenie wełną szklaną, montaż ogrzewania podłogowego w łazience, wymiana pieca gazowego, oraz wiele innych.BUDYNEK:Kamienica z okresu wojennego, wykonana w całości z cegły. Wejście do kamienicy zabezpieczone domofonem. Elewacja frontowa jest w planach wspólnoty jako następne etapy remontu. Elewacja tylna budynku przeszła generalny remont. Przed jak i za budynkiem znajdują się ogólnodostępne miejsca parkingowe.Dodatkowym atutem nieruchomości jest znajdujący się obok mieszkania strych. Owy strych nie jest przez żadną osobę z wspólnoty wykorzystywany. Z wstępnych informacji od wspólnoty, istniała by możliwość wykupienia owego strychu i powiększenie mieszkania o około 20 m2 Koszty eksploatacyjne na poziomie około 400 zł miesięcznie plus Gaz._KUP Z NAMI - NAJKORZYSTNIEJ, NAJSZYBCIEJ I BEZPIECZNIE!Jeżeli zainteresowało Cię powyższe ogłoszenie to:- Zadzwoń pod wskazany nr tel. - Umów się na Prezentację,- Przyjedź i Obejrzyj na żywo,- Zaproponuj Swoją cenę prezentowanej nieruchomości.Gwarantujemy bezpieczny zakup i najlepszą CENĘ.Oferujemy skuteczną i bezpłatną pomoc w uzyskaniu kredytu.Zapewniamy fachowe doradztwo przy zakupie pod inwestycję.Wszystkie nasze transakcje są objęte ubezpieczeniem OC w PZU.Z nami u Notariusza otrzymasz Ofertę Specjalną.Więcej podobnych ofert znajdziesz na naszej stronie: </t>
  </si>
  <si>
    <t>https://otodom.pl/pl/oferta/ostatnie-pietro-po-remoncie-ID4m9jT</t>
  </si>
  <si>
    <t>4m9jT</t>
  </si>
  <si>
    <t>Winda, garaż, rolety, podłogówka, klimatyzacja...</t>
  </si>
  <si>
    <t>https://otodom.pl/pl/oferta/winda-garaz-rolety-podlogowka-klimatyzacja-ID4gfeO</t>
  </si>
  <si>
    <t>4gfeO</t>
  </si>
  <si>
    <t>Villa Symfonia | Olsztyn | mieszkanie M30</t>
  </si>
  <si>
    <t>ul. Wojciecha Kętrzyńskiego, Osiedle Kętrzyńskiego, Olsztyn, warmińsko-mazurskie</t>
  </si>
  <si>
    <t>Od 1.09.2023 gotowe do odbioru!
Przedmiotem ogłoszenia jest 3-pokojowe mieszkanie położone na parterze w inwestycji Villa Symfonia. To wyjątkowy lokal o powierzchni 61,5 m kw. Cechą inwestycji jest wysoki standard i świetna lokalizacja. Zapraszamy do zapoznania się z ofertą i do kontaktu.
O inwestycji
Villa Symfonia to nowa inwestycja mieszkaniowa położona w centrum Olsztyna, przy ul. Kętrzyńskiego 8A.
Projekt zakłada budowę V-kondygnacyjnego nowoczesnego budynku mieszkalnego, a w nim 48 mieszkań o zróżnicowanych metrażach od 36 m2 do 93 m2. Ostatnie kondygnacje budynku mają charakter dwupoziomowy – tu znajdują się większe mieszkania (od 66 do 93 m2). Każde mieszkanie, bez względu na metraż, posiada balkon oraz przynależną do lokalu komórkę lokatorską.
W podziemiu budynku Villa Symfonia zaplanowano duży garaż wielostanowiskowy, do którego schodzą dwie cichobieżne windy.
Komórki lokatorskie w cenie mieszkania!
Lokalizacja
Jest naszym największym atutem! To doskonały wybór dla osób, które lubią życie w mieście i chcą w pełni czerpać z jego możliwości.
Villa Symfonia położona w centrum Olsztyna, przy ul. Kętrzyńskiego 8A. 
Inwestycja Villa Symfonia obecnie jest w trakcie budowy z planowanym terminem zakończenia budowy w 31.08.2023 r.
O nas
Warmińskie Przedsiębiorstwo Budowlane „ROMBUD” Sp. z o.o. wywodząca się z Warmińskiego Przedsiębiorstwa Budowlanego S.A. rozpoczęła działalność gospodarczą w czerwcu 1994r.
Na sukces firmy, oprócz 28 lat doświadczenia składa się między innymi dobrze zorganizowany system kooperacji z wieloma podwykonawcami branżowymi i specjalistycznymi, z przedsiębiorcami branży budowlanej oraz z dostawcami materiałów budowlanych oraz współpraca z architektami i grupą stałych projektantów wszystkich branż, posiadających wieloletnie doświadczenie zawodowe.
Firma stabilna, zawdzięczająca swoją markę i renomę dzięki konkurencyjności i dobrej reputacji, wielokrotnie wyróżniana i nagradzana w skali regionu, a także kraju.
Od 2007 r Spółka rozszerzyła swoją ofertę o działalność deweloperską.W ramach tej działalności zrealizowaliśmy 19 inwestycji mieszkaniowych.
To, co wyróżnia WPB ROMBUD to nowatorskie podejście do działalności budowlanej, odwaga inwestycyjna, ciekawa architektura, elegancja i funkcjonalność wznoszonych obiektów oraz wysoka jakość materiałów, z których są one budowane.</t>
  </si>
  <si>
    <t>https://otodom.pl/pl/oferta/villa-symfonia-olsztyn-mieszkanie-m30-ID4eY1P</t>
  </si>
  <si>
    <t>4eY1P</t>
  </si>
  <si>
    <t>Własne mieszkanie nad jeziorem</t>
  </si>
  <si>
    <t>Ostaszewo, Grodziczno, nowomiejski, warmińsko-mazurskie</t>
  </si>
  <si>
    <t>Komfort prywatnego mieszkania i bliskość terenów rekreacyjnych w jednym. Nie ma jak własny przytulny kąt służący jako baza wypadowa na wakacje w ciekawym miejscu lub jako całoroczne mieszkanie w spokojnej okolicy.
Zapraszamy do zapoznania się z ciekawą ofertą mieszkania w miejscowości Ostaszewo w powiecie nowomiejskim, województwie warmińsko- mazurskim.
Nieruchomość o powierzchni 76,11m2 składa się z:
- trzech pokoi,
- kuchni,
- łazienki,
- przedpokoju,
- dwóch piwnic (11,73m2, 13,12m2),
- działki rekreacyjnej przynależnej do mieszkania.
Mieszkanie rozkładowe o przestronnych i jasnych pomieszczeniach. Ogrzewanie piecem na paliwo stałe, który znajduje się w piwnicy. W cenie także garaż drewniany wolnostojący znajdujący się nieopodal bloku.
Miejscowość Ostaszewo położona jest w otoczeniu lasów,  w sąsiedztwie Jeziora Hartowieckiego i Welskiego Parku Krajobrazowego. 
Serdecznie polecam!
Zapraszam na prezentację nieruchomości, z przyjemnością odpowiem na wszelkie pytania oraz udzielę dodatkowych informacji. Marika Łobejko tel. 535 110 737
Zapewniamy profesjonalną pomoc przy sfinansowaniu zakupu. Posiadamy wieloletnie relacje z bankami, dzięki czemu jesteśmy w stanie uzyskać dla Państwa najlepsze warunki. Bez dodatkowych opłat pomożemy w wyborze najlepszej oferty, przygotujemy pełną dokumentację. Nasz ekspert finansowy jest dyspozycyjny w dogodnych dla Państwa terminach.
 Pośrednik odpowiedzialny zawodowo Leszek Śpiewak - Licencja nr 1451 
*Przedstawiony opis nie stanowi oferty w rozumieniu przepisów Kodeksu Cywilnego, lecz ma charakter informacyjny. Treść niniejszego ogłoszenia została opracowana na podstawie informacji i oświadczeń uzyskanych od Zamawiającego i może ulec zmianie.</t>
  </si>
  <si>
    <t>https://otodom.pl/pl/oferta/wlasne-mieszkanie-nad-jeziorem-ID4f9yf</t>
  </si>
  <si>
    <t>4f9yf</t>
  </si>
  <si>
    <t>Dwupoziomowe z garażem i ogrodem Zagórze</t>
  </si>
  <si>
    <t>ul. Kosynierów, Zagórze Północ, Sosnowiec, śląskie</t>
  </si>
  <si>
    <t>Zielone Zagórze to nowe osiedle położone w pobliżu Lasu Zagórskiego w Sosnowcu przy ul. Kosynierów (dzielnica Zagórze).Na osiedlu znajdzie się 16 segmentów, każdy o powierzchni 114,22 m².Układ:I poziom – salon, otwarta kuchnia, łazienka z WC, wiatrołap, garaż ze schowkiemII poziom – trzy sypialnie, łazienka z WCPowierzchnie przynależnych ogrodów wynosić będą od 112 m² do 225 m².W ramach podwyższonego stanu deweloperskiego na całej powierzchni segmentów znajdzie się ogrzewanie podłogowe zasilane pompą ciepła, co w połączeniu z zamontowaną rekuperacją pozwoli znacznie obniżyć koszty ogrzewania.Urządzenie pompy ciepła oraz rekuperacji jest uwzględnione w cenie nieruchomości.Planowany termin oddania domów do użytku, to czerwiec 2024 roku.Przyszli mieszkańcy osiedla docenią lokalizację nie tylko ze względu na bliskość zieleni w postaci Lasu Zagórskiego, ale również dzięki oddalonemu zaledwie 3 minuty jazdy samochodem zjazdu na trasę DK94 łączącej Sosnowiec z innymi miastami aglomeracji śląskiej (centrum Katowic – 15 minut, centrum Dąbrowy Górniczej – 6 minut).W zasięgu 15-minutowego spaceru, znajdują się sklepy, najpotrzebniejsze usługi oraz przystanki komunikacji miejskiej.Polecam i zapraszam do kontaktuKrzysztof RożkoBiuro Deweloperskie</t>
  </si>
  <si>
    <t>https://otodom.pl/pl/oferta/dwupoziomowe-z-garazem-i-ogrodem-zagorze-ID4mrY8</t>
  </si>
  <si>
    <t>4mrY8</t>
  </si>
  <si>
    <t>5 pokoi,2 łazienki, Dwupozimowe, Wirtualny Spacer</t>
  </si>
  <si>
    <t>ul. Hokejowa, Orunia Górna - Gdańsk Południe, Gdańsk, pomorskie</t>
  </si>
  <si>
    <t xml:space="preserve">II poziomowe 5 pokojowe  mieszkanie na sprzedaż. Mieści się na 3 piętrze w 3 piętrowym budynku z 2010 roku. Budynek zadbany, klatka schodowa czysta, spokojni sąsiedzi.KSIĘGA WIECZYSTA JEST WOLNA OD OBCIĄŻEŃZachęcam do WIRTUALNEGO SPACERU przed faktyczną prezentacją mieszkania: I poziom (44,9 m2):- salon z aneksem kuchennym z wyjściem na spory balkon,- sypialnia- łazienka z prysznicem i ubikacjąII poziom poddasze (ok. 50 m2  po podłodze, skosy):- 3 niezależne sypialnie- duża łazienka z wanną i ubikacją- garderobaDo mieszkania przynależy komórka lokatorska o powierzchni 2,2 m2OPŁATY EKSPLOATACYJNE:- latem 300 zł, zimą- 700 zł/m-sc, Średniomiesięcznie 500 zł + energia elektryczna i fundusz remontowy 47 zł. WYDANIE: - mieszkanie jest wolne i dostępne od zarazZapraszam na prezentację po wcześniejszym umówieniu telefonicznym bądź mailowym.Bezpieczeństwo i ubezpieczenie transakcji oraz pełna obsługa aż po wydanie nieruchomości. Posiadamy ubezpieczenie PZU do 200 tys. euro. Nr polisy PWO00007346.Zapewniamy rabaty u notariusza od 30 do 50 % na taksę.Licencja Państwowa 14224- członek POLSKIEJ FEDERACJI RYNKU NIERUCHOMOŚCINasz doradca kredytowy bezpłatnie przyjedzie do Państwa i sprawdzi zdolność kredytową ( OFERTA WSZYSTKICH BANKÓW ). Więcej ofert i rzut mieszkania na </t>
  </si>
  <si>
    <t>https://otodom.pl/pl/oferta/dwupoziomowe-5-pokoi-2-lazienki-wirtualny-spacer-ID4fTdJ</t>
  </si>
  <si>
    <t>4fTdJ</t>
  </si>
  <si>
    <t>Wyjątkowy Dom Nad Jeziorem I Rzeką</t>
  </si>
  <si>
    <t>https://otodom.pl/pl/oferta/wyjatkowy-dom-nad-jeziorem-i-rzeka-ID4i2EC</t>
  </si>
  <si>
    <t>4i2EC</t>
  </si>
  <si>
    <t>Przytulna kawalerka|29m2|taras|Park Mieszczański|</t>
  </si>
  <si>
    <t>wyspa Kępa Mieszczańska, Nadodrze, Śródmieście, Wrocław, dolnośląskie</t>
  </si>
  <si>
    <t>Opiekun oferty:Dawid Rumiantel. 602 101 602Kawalerka z tarasem w jednej z najciekawszych inwestycji we Wrocławiu.Układ pomieszczeń:Salon z aneksem kuchennym 21,70 m2Łazienka 3,80 m2Przedpokój 4,00 m2Taras 4,00 m2Najważniejsze informacje:Mieszkanie o projektowanej powierzchni 29,50 m2 znajduje się na parterze 6-piętrowego budynku z cichobieżną windą.Możliwy zakup:* Komórki lokatorskiej* Miejsca postojowego w dwupoziomowym garażu podziemnymTermin zakończenia budowy: Listopad 2023* Nowoczesny budynek w Centrum Miasta* Mieszkanie w stanie deweloperskim - do własnej aranżacji* Zakładany czynsz 420 zł * Taras z widokiem na Park Mieszczański* Przystosowane dla osób niepełnosprawnychOtoczenie nieruchomości:Nowoczesna inwestycja znajduje się w Centrum Miasta, w pobliżu rzeki* Nowoczesne, zielone osiedle* Fitness dla mieszkańców* Stacje naprawy rowerówW pobliżu znajduje się m.in.:- szkoła podstawowa i liceum- tereny spacerowo-rekreacyjne- sklepy- lokale usługowe- liczne tramwaje i autobusyRekomendacja Eksperta SDP Nieruchomości:Ta nieruchomość jest doskonałą propozycją dla singli, którzy poszukują swojego pierwszego mieszkania, oraz inwestorów. Bliska obecność Parku Mieszczańskiego jest gwarancją ładnych widoków, a atrakcyjny układ pomieszczeń sprawi, że mieszkanie w tym miejscu będzie komfortowe.Niedostateczne środki? To nie problem!Pomagamy w uzyskaniu finansowania na tę i inne nieruchomości.Zapraszam do kontaktu!Opiekun oferty:Dawid Rumiantel. 602 101 602</t>
  </si>
  <si>
    <t>https://otodom.pl/pl/oferta/przytulna-kawalerka-29m2-taras-park-mieszczanski-ID4mfTV</t>
  </si>
  <si>
    <t>4mfTV</t>
  </si>
  <si>
    <t>Dwupoziomowy apartament Wawer</t>
  </si>
  <si>
    <t>ul. Żegańska, Międzylesie, Wawer, Warszawa, mazowieckie</t>
  </si>
  <si>
    <t>Funkcjonalny, dwupoziomowy apartament o powierzchni użytkowej 124,18m2 , położone jest na drugim piętrze w kameralnym budynku. Niewątpliwym atutem mieszkania jest jego funkcjonalny układ który został zaprojektowany przez architekta, dzięki czemu wykorzystana została każda powierzchnia z dbałością o każdy detal.Na pierwszym poziomie, znajduje się salon z wyjściem na taras, kuchnia, sypialnia, łazienka oraz korytarz. Poziom drugi: sypialnia główna z wyjściem na taras, dwie mniejsze sypialnie, łazienka oraz sauna. Bardzo eleganckie, przytulne i luksusowe wnętrze, dominująca biała kolorystyka z dodatkiem marmuru i złota. Ściany zostały wyłożone jedwabną tapetą, na podłodze znajduje się parkiet, natomiast schody są dębowe. Kuchnia wykończona we włoskim stylu " Biała Dalia"Okolica nieruchomości to nowoczesne osiedle oraz niska zabudowa jednorodzinnych domów z duża ilość zieleni.Zapraszam na prezentacje! </t>
  </si>
  <si>
    <t>https://otodom.pl/pl/oferta/dwupoziomowy-apartament-wawer-ID4kBfz</t>
  </si>
  <si>
    <t>4kBfz</t>
  </si>
  <si>
    <t>ul. Babiogórska, Osiedle Beskidzkie, Bielsko-Biała, śląskie</t>
  </si>
  <si>
    <t>Nasza nowa inwestycja realizowana jest w Bielsku-Białej przy ulicy Babiogórskiej i obok świetnej lokalizacji nieopodal jednych z bardziej uczęszczanych terenów rekreacyjnych w Bielsku-Białej wyróżnia się bardzo wysokim standardem, który z całą pewnością zaspokoi oczekiwania nawet najbardziej wymagających:
ekonomiczne ogrzewanie miejskie,
wygodna dla mieszkańców winda osobowa,
najwyższej jakości stolarka okienna,
do wyjścia na przestronne tarasy prowadzą okna uchylno / przesuwne,
elektryczne rolety zewnętrzne zapewniają dodatkowy komfort oraz oczekiwaną prywatność,
najwyższej jakości drzwi wejściowe do budynków jak również apartamentów,
ogrzewanie podłogowe zapewniający komfort mieszkania w okresie zimowym,
wylewki anhydrytowe charakteryzuje się doskonałym przewodnictwem cieplnym co w połączeniu z oferowanym ogrzewaniem podłogowym pozwala na znacznie szybsze nagrzewanie pomieszczeń i lepszy komfort użytkowania systemów z ogrzewaniem podłogowym, 
instalacja pod przyszły montaż klimatyzacji zapewniająca komfort w okresie letnim,
wygodne miejsca postojowe w garażu podziemnym,
komórki lokatorskie na każdej kondygnacji,
monitoring osiedla...
Do apartamentu można dodatkowo nabyć:
komórkę lokatorską w cenie 10.000,- PLN
zewnętrzne miejsce postojowe w cenie 19.000,- PLN
miejsce postojowe w garażu podziemnym w cenie 39.000,- PLN
Serdecznie zapraszamy na stronę inwestycji - przyBabiogorskiej kropka pl
W przypadku pytań jesteśmy do Państwa dyspozycji pod numerem 602 123 456</t>
  </si>
  <si>
    <t>https://otodom.pl/pl/oferta/winda-garaz-rolety-podlogowka-klimatyzacja-ID4gVvd</t>
  </si>
  <si>
    <t>4gVvd</t>
  </si>
  <si>
    <t>W pełni wyposażony mini apartament z parkingiem</t>
  </si>
  <si>
    <t>al. Józefa Piłsudskiego, Manhattan, Gołonóg Południowy, Dąbrowa Górnicza, śląskie</t>
  </si>
  <si>
    <t>***Oferta idealna dla osób szukających inwestycji pod wynajem*** Mieszkanie kompaktowe, w pełni wyposażone i przede wszystkim świetnie zlokalizowane. Do mieszkania przynależy prywatne miejsce parkingowe. Na sprzedaż komfortowo wykończone kompaktowe  mieszkanie o powierzchni  30,20 m2 usytuowane na 1 piętrze w kameralnym 3 piętrowym budynku.  Do mieszkania  przynależy balkon.Mieszkanie znajduję się w nowo wybudowanym bloku zlokalizowanym w Dąbrowie Górniczej przy ul. Piłsudskiego 4b.Całość składa się z :– przestrzennego pokoju dziennego z funkcjonalnie zaprojektowanym aneksem kuchennym– części sypialnianej, z której mamy wyjście na balkon– przestronnej łazienki z WC– przedpokojuSTANDARD WYKOŃCZENIA:Mieszkanie wyróżnia się dużą funkcjonalnością, nowoczesnym designem, jakością wykonania detali a także  dobranym gustownie nowym wyposażeniem.Mieszkanie sprzedawana jest z pełnym wyposażeniem widocznym na zdjęciach, czyli m.in:zabudowa kuchenna wraz ze sprzętem AGD ( lodówka, zmywarka, piekarnik, płyta indukcyjna, okap ), sofa, szafa garderobiana, łóżko sypialniane z materacem, telewizor w salonie i pralka w łazience.Media i opłaty:Opłata eksploatacyjna do zarządcy: ok. 150 złOgrzewanie: gazoweCiepła woda: nowoczesny bojler elektrycznyWyjątkowa oferta! zapraszamy do kontaktu w celu umówienia terminu spotkania.Doradca odpowiedzialny za ofertę: Agata Orczyk </t>
  </si>
  <si>
    <t>https://otodom.pl/pl/oferta/w-pelni-wyposazony-mini-apartament-z-parkingiem-ID4maoN</t>
  </si>
  <si>
    <t>4maoN</t>
  </si>
  <si>
    <t>Nowa Super Cena Bliźniak Cielmice</t>
  </si>
  <si>
    <t>ul. Nadrzeczna, Tychy, śląskie</t>
  </si>
  <si>
    <t>KUPUJĄCY NIE PŁACI PODATKU PCC ORAZ PROWIZJI! 
Na sprzedaż domy w zabudowie bliźniaczej o powierzchni całkowitej około 135 m2 zlokalizowane w Tychach (Cielmice) przy ulicy Nadrzecznej. 
Nieruchomość znajduje się na działce o powierzchni około 513 m2
Dom ma bardzo ciekawy i funkcjonalny układ pomieszczeń! 
W projekcie kuchnia połączona jest z jadalnią oraz salonem, natomiast kuchnię można zamknąć całkowicie lub częściowo. Dodatkowo na parterze znajdują się 2 pomieszczenia gospodarcze - dużo miejsca do przechowywania rzeczy.
Na piętrze są 3 duże i wymiarowe sypialnia, dodatkowo przestronna i pojemna garderoba!  
Do wykończony jest w stanie surowym zamkniętym. 
PARTER - 72,08 m2:
Salon - 25,03 m2
Kuchnia z jadalnią - 11,44 m2
Łazienka - 3,19 m2
Wiatrołap - 4,21 m2
Pomieszczenie gospodarcze 1 - 3,48 m2
Pomieszczenie gospodarcze 2 - 2,79 m2
Kotłownia - 5,07 m2
Dodatkowo garaż - 16,87 m2
PIĘTRO 65,66 m2:
Sypialnia  - 15,74 m2
Pokój 1 - 13,03 m2
Pokój 2 - 15,12 m2
Garderoba - 7,01 m2
Łazienka - 8,45 m2
Komunikacja - 6,04 m2
Wszystkie działki wokół nieruchomości są sprzedane. Powstanie tam nowoczesne osiedle domków jednorodzinnych w zabudowie bliźniaczej i wolnostojącej. 
Zapraszamy do oglądania nieruchomości. </t>
  </si>
  <si>
    <t>https://otodom.pl/pl/oferta/okazja-dom-w-zabudowie-blizniaczej-cielmice-ID4jELq</t>
  </si>
  <si>
    <t>4jELq</t>
  </si>
  <si>
    <t>Dwupoziomowe mieszkanie 65m2, Rypin</t>
  </si>
  <si>
    <t>ul. Łączna, Rypin, rypiński, kujawsko-pomorskie</t>
  </si>
  <si>
    <t>Dwupoziomowe mieszkanie w Rypinie o powierzchni 65m2Główne atuty nieruchomości: • prestiżowa lokalizacja• doskonała komunikacja z centrum• rozkład pomieszczeńNieruchomość złożona z: • kuchnia otwarta z oknem 10,2 m.kw• salon 11,52 m.kw• łazienka główna 3,15 m.kw• sypialnia 10,15 m.kw• pokój dzieci 9,05 m.kw• pokój dzieci 11,52 m.kw• łazienka dzieci 3,94 m.kw W skład nieruchomości wchodzą też:• komórka lokatorska• miejsce parkingoweTyp ogrzewania: ogrzewanie miejskie. Typ własności: własność. Dwupoziomowe mieszkanie w centrum miastaOferujemy bardzo atrakcyjne w pełni wyposażone mieszkanie znajdujące się w spokojnej okolicy.Nieruchomość o powierzchni 65m2 składa się z kuchni, salonu, sypialni, dwóch pokoi oraz dwóch łazienek.Do mieszkania przynależą dwie komórki lokatorskie - 5,4 m2.Lokal posiada w wyposażeniu trwałą zabudowę w pokojach oraz meble kuchenne ze sprzętem AGD.Mieszkanie klimatyzowane, teren zamknięty, parking wewnętrzny. Pełna własność do lokalu, bardzo niski czynsz.Mieszkanie w centrum miasta z widokiem na lasDogodny rozkład pomieszczeńCicha spokojna okolicaTeren zamkniętyZADZWOŃ: 884 804 480. Czekamy na telefon od Ciebie. ---Zakup lub najem nieruchomości przez Agencję Metrohouse to:• największy wybór na rynku• elastyczne podejście do Klienta• bezpieczeństwo transakcji• możliwość skorzystania z szerokiej oferty kredytów gotówkowych i hipotecznych• doświadczeni doradcyCzy wiesz, że możemy przygotować dla Ciebie prezentację on-line nieruchomości? Skontaktuj się z naszym Agentem i zapytaj o szczegóły.Pomimo, iż Doradcy Metrohouse przykładają szczególną staranność do rzetelnego prezentowania informacji o nieruchomości, nie zawsze jest możliwa weryfikacja wszystkich danych przekazanych od osób trzecich. Niniejsza prezentacja oferty nie jest ofertą w rozumieniu Kodeksu Cywilnego i ma charakter wyłącznie informacyjny.</t>
  </si>
  <si>
    <t>https://otodom.pl/pl/oferta/dwupoziomowe-mieszkanie-65m2-rypin-ID4ilBt</t>
  </si>
  <si>
    <t>4ilBt</t>
  </si>
  <si>
    <t>Rezydencja PREMIUM- Salon 67m2- wysokość 3 metry</t>
  </si>
  <si>
    <t>BEZPOŚREDNIO od DEWELOPERABez prowizji i podatku PCC.Nieruchomość klasy PREMIUM.Klimatyzacja w standardzie.
Ładowarki do samochodów elektrycznych przy każdym stanowisku parkingowym.Apartament GOTOWY DO ODBIORU i własnej aranżacji.Nowoczesny Apartament w jednej z czterech willi miejskich położonych w zielonej części Mokotowa na tzw. terenie "Pod Skocznią". Powstała tu enklawa kameralnych apartamentowców, willi miejskich i domów jednorodzinnych.APARTAMENTTo co wyróżnia ten apartament to całkowicie przeszklony salon z rozsuwanymi drzwiami tarasowymi.
Salon - 67 m2 prawie w całości przeszklony.
Wydzielona część kuchenna z miejscem na dużą wyspę.
Jadalnia z miejscem na stół dla 12 osób.
Master bedroom z łazienką i garderobą ponad 23m2.
Dodatkowe pomieszczenie gospodarcze.
Taras na stronę południową.
Ogromne panoramiczne okna pozwalają cieszyć się słońcem nawet w pochmurne dni.
Apartament w stanie deweloperskim gotowy do własnej aranżacji.
WILLE MIEJSKIEW każdej z willi znajduje się jedynie 6 apartamentów o metrażu od 85m2 do 200m2. Piękna architektura w otulinie zieleni, eleganckie lobby, elewacje zewnętrzne jak i powierzchnie wspólne wykonane z naturalnych materiałów min.: piaskowiec, granit, fornir, gwarantują poczucie luksusu.Wille wyposażone są dodatkowo system SMOG-FREE rekuperacji i oczyszczania powietrza zapewniający optymalną temperaturę.KLIMATYZACJA W STANDARDZIE.Na terenie kompleksu lokale usługowe, kawiarnie, restauracje oraz sklepy ( Żabka i Carrefour Express).Aż 60 proc. terenów to zieleń.W sąsiedztwie inwestycji prywatny park i kort tenisowy.W pobliżu liczne tereny do spacerów z dziećmi, Tor Stegny, Baseny „Warszawianka”, prestiżowe szkoły, przedszkola i żłobki. Idealne miejsce tych, którzy oczekują ponadstandardowych przestrzeni oraz atmosfery intymności a jednocześnie nie chcą rezygnować z miejskiego stylu życia.Spacerem do Parku Arkadia 15 min.</t>
  </si>
  <si>
    <t>https://otodom.pl/pl/oferta/wygodne-2-pokoje-w-kredycie-2-ID4m7wj</t>
  </si>
  <si>
    <t>4m7wj</t>
  </si>
  <si>
    <t>Przestronny , nowoczesny dom wolnostojący</t>
  </si>
  <si>
    <t>Szczawno-Zdrój, wałbrzyski, dolnośląskie</t>
  </si>
  <si>
    <t>OFERTA NA WYŁĄCZNOŚĆ 
GŁĘBINOWA  POMPA   CIEPŁA  FIRMY VALIANT,   FOTOWOLTAIKA,  REKUPERACJA,   OKNA I DRZWI FIRMY SCHUCO,   OBRÓBKI  BLACHARSKIE  ORAZ  KOMINY –BLACHA TYTAN-CYNK FIRMY RHEINZINK, WYLEWKI   ANHYDRYDOWE,   OGRZEWANIE PODŁOGOWE,   GRANITOWE OGRODZENIE ORAZ DOJŚCIE DO DOMU, ZEWNĘTRZENE ROLETY ANTYWŁAMANIOWE
LMP GROUP Nieruchomości  prezentuje piękny, przestronny  wolnostojący dom o powierzchni użytkowej 209,80m2 ,usytuowany na działce o powierzchni 1500m2  w otoczeniu terenów zielonych w miejscowości Szczawno-Zdrój   DOM I OTOCZENIE - nowy budynek- stan deweloperski, działka 1134 m2
- powierzchnia użytkowa 209,80 m2,
- 2 kondygnacje + ocieplone poddasze - salon z aneksem oraz jadalnią- 75,8m2 , hol, wiatrołap, spiżarnia, kotłownia, 3 sypialnie, 2 łazienki, garaż o powierzchni 34m2 - otoczenie - mnóstwo zieleni i domy jednorodzinne - wyłącznie! - wysoki standard wykończenia, materiały bardzo dobrej jakości, dodatkowe instalacje - opis szczegółowy poniżej - ekspozycja okien północ –południe   UKŁAD POMIESZCZEŃ - rzut pomieszczeń znajduje się w galerii zdjęć PARTER - holl z miejscem na szafy ,prowadzący do otwartej przestrzeni salonu z aneksem kuchennym, także przejściem dębowymi schodami na piętro - salon z aneksem  - otwarta, bardzo jasna przestrzeń po pow. 75,8 m2!!! , trzy wyjścia na zewnątrz! , piękne duże okna firmy SCHUCO – okna tarasowe otwierane na pilota -toaleta
-spiżarnia, kotłownia oraz  garaż o powierzchni 34m2
PIĘTRO 
- 3 sypialnie , sypialnia główna z garderobą oraz wyjściem na taras znajdującym się nad garażem , pralnia, korytarz oraz łazienka   OGRZEWANIE – ogrzewanie podłogowe- głębinowa pompa ciepła, fotowoltaika 10 kW, rekuperacja, osobne starowanie ogrzewaniem góry oraz dołu
PARKOWANIE - na terenie ogrodzonym oraz w garażu . Ogrodzenie granitowe , przygotowane do montażu przęseł  DACH- dachówka ceramiczna, wszelkie obróbki , rynny oraz kominy z blachy tytan-cynk firmy RHEINZINK
Dodatkowo dom wyposażony jest w instalacje alarmową, w każdym pokoju przygotowane zostały gniazdka pod TV, rozprowadzona instalacja elektryczna, podwieszane sufity – częściowo niedolegające , wybudowany mur oporowy dzielący działkę z sąsiadem, podwójne okna dachowe firmy VELUX, brama garażowa oraz drzwi garażowe antywłamaniowe firmy HORMANN, lane stropy, przygotowana instalacja pod podłączenie światłowodu. 
 ZNAKOMITA OFERTA DLA OSÓB CENIĄCYCH JAKOŚĆ ,MOŻLIWOŚĆ  WYKOŃCZENIA DOMU  WE WŁASNYM WYJĄTKOWYM DLA SIEBIE STYLU
Niniejsze ogłoszenie nie stanowi oferty w rozumieniu Kodeksu Cywilnego, lecz ma charakter informacyjny. 
Pośrednik: numer licencji: 27296
 </t>
  </si>
  <si>
    <t>https://otodom.pl/pl/oferta/przestronny-nowoczesny-dom-wolnostojacy-ID4m4XO</t>
  </si>
  <si>
    <t>4m4XO</t>
  </si>
  <si>
    <t>Dostępne od zaraz/ 5 pokoje/metro/galeria Mokotów</t>
  </si>
  <si>
    <t>Ksawerów, Mokotów, Warszawa, mazowieckie</t>
  </si>
  <si>
    <t>Mamy przyjemność zaproponować Państwu apartament 5 pokojowy, w stanie deweloperskim, w dzielnicy Mokotów, niedaleko Galerii Mokotów i dwóch stacji metra. Okolica idealna dla miłośników miejskiego ruchu, pracowników pobliskiego centrum biznesowego i rodzin poszukujących przestrzeni rekreacyjnej a przede wszystkim tym, którzy doceniają nowoczesną zabudowę i bliskość Centrum.Lokalizacja:Nowi Właściciele zapewne docenią tak poszukiwane cechy dzielnicy jak kameralności i wielkomiejskości okolicy. Z jednej strony osiedle urzeka ciekawie zaprojektowanymi, zielonymi terenami między budynkami, z drugiej dostępną w tym miejscu przestrzenią. Przystanek autobusowy znajduje się w odległości 200m, tramwaj 700m, stacja Metro Wilanowska 800m. Odległość do Centrum to około 6,6 kmRozkład pomieszczeń:- Pokój dzienny 29,16m2- Kuchnia 13,47m2- Hol 6,36m2- Łazienka 3,10m2- Garderoba 1,43m2- Sypialnia 9,44m2- Sypialnia 8,87m2- Loggia 3,13m2- Sypialnia 10,45m2- Korytarz 9,77m2- Garderoba 2,21m2- Łazienka 3,92m2- Sypialnia 17,44m2- Loggia14,06m2- WC 1,96m2- Hol 6,36m2Standard wykończenia:- Wysokiej klasy drewniana stolarka okienna.- Powietrze  jest czyste w mieszkaniach dzięki okiennym nawiewnikom antysmogowym,     wyposażonym w filtry pyłów i alergenów.- Elewacja frontowa jest elegancka z wysokiej jakości elementami szkła.- Ogródki z ażurowym lub naturalnym ogrodzeniem z zielenią.- Apartament ma wysokość mieszkań ok. 2,7 m.Informacje dodatkowe:- Wewnętrzne dziedzińce to strefa relaksu przeznaczone wyłącznie dla mieszkańców.- Plac zabaw dla najmłodszych, z bezpiecznych, atestowanych materiałów- Dwukondygnacyjny garaż z komórkami i boksami rowerowymi- Lokale usługowe na parterze- Projekt pracowni Mąka Sojka Architekci- Budynek  posiada  certyfikat BREEAM, który świadczy o wysokiej jakości budownictwa i procesu budowlanego. - Apartament wyposażony jest w drzwi antywłamaniowe i domofon.- W inwestycji dostępne są miejsca postojowe pojedyncze oraz rodzinne. Dostępne platformy w cenie 2x 20 000 zł brutto oraz miejsca rodzinne 2x 28 000 zł brutto.Dodatkowe udogodnienia:- Całodobowa ochrona- Myjnia rowerowa w garażu- Schowek na przesyłki kurierskie w pomieszczeniu ochrony- Stojaki rowerowe na patio- Wieszaki rowerowe w garażu- Gniazda elektryczne w garażach, np. do odkurzania samochodów- Konkurencyjna cena energii dla mieszkańców dzięki specjalnej umowie dewelopera z dostawcą.Gratis Akt NotarialnySerdecznie polecam i zapraszam na prezentację!Treść niniejszego ogłoszenia nie stanowi oferty handlowej w rozumieniu Kodeksu Cywilnego.</t>
  </si>
  <si>
    <t>https://otodom.pl/pl/oferta/dostepne-od-zaraz-5-pokoje-metro-galeria-mokotow-ID4jPkQ</t>
  </si>
  <si>
    <t>4jPkQ</t>
  </si>
  <si>
    <t>https://otodom.pl/pl/oferta/ostatnie-wolne-mieszkanie-2-pokoje-odbior-2023-ID4lIvw</t>
  </si>
  <si>
    <t>4lIvw</t>
  </si>
  <si>
    <t>W sam raz na start lub pod wynajem!</t>
  </si>
  <si>
    <t>Dębowa Góra, Sosnowiec, śląskie</t>
  </si>
  <si>
    <t xml:space="preserve">Na sprzedaż mieszkanie z ogromnym potencjałem, znajdujące się w Sosnowcu, dzielnica Dańdówka.Posiada ono 39m2 (+ dzierżawiony przedpokój od wspólnoty ok.2m2!)Składa się z:-przedpokoju,-salonu z aneksem kuchennym-sypialni-łazienki z  wcNISKI CZYNSZ -320złPo gruntownym remoncie w 2018r.Piony wod/kan wymienione. Gładzie na ścianach.Ogrzewanie własne - piec na pelet. Ekonomiczny i bezpieczny. Wentylowane pomieszczenia.We wspólnocie plany doprowadzenia gazu i zrobienia centralnego ogrzewania gazowego.Woda ciepła z bojlera.Okna szczelne, plastikowe.Do mieszkania przynależy piwnica oraz komórka.Komórkę można przerobić na prywatny garaż!Klata schodowa po remoncie. W najbliższym czasie planowanie jest ocieplenie budynku.Kamienica po remoncie dachu. Podwórko wybrukowane kostką.Zielona okolica.Niecały 1km do strefy ekonomicznej (Amazon, Biedronka)Tuż obok sklep, przystanek autobusowy oraz ogródki działkowe.Zapraszam na prezentację!Jeśli potrzebujesz finansowania skontaktuj się BEZPŁATNIE z naszym ekspertem finansowym i wybierz najkorzystniejszą ofertę.JESTEŚMY TU DLA CIEBIE !Jowita BłaszczakNr licencji PFRN: 27056tel. 662 110 635e-mail: Niniejsza oferta nie stanowi oferty handlowej w rozumieniu Kodeksu Cywilnego, lecz ma charakter informacyjny a zawarte w niej dane mogą ulec zmianie.Dodatkowe in
Oferta wysłana z programu dla biur nieruchomości ASARI CRM ()
</t>
  </si>
  <si>
    <t>https://otodom.pl/pl/oferta/w-sam-raz-na-start-lub-pod-wynajem-ID4lI5p</t>
  </si>
  <si>
    <t>4lI5p</t>
  </si>
  <si>
    <t>Przytulne mieszkanie 2-pokojowe, mozliwa zamiana</t>
  </si>
  <si>
    <t>ul. ks. Piotra Ściegiennego, Starogard Gdański, starogardzki, pomorskie</t>
  </si>
  <si>
    <t>Biuro Użlis Nieruchomości ma przyjemność zaoferować przytulne, zadbane mieszkanie dwupokojowe o powierzchni użytkowej 37 m2, usytuowane na trzecim piętrze, czteropiętrowego budynku mieszkalnego przy ulicy Ściegiennego w Starogardzie Gdańskim.   Uwaga:  Istnieje możliwość zamiany mieszkania na kawalerkę lub mieszkanie dwupokojowe położone do pierwszego piętra.     Lokal mieszkalny składa się z dwóch pokoi, kuchni, łazienki, przedpokoju oraz przynależnej piwnicy.   Wystawa okienna mieszkania dwustronna- wschodnia i zachodnia.   W mieszkaniu zmodernizowano instalację elektryczną. Stolarka okienna wykonana została z profili PCV. Meble kuchenne w zabudowie. Ogrzewanie mieszkania oraz wody z sieci miejskiej.      Opłaty do Wspólnoty Mieszkaniowej przy zgłoszonej jednej osobie wynoszą 530 zł miesięcznie.     Nieruchomość położona w spokojnej okolicy na osiedlu o zabudowie jednorodzinnej i wielorodzinnej. Wjazd na parking przy bloku grodzony szlabanem, budynek wyposażony w monitoring. W pobliżu bloku znajduje się szpital, przystanek autobusowy oraz sklepy w odległości ok. 400 m.     Zapraszamy do kontaktu: Karol Kołodziejski, tel. + 48 788 764 764, licencja pośrednika PPRN nr 20811.  Oferujemy bezpłatną pomoc w uzyskaniu kredytu hipotecznego na zakup nieruchomości. Dobór do indywidualnych potrzeb klienta.     *Zamieszczona oferta nie stanowi oferty w rozumieniu Kodeksu Cywilnego, a dane w niej zawarte mają jedynie charakter informacyjny.Oferta wysłana z programu dla biur nieruchomości ASARI CRM ()</t>
  </si>
  <si>
    <t>https://otodom.pl/pl/oferta/przytulne-mieszkanie-2-pokojowe-mozliwa-zamiana-ID4kNym</t>
  </si>
  <si>
    <t>4kNym</t>
  </si>
  <si>
    <t>Kredyt 2% Dwupoziomowe 3 pokoje 65,3m2 bez skosów</t>
  </si>
  <si>
    <t>ul. Jana Husa, Dąbrówka Szlachecka, Białołęka, Warszawa, mazowieckie</t>
  </si>
  <si>
    <t>OFERTA WYŁĄCZNIE U NAS! KREDYT 2% - Jeśli chcesz skorzystać z rządowego programu, skontaktuj się po więcej informacji. Prezentuję Państwu przestronne 3 pokojowe mieszkanie dwupoziomowe znajdujące się na IV piętrze budynku z 2000 roku przy ul. Jana Husa na Białołęce. !!! TYLKO 15 MINUT DO METRO MŁOCINY !!! W skrócie: Mieszkanie o wielu możliwościach dla rodziny na strzeżonym i ogrodzonym osiedlu w cichej i spokojnej lokalizacji. Dwa poziomy pozwalają na oddzielenie strefy dziennej od wypoczynkowej. Lokalizacja:Doskonała komunikacja oraz infrastruktura sprawiają, że to idealne miejsce dla rodzin z dziećmi oraz osób, które cenią sobie wygodę. Białołęka to przede wszystkim cisza i spokój oraz odpoczynek od zgiełku miasta. Tutaj można na prawdę odpocząć tym bardziej, że jest to jedna z najbardziej zielonych dzielnic na mapie miasta. W bliskiej odległości Sklep Selgros, Biedronka, LIDL, przedszkole. Bliskość Galerii Północnej pozwala na dokonanie wszelkich zakupów na miejscu, bez konieczności dalekich wycieczek na inne dzielnice miasta. Dojazd do centrum Warszawy samochodem do 35 minut.  W bliskiej odległości nowo wybudowana zajezdnia tramwajowa Winnica. Informacje o mieszkaniu: Mieszkanie bardzo przestronne, dwupoziomowe o pow. użytkowej 65,3 m2 (80,1 m2 powierzchni całkowitej po podłodze na poddaszu). Na pierwszym poziomie znajdują się: przedpokój, salon z aneksem kuchennym wraz z wyjściem na balkon oraz duża łazienka. Na drugim poziomie znajdziemy dwie duże sypialnie oraz garderobę. Okna PCV, na podłogach panele i terakota. Mieszkanie w stanie do odświeżenia bądź aranżacji we własnym, nowoczesnym stylu. Ekspozycja okien na stronę południowo wschodnią. Bardzo funkcjonalnym rozwiązaniem są dwa duże schowki na balkonie o metrażach 3x1m oraz 1,5x1m. Stan prawny:Odrębna własność z założoną księgą wieczystą. Można posiłkować się kredytem hipotecznym. Własność gruntu pod budynkiem. Czynsz miesięczny wynosi 750 zł miesięcznie (w tym zaliczki na wodę i ogrzewanie oraz opłata z tytułu funduszu remontowego, wywóz nieczystości, a także za miejsca parkingowe). Informacje dodatkowe: Dodatkowo możliwość zakupu naziemnego miejsca postojowego w cenie 20 000 zł. W razie posiadania większej ilości samochodów, możliwość wynajęcie miejsc parkingowych. Podsumowanie:Świetna oferta dla rodziny z dziećmi, z racji na świetny punkt do życia oraz pełną potrzebną infrastrukturę (przedszkola, szkoły, place zabaw, etc.) Polecam i zachęcam do kontaktu. Dodatkowe informacje: - Decydując się na zakup tej nieruchomości zyskujesz pełną obsługę, w tym bezpłatną pomoc w uzyskaniu kredytu hipotecznego. Współpracujemy ze sprawdzonym doradcą kredytowym - Gwarantujemy nieodpłatny i bezpieczny proces podpisania umowy przedwstępnej- Współpracując z Witkowski&amp;amp;Rajter otrzymujesz rabat na usługi notarialne- Jako profesjonalne biuro nieruchomości pobieramy wynagrodzenie prowizyjne za wykonanie usługi pośrednictwaZapraszam do współpracy inne biura nieruchomości. Cena podlega negocjacji. Małgorzata Długosz-Rajter Doradca ds. NieruchomościWITKOWSKI&amp;amp;RAJTERTel: 600 260 717 </t>
  </si>
  <si>
    <t>https://otodom.pl/pl/oferta/dwupoziomowe-3-pokoje-65-3m2-bez-skosow-rodzina-ID4k7Kg</t>
  </si>
  <si>
    <t>4k7Kg</t>
  </si>
  <si>
    <t>Dom z sielskim klimatem we wsi Sątop</t>
  </si>
  <si>
    <t>Sątop, Kozłowo, nidzicki, warmińsko-mazurskie</t>
  </si>
  <si>
    <t>Opis
Zielona trawa to nadzieja i relaks,
żółte mniszki to optymizm i kreatywność,
biało kwitnące drzewo to spokój i prostota,
różowe kwiaty na jabłoni to kreatywność i pasja.
Jakże łatwo tu wyzwolić te pozytywne stany i emocje. Jeśli marzysz o wyciszeniu, sielskim życiu bez gwaru i miejskiego zgiełku i nie obce Ci życie na wsi w zgodzie z naturą, to miejsce może woła do Ciebie ?
Lokalizacja
Sątop, gmina Kozłowo, powiat nidzicki, województwo warmińsko- mazurskie.
Dane powierzchniowe
Lokal mieszkalny w zabudowie bliźniaczej o powierzchni: 66,70 m2
Na parterze domu znajduje się pokój, kuchnia, łazienka i wiatrołap.
Na górze jest korytarz i duży pokój.
Dom jest podpiwniczony.
Do budynku przynależą dwa pomieszczenia gospodarcze z oddzielnym wejściem.
Wydzielona działka ma powierzchnię: 546m2
Dane techniczne
Stolarka okienna plastikowa
Na podłogach gumolit i płytki.
Stan: do zamieszkania
Piec na paliwo stałe: węgiel lub drewno
Woda- sieć miejska, kanalizacja, prąd
Dwie bramy wjazdowe do posesji
Okolica
Spokojna okolica, sąsiedztwo domków jednorodzinnych. Odległość do Nidzicy -9km , do Działdowa – 14km
Serdecznie zapraszam na prezentację nieruchomości, z przyjemnością odpowiem na wszelkie pytania oraz udzielę dodatkowych informacji, Marika Łobejko tel. 535 110 737
Zamierzasz kupić nieruchomość i skorzystać z finansowania banku? Pomożemy dokonać Ci dobrego wyboru najlepszej oferty spośród wielu banków. Nasz doradca dostosuje ofertę kredytu hipotecznego do Twoich potrzeb i oczekiwań oraz będzie do Twojej dyspozycji na każdym etapie procesu kredytowego.
Pośrednik odpowiedzialny zawodowo Leszek Śpiewak - Licencja nr 14514
Przedstawiony opis nie stanowi oferty w rozumieniu przepisów Kodeksu Cywilnego, lecz ma charakter informacyjny. Treść niniejszego ogłoszenia została opracowana na podstawie informacji i oświadczeń uzyskanych od Zamawiającego i może ulec zmianie.</t>
  </si>
  <si>
    <t>https://otodom.pl/pl/oferta/dom-z-sielskim-klimatem-we-wsi-satop-ID4lo7x</t>
  </si>
  <si>
    <t>4lo7x</t>
  </si>
  <si>
    <t>Przestronny apartament z balkonem nad morzem 58/2</t>
  </si>
  <si>
    <t>Ustka, słupski, pomorskie</t>
  </si>
  <si>
    <t>Z przyjemnością prezentujemy Państwu wyjątkową ofertę sprzedaży apartamentu w urokliwej miejscowości Ustka. To nowe mieszkanie o powierzchni 75,06m2, zlokalizowane na 1 piętrze z przestronnym balkonem oraz własnym miejscem parkingowym.
Lokalizacja: Osielde Luxoro Park, ul. Uzdrowiskowa 58/2. 
Powierzchnia: 75,06 m2 
Pomieszczenia: Salon z aneksem kuchennym, łazienka, korytarz oraz trzy pokoje. Wysokość pomieszczeń 2,80m.
Parking: indywidualne miejsce parkingowe w cenie
Udogodnienia: ogrzewanie podłogowe, miejsce na kominek, światłowód. Osiedle jest ogrodzone i monitorowane
Stan: Stan deweloperski z możliwością wykończenia "pod klucz"
Apartament usytuowany jest na nowoczesnym osiedlu w prestiżowej części Ustki. Ten apartament to idealne rozwiązanie dla osób ceniących spokój, wygodę i piękno nadmorskiego otoczenia. Bliskość natury oraz dogodna lokalizacja umożliwiają codzienny relaks i czerpanie radości z życia. 
Nie przegap tej wyjątkowej szansy na zakup nowego mieszkania, które można dostosować do swoich indywidualnych potrzeb. Skontaktuj się z nami już dziś, aby dowiedzieć się więcej i umówić na obejrzenie nieruchomości.
Kontakt i Cena:
Serdecznie zapraszamy na indywidualne prezentacje apartamentu. Skontaktuj się z nami, aby umówić dogodny termin
Kontakt: Agnieszka Michułka
Telefon: 696 488 500
Biuro sprzedaży znajduję się w Ustce przy ul. Uzdrowiskowej 1.
Cena: 629.000 PLN (cena brutto, bez dodatkowych kosztów)
Brak podatku PCC 2%
Brak prowizji biura
Niniejsza oferta nie stanowi oferty w rozumieniu Kodeksu Cywilnego, a dane w niej zawarte mają jedynie charakter informacyjny i mogą ulec zmianie (informacje o aktualnych cenach i dostępności lokali można uzyskać bezpośrednio w biurze dewelopera)</t>
  </si>
  <si>
    <t>https://otodom.pl/pl/oferta/przestronny-apartament-z-balkonem-nad-morzem-58-2-ID4jUH3</t>
  </si>
  <si>
    <t>4jUH3</t>
  </si>
  <si>
    <t>OSTATNI SZEREG - Okazja Cenowa w SUPER Lokalizacji</t>
  </si>
  <si>
    <t>Mamy do zaoferowania nową inwestycje na wrocławskich Stabłowicach.
Inwestycja to 10 nowoczesnych domów w zabudowie szeregowej zlokalizowanej na skrzyżowaniu ulic Strzeblowskiej i Będkowskiej.
Powierzchnia jednego domu to 99 m2. Działki od 149 do 362 m2.
Każdy dom ma bezpośredni zjazd do drogi gminnej (brak części wspólnych).
Dom charakteryzuje się dużą częścią dzienną (ponad 40m2) i nowoczesną architekturą.
Bezczynszowe.
W pobliżu szkoła, przedszkole, szpital, sklepy, autobus
Dostępne 10 lokali w cenach:
lokal A1,A2,A4 - sprzedane
lokal A3 - 750 tys. zł
lokal A5 - rezerwacja
lokal A6- rezerwacja
lokal B1,B2,B3,B4 - sprzedane</t>
  </si>
  <si>
    <t>https://otodom.pl/pl/oferta/okazja-cenowa-w-super-lokalizacji-ID4lz1T</t>
  </si>
  <si>
    <t>4lz1T</t>
  </si>
  <si>
    <t>Wyjątkowo przestronne z ogródkiem</t>
  </si>
  <si>
    <t xml:space="preserve">✔LOKALIZACJA:Nieopodal ul. Sporna. W pobliżu również Cechowa, Łużycka, Wielicka.✔OPIS:Mieszkanie jest położone na parterze 10 piętrowego bloku z 2021.Osiedle zamknięte. Osiedle ciche i spokojne, dużo terenów zielonych.Mieszkanie ma własny ogródek. ✔MIESZKANIE ZAWIERA:- salon z aneksem kuchennym- aneks kuchenny- łazienkę- ogródek- dwa miejsca parkingowe w garażu podziemnym✔FINANSE:- cena mieszkania 440 000 brutto- dwa miejsca parkingowe w garażu podziemnym 25 000 brutto / 1 Obiecujemy, że nie przesadzimy z prowizją :)✔ KONTAKT:Kacper Węgrzyntel.: 729 104 914e-mail.: 
Więcej ofert na stronie Biura Nieruchomości LIVINDER
Pośrednik odpowiedzialny zawodowo za wykonanie umowy pośrednictwa - Nr Licencji 23466
Chcemy z pasją i oddaniem budować trwałe relacje, kierując się przede wszystkim troską o klientów, którzy nam zaufali.
Oferta wysłana z programu dla biur nieruchomości ASARI CRM ()
</t>
  </si>
  <si>
    <t>https://otodom.pl/pl/oferta/wyjatkowo-przestronne-z-ogrodkiem-ID4lYP0</t>
  </si>
  <si>
    <t>4lYP0</t>
  </si>
  <si>
    <t>Żoliborz Artystyczny - mieszkanie na inwestycję!</t>
  </si>
  <si>
    <t>Stanisława Dygata, Sady Żoliborskie, Żoliborz, Warszawa, mazowieckie</t>
  </si>
  <si>
    <t xml:space="preserve">Mam zaszczyt zaprezentować Państwu idealne mieszkanie pod inwestycję na Żoliborzu Artystycznym. Wyjątkowo zaprojektowane lokum sprawdzi się pod zamieszkanie lub wynajem dla 1 jak i 2 osób. Dzięki unikatowemu projektowi za dnia w mieszkaniu można stworzyć otwartą, jasną przestrzeń, a w przypadku wizyty gości, odgrodzić strefę sypialnianą od wspólnej części nieruchomości. Lokalizacja:Mieszkanie posadowione jest w wybudowanych w pierwszym etapie blokach należących do osiedla Żoliborz Artystyczny, które zostało wybudowane z ramienia znanego dewelopera - Dom Development. Główną inspiracją do stworzenia tak wyjątkowej przestrzeni byli historyczni mieszkańcy Żoliborza.  Każda z ulic nazwana jest nazwiskiem artysty tworzącego sztukę między innymi tu, na Żoliborzu. Również przy wejściach do klatek budynków spotkamy wizerunki patronów. Niewątpliwym atutem osiedla jest niezwykła dbałość o przestrzenie wspólne i otaczającą zieleń. Prężnie działająca wspólnota przykuwa dużą uwagę do dbałości o roślinność mieszczącą się na patio i dookoła bloków. Kolejnym dodatkiem zasługującym na uwagę jest położenie osiedla obok uroczego Lasku na Kole, na którego widok rozpościera się z balkonu nieruchomości. Lasek jest wspaniałą lokalizacją dla właścicieli psów, sportowców czy też osób lubiących zrelaksować się na łonie natury. Na osiedlu znajdują się liczne sklepy (żabka, delikatesy, sklepy mięsne, piekarnie, markety), restauracje (sushi, włoskie) i punkty handlowo usługowe (pralnia, fryzjerzy, kosmetyczki, masażyści, fizjoterapeuci, siłownie wewnętrzne i miejskie), a nawet szkoły i przedszkola. Dobry węzeł komunikacyjny - zaraz przy wyjściu z osiedla autobusy, a także kolej podmiejska SKM, dodatkowo miejskie stacje rowerowe.Mieszkanie:wykonane przy użyciu wysokiej jakości materiałów mieszkanie składa się:- zabudowana, wykonana na wysoki połysk biała kuchnia wyposażona we wszelki, niezbędny do życia sprzęt tj. lodówkę, zmywarkę, zamrażarkę, płytę indukcyjną, okap- otwarta przestrzeń salonu wraz ze strefą sypialnianą odgrodzoną grubą, beżową zasłoną. W sypialni znajdziemy wysuwane z zabudowy składane łóżko oraz zabudowane szafy tworzące sporą przestrzeń do przetrzymywania rzeczy- łazienki wyposażonej w prysznic typu walk in, umywalkę, WC, pralkę i zabudowane szafy- tarasu przesłoniętego grubymi, tureckimi zasłonami, które rozsuwane lub składane są za pomocą automatyczne sterowanego pilota. Oszklony balkon rozciąga się na całą szerokość mieszkania, a widok z niego rozpościera się na pobliski lasek dzięki czemu stanowi on idealne miejsce do odpoczynku po dniu pracyWielkość nieruchomości według KW wynosi 43,95m2, po wyburzeniu ścian pomiędzy pokojami co zrobił właściciel osiągnięto dodatkowo ponad 1m2 powierzchni dając przy tym pełne 45m2 do użytku. Finanse:998 000 zł - mieszkanie55 000 zł - miejsce postojowe w garażu podziemnymZ całą pewnością mieszkanie mogę polecić pod inwestycję! Osobiście jestem posiadaczką mieszkania na tym osiedlu, które od lat wynajmuję. Żoliborz Artystyczny to spokojne miejsce, które swoją infrastrukturą, duszą i zielenią zachęca mieszkańców Warszawy do osadzenia się na tym osiedlu. Chcesz wiedzieć jaką kwotę możesz uzyskać za wynajem takiego mieszkania? Zapraszam do kontaktu i prezentacji!Kontakt:Zainteresowany? Skontaktuj się z nami pod numerem +4████████████6 lub napisz nam maila poprzez formularz kontaktowy dostępny w ogłoszeniu.Czy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 </t>
  </si>
  <si>
    <t>https://otodom.pl/pl/oferta/zoliborz-artystyczny-mieszkanie-na-inwestycje-ID4gml9</t>
  </si>
  <si>
    <t>4gml9</t>
  </si>
  <si>
    <t>https://otodom.pl/pl/oferta/winda-rolety-zewnetrzne-podlogowka-klimatyzacja-ID4dCGm</t>
  </si>
  <si>
    <t>4dCGm</t>
  </si>
  <si>
    <t>Gotowe mieszkanie 3 pok. z balkonem - Derdowskiego</t>
  </si>
  <si>
    <t>ul. ks. Kardynała Stefana Wyszyńskiego, Starogard Gdański, starogardzki, pomorskie</t>
  </si>
  <si>
    <t xml:space="preserve">
Apartamenty Derdowskiego – nowa, niepowtarzalna inwestycja – przy ulicy Hieronima Derdowskiego/ ks. kard. Stefana Wyszyńskiego w Starogardzie Gdańskim.
Perła miejskiej architektury, którą tworzą dwa budynki mieszkalne wielorodzinne. Zaprojektowane z dbałością o detale, z eleganckim mansardowym dachem, który zachwyca nie tylko wizualnie, ale także pozwala na efektywniejsze wykorzystanie ostatniego piętra budynku.
Apartamenty Derdowskiego to inwestycja, w której powstaną 72 lokale mieszkalne, rozmieszczone będą w 2 budynkach, obsługiwane z 4 klatek schodowych oraz 4 cichobieżnych wind. Dla komfortu mieszkańców powstaje też hala garażowa z piwnicami, a większość z mieszkań posiadać będzie przestronny balkon.
Przedmiotem sprzedaży jest słoneczne 3 pokojowe mieszkanie z balkonem o pow. 57,65 m2 zlokalizowane na parterze budynku.
Mieszkanie składa się z : korytarza o pow. 9,91 m2; salonu połączonego z aneksem kuchennym o pow. 22,21 m2 z wyjściem na balkon o pow. 5,80 m2, 2 sypialni o pow. 10,72 m2; 11,28 m2 oraz łazienki o pow. 3,53 m2. Mieszkanie od zachodniej strony.
 Ogrzewanie budynków gazowe (kotłownia znajduje się na poziomie -1 każdego z budynków )
Mieszkanie gotowe do odbioru.
Więcej informacji na temat inwestycji dostępne pod linkiem 
Zachęcamy również do kontaktu z naszymi doradcami pod numerem telefonu 788 544 833 lub 605 409 821 którzy fachowo doradzą i pomogą znaleźć idealne mieszkanie.
Pomagamy w uzyskaniu kredytu (oferty wszystkich dostępnych banków w jednym miejscu!) – skontaktuj się z naszym ekspertem kredytowym, a bezpłatnie  pomożemy w znalezieniu najtańszego dla Państwa wariantu – tel. 788-544-833 (Hanna Czerwicka)</t>
  </si>
  <si>
    <t>https://otodom.pl/pl/oferta/wykonczona-lazienka-w-cenie-mieszkania-ID4jXpC</t>
  </si>
  <si>
    <t>4jXpC</t>
  </si>
  <si>
    <t>Vista by kras-dom to pierwsza taka inwestycja w Bolesławcu, w ramach której powstaną lokale mieszkalne z widokiem na panoramę miasta, usytuowane w trzech 9-kondygnacyjnych budynkach wielorodzinnych oraz lokale usługowe. Inwestycja zlokalizowana będzie w obrębie ulic Staroszkolnej i Hutniczej w Bolesławcu. W ofercie posiadamy mieszkania dwu-, trzy- oraz czteropokojowe. Dla naszych klientów zaprojektowano lokale o zróżnicowanych metrażach w przedziale 46-94 m2, każdy z przestronnym tarasem oraz komórką lokatorską w cenie. Budynki wyposażone będą w nowoczesne windy, którymi mieszkańcy będą mogli dostać się z garażu podziemnego do swojego mieszkania. Niewątpliwym atutem podnoszącym prestiż inwestycji jest lokalizacja. Budynki zlokalizowane w bezpośrednim sąsiedztwie pasażu handlowego i sklepu spożywczego oraz kilka minut pieszo od bolesławieckiego Rynku, a jednocześnie z dala od ruchliwych ulic.</t>
  </si>
  <si>
    <t>https://otodom.pl/pl/oferta/vista-by-kras-dom-mieszkanie-74-91-m2-ID4m8s4</t>
  </si>
  <si>
    <t>4m8s4</t>
  </si>
  <si>
    <t>Rataje, Nowe Miasto, Poznań, wielkOpole Voivodeship</t>
  </si>
  <si>
    <t>Starołęka Mała, Nowe Miasto, Poznań, wielkOpole Voivodeship</t>
  </si>
  <si>
    <t>ul. Okólna, Piła, pilski, wielkOpole Voivodeship</t>
  </si>
  <si>
    <t>ul. Jesionowa, Tarnów, małOpole Voivodeship</t>
  </si>
  <si>
    <t>ul. Sielawy, Naramowice, Stare Miasto, Poznań, wielkOpole Voivodeship</t>
  </si>
  <si>
    <t>ul. Piastowska, Trzemeszno, Trzemeszno, gnieźnieński, wielkOpole Voivodeship</t>
  </si>
  <si>
    <t>Centrum, Stare Miasto, Poznań, wielkOpole Voivodeship</t>
  </si>
  <si>
    <t>ul. Lublańska, Prądnik Czerwony, Prądnik Czerwony, Kraków, małOpole Voivodeship</t>
  </si>
  <si>
    <t>ul. Graniczna, Skawina, Skawina, krakowski, małOpole Voivodeship</t>
  </si>
  <si>
    <t>Siekierki Wielkie, Kostrzyn, poznański, wielkOpole Voivodeship</t>
  </si>
  <si>
    <t>Zawoja, Zawoja, suski, małOpole Voivodeship</t>
  </si>
  <si>
    <t>ul. Pawła z Krosna, Kliny, Swoszowice, Kraków, małOpole Voivodeship</t>
  </si>
  <si>
    <t>ul. Gajówka, Przegorzały, Zwierzyniec, Kraków, małOpole Voivodeship</t>
  </si>
  <si>
    <t>ul. Warciana, Jarocin, Jarocin, jarociński, wielkOpole Voivodeship</t>
  </si>
  <si>
    <t>ul. Juliusza Słowackiego, Olesno, Olesno, oleski, Opole Voivodeship</t>
  </si>
  <si>
    <t>ul. Węgierska, Nowy Sącz, małOpole Voivodeship</t>
  </si>
  <si>
    <t>Krzyszkowo, Rokietnica, poznański, wielkOpole Voivodeship</t>
  </si>
  <si>
    <t>Tarnów, małOpole Voivodeship</t>
  </si>
  <si>
    <t>Osiedle Słoneczne, Nowa Huta, Nowa Huta, Kraków, małOpole Voivodeship</t>
  </si>
  <si>
    <t>Różany Potok, Stare Miasto, Poznań, wielkOpole Voivodeship</t>
  </si>
  <si>
    <t>Lewin Brzeski, Lewin Brzeski, brzeski, Opole Voivodeship</t>
  </si>
  <si>
    <t>Myślenice, Myślenice, myślenicki, małOpole Voivodeship</t>
  </si>
  <si>
    <t>ul. Konfederacka 11, Pogodno, Grunwald, Poznań, wielkOpole Voivodeship</t>
  </si>
  <si>
    <t>os. Osiedle Przylesie, Błażejewo, Kórnik, poznański, wielkOpole Voivodeship</t>
  </si>
  <si>
    <t>Solei de Malta, Milczańska, Łacina, Nowe Miasto, Poznań, wielkOpole Voivodeship</t>
  </si>
  <si>
    <t>Prokocim, Bieżanów-Prokocim, Kraków, małOpole Voivodeship</t>
  </si>
  <si>
    <t>al. Aleje Karola Marcinkowskiego, Stare Miasto, Stare Miasto, Poznań, wielkOpole Voivodeship</t>
  </si>
  <si>
    <t>Gosławice, Opole, Opole Voivodeship</t>
  </si>
  <si>
    <t>ul. Piekary, Centrum, Stare Miasto, Poznań, wielkOpole Voivodeship</t>
  </si>
  <si>
    <t>Szczytniki, Kórnik, poznański, wielkOpole Voivodeship</t>
  </si>
  <si>
    <t>os. Przyjaźni, Winogrady, Stare Miasto, Poznań, wielkOpole Voivodeship</t>
  </si>
  <si>
    <t>ul. Mariana Smoluchowskiego, Junikowo, Grunwald, Poznań, wielkOpole Voivodeship</t>
  </si>
  <si>
    <t>Tarnowo Podgórne, Tarnowo Podgórne, poznański, wielkOpole Voivodeship</t>
  </si>
  <si>
    <t>Ludwinów, Dębniki, Kraków, małOpole Voivodeship</t>
  </si>
  <si>
    <t>ul. Osiedlowa, Nochowo, Śrem, śremski, wielkOpole Voivodeship</t>
  </si>
  <si>
    <t>ul. Kościelna, Jeżyce, Jeżyce, Poznań, wielkOpole Voivodeship</t>
  </si>
  <si>
    <t>os. Hutnicze, Nowa Huta, Nowa Huta, Kraków, małOpole Voivodeship</t>
  </si>
  <si>
    <t>ul. Młyńska, Rakowice, Prądnik Czerwony, Kraków, małOpole Voivodeship</t>
  </si>
  <si>
    <t>Bieżanów, Bieżanów-Prokocim, Kraków, małOpole Voivodeship</t>
  </si>
  <si>
    <t>Naramowice, Stare Miasto, Poznań, wielkOpole Voivodeship</t>
  </si>
  <si>
    <t>ul. Jachtowa, Luboń, poznański, wielkOpole Voivodeship</t>
  </si>
  <si>
    <t>Grotowice, Opole, Opole Voivodeship</t>
  </si>
  <si>
    <t>ul. Józefa Chełmońskiego, Azory, Prądnik Biały, Kraków, małOpole Voivodeship</t>
  </si>
  <si>
    <t>Bieńczyce, Bieńczyce, Kraków, małOpole Voivodeship</t>
  </si>
  <si>
    <t>Podolany, Jeżyce, Poznań, wielkOpole Voivodeship</t>
  </si>
  <si>
    <t>ul. Rynek, Limanowa, limanowski, małOpole Voivodeship</t>
  </si>
  <si>
    <t>ul. Szarotki, Bronowice Wielkie, Prądnik Biały, Kraków, małOpole Voivodeship</t>
  </si>
  <si>
    <t>Grabowa, Dominowo, Dominowo, średzki, wielkOpole Voivodeship</t>
  </si>
  <si>
    <t>Jaroszowice, Wadowice, wadowicki, małOpole Voivodeship</t>
  </si>
  <si>
    <t>ul. Salwatorska, Zwierzyniec, Zwierzyniec, Kraków, małOpole Voivodeship</t>
  </si>
  <si>
    <t>ul. gen. Tadeusza Kościuszki, Zwierzyniec, Zwierzyniec, Kraków, małOpole Voivodeship</t>
  </si>
  <si>
    <t>ul. gen. Pułaskiego, Kluczbork, Kluczbork, kluczborski, Opole Voivodeship</t>
  </si>
  <si>
    <t>ul. Plastusia, Branice, Nowa Huta, Kraków, małOpole Voivodeship</t>
  </si>
  <si>
    <t>ul. św. Wawrzyńca 11, Jeżyce, Jeżyce, Poznań, wielkOpole Voivodeship</t>
  </si>
  <si>
    <t>ul. Kościelna 16, Przeźmierowo, Tarnowo Podgórne, poznański, wielkOpole Voivodeship</t>
  </si>
  <si>
    <t>Skawina, Skawina, krakowski, małOpole Voivodeship</t>
  </si>
  <si>
    <t>Żydowo, Rokietnica, poznański, wielkOpole Voivodeship</t>
  </si>
  <si>
    <t>Nie za bardzo przepadasz za dużymi miastami ?  W Twojej duszy gra cisza i spokój wielkOpole Voivodeshipj wsi? Szukasz dużego mieszkania, ale jeszcze nie domu ?  Masz głowę pełną pomysłów  i żaden remont Tobie nie  jest straszny ?
To 3 pokojowe,  przestrzenne mieszkanie  w gminie Rokietnica, będzie dla Ciebie idealne .
Mieszkanie ma  68,6 m2, mieści się na parterze w dwupiętrowym bloku w małej wiosce Żydowo tuż obok Rokietnicy i zaledwie 25 km od Poznania.
Zapraszam na wirtualny spacer- sprawdź jak to mieszkanie może wyglądać po remoncie.
Jego dużym atutem poza funkcjonalnym układem jest bliskość parku, dostęp do ogródka działkowego i garaż. 
A sami przyznacie że cena jak za kawalerkę w Poznaniu brzmi dobrze.
Układ:
Korytarz ok 8,3 m2 
Kuchnia ok 12,9 m2
Łazienka ok 3,1 m2
Toaleta ok0,9 m2
Pokój ok 21,6 m2
Pokój ok 13,9 m2
Pokój ok 7,9 m2
Pokój ok 19 m2 
Balkon
Do mieszkania przynależy piwnica, która ma prawie 25 m2 i z pewnością pomieści wiele skarbów. 
Dodatkowo garaż oraz ogródek działkowy.
Wyposażenie w cenie:
Mieszkanie jest do remontu , sprzedawane będzie bez wyposażania.  Do mieszkania zostanie doprowadzony  gaz ( propan) . Istnieje możliwość  zaaranżowania przestrzeni pod własne potrzeby, można połączyć kuchnię z pokojem, łazienkę i toaletę .
Odległości :
Rokietnica: 6 km 
Tarnowo Podgórne - 19 km
Szamotuły -  16 km 
Poznań - 25 km 
Stan prawny:
Lokal stanowiący odrębną nieruchomość 
Masz pomysł jak zaaranżować tę  przestrzeń ? 
Zadzwoń i umów się na prezentację  - z radością Wam zaprezentuję to mieszkanie.</t>
  </si>
  <si>
    <t>Sułków, Wieliczka, wielicki, małOpole Voivodeship</t>
  </si>
  <si>
    <t xml:space="preserve">Zamieszkaj w domu w Wieliczce  na zamkniętym osiedlu Sułków Zielony Stok Południe. Komfortowy dom w zabudowie bliźniaczej o powierzchni 95 m2, z dodatkowym pomieszczeniem na poddaszu, które może służyć jako biuro, siłownia, bawialnia dla dzieci. Budynek wyposażony w klimatyzację oraz ogrzewanie gazowe. Powierzchnia działki 426 m2.Pieszo dotrzesz do :- przystanku autobusowego w ciągu 4 min (350 m)- przedszkola w ciągu 7 minut (500 m)- szkoły podstawowej w ciągu 10 minut (800 m)- sklepu spożywczego w ciągu 4 min (350 m)Samochodem dotrzesz do : - Biedronki i Żabki - 3,9 km- Rynku w Wieliczce - 4 km- MałOpole Voivodeshipj Areny Lekkoatletycznej - 4,1 km- Kopalni soli w Wieliczce - 4,7 km- Starego Miasta w Krakowie - 18 kmKomunikacja miejską dotrzesz do centrum Wieliczki w 18 minut.Czy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najmem.Dzięki temu z nami znajdziesz nieruchomość, sfinansujesz jej zakup, zaprojektujesz i wykończysz jej wnętrze a następnie sprzedasz lub wynajmiesz z opcją przekazania nam nieruchomości do zarządzania najmem.Zainteresowany? Zapytaj opiekuna oferty o szczegóły. </t>
  </si>
  <si>
    <t>ul. Zakole, Konin, wielkOpole Voivodeship</t>
  </si>
  <si>
    <t>Górka Narodowa, Prądnik Biały, Kraków, małOpole Voivodeship</t>
  </si>
  <si>
    <t>ul. Wagrowska, Żegrze, Nowe Miasto, Poznań, wielkOpole Voivodeship</t>
  </si>
  <si>
    <t>ul. Sukiennicza, Stradom, Stare Miasto, Kraków, małOpole Voivodeship</t>
  </si>
  <si>
    <t>Oborniki, Oborniki, obornicki, wielkOpole Voivodeship</t>
  </si>
  <si>
    <t>ul. Kobierzyńska, Ruczaj, Dębniki, Kraków, małOpole Voivodeship</t>
  </si>
  <si>
    <t>Chyby, Tarnowo Podgórne, poznański, wielkOpole Voivodeship</t>
  </si>
  <si>
    <t>Września, Września, wrzesiński, wielkOpole Voivodeship</t>
  </si>
  <si>
    <t>ul. Jana Kantego Andrusikiewicza, Prokocim, Bieżanów-Prokocim, Kraków, małOpole Voivodeship</t>
  </si>
  <si>
    <t>ul. Maciejkowa, Tonie, Prądnik Biały, Kraków, małOpole Voivodeship</t>
  </si>
  <si>
    <t>ul. ks. Wincentego Turka, Płaszów, Podgórze, Kraków, małOpole Voivodeship</t>
  </si>
  <si>
    <t>Leszno, wielkOpole Voivodeship</t>
  </si>
  <si>
    <t>ul. Na Ustroniu, Ludwinów, Dębniki, Kraków, małOpole Voivodeship</t>
  </si>
  <si>
    <t>ul. Reduta, Prądnik Czerwony, Prądnik Czerwony, Kraków, małOpole Voivodeship</t>
  </si>
  <si>
    <t>ul. Cyrhla, Zakopane, tatrzański, małOpole Voivodeship</t>
  </si>
  <si>
    <t>ul. Lasówka, Płaszów, Podgórze, Kraków, małOpole Voivodeship</t>
  </si>
  <si>
    <t>ul. Kuźnicy Kołłątajowskiej, Górka Narodowa, Prądnik Biały, Kraków, małOpole Voivodeship</t>
  </si>
  <si>
    <t>Mieszkania na sprzedaż w dzielnicy Podczele.Wybierz mieszkanie w naszej inwestycji Miejski Las przy ulicy TarnOpole Voivodeshipj w Kołobrzegu.Bardzo funkcjonalne mieszkanie o powierzchni 61,95 m kw.Złożone z trzech kameralnych budynków mieszkalnych osiedle oferuje także miejsca parkingowe w bezpiecznych i przestronnych halach, do których prowadzą windy i schody wewnątrz budynków.Każde z 60 mieszkań na sprzedaż wyróżnia się praktycznym układem pomieszczeń oraz bardzo nowoczesną i spójną stylistyką.Swoje wymarzone mieszkanie znajdzie tutaj singiel, para oraz wielodzietna rodzina.Praktyczny układ, jasne wnętrza, estetyczne z zewnątrz i od środka wielokondygnacyjne domy wpasowane w naturalny, nadmorski krajobraz oraz niskie koszty użytkowania części prywatnych i wspólnych to główne założenia pomysłodawców osiedla Miejski Las.Miejsca postojowe dla samochodów wewnątrz budynków, szybka, cicha, niezawodna winda, perfekcyjnie wykończone klatki schodowe, doskonale przemyślane trakty piesze i energooszczędne oświetlenie- każdy element , który podnosi jakość życia mieszkańców osiedla, został doprowadzony i zrealizowany w sposób estetyczny i przy pomocy wysokiej klasy materiałów.Świetna lokalizacja, dobra komunikacja, cicha i spokojna okolica to tylko nieliczne z atutów inwestycji.Nie musicie się zastanawiać, czy na osiedlu Miejski Las będzie Wam się dobrze mieszkać.Zadbaliśmy o to już na etapie projektowania i zadbamy, tworząc każdy budynek.</t>
  </si>
  <si>
    <t>ul. Mariana Domagały, Złocień, Bieżanów-Prokocim, Kraków, małOpole Voivodeship</t>
  </si>
  <si>
    <t>ul. Świerkowa, Dąbrówka, Dopiewo, poznański, wielkOpole Voivodeship</t>
  </si>
  <si>
    <t>Zawada, Myślenice, myślenicki, małOpole Voivodeship</t>
  </si>
  <si>
    <t>Skalmierzyce, Nowe Skalmierzyce, ostrowski, wielkOpole Voivodeship</t>
  </si>
  <si>
    <t>Bronowice Wielkie, Prądnik Biały, Kraków, małOpole Voivodeship</t>
  </si>
  <si>
    <t>ul. Grzegórzecka, Grzegórzki, Grzegórzki, Kraków, małOpole Voivodeship</t>
  </si>
  <si>
    <t>ul. Władysława Orkana, Nowy Targ, nowotarski, małOpole Voivodeship</t>
  </si>
  <si>
    <t>ul. Średnia, Leszno, wielkOpole Voivodeship</t>
  </si>
  <si>
    <t>ul. Kotowo, Kotowo, Grunwald, Poznań, wielkOpole Voivodeship</t>
  </si>
  <si>
    <t>Nadodrze, Opole, Opole Voivodeship</t>
  </si>
  <si>
    <t>Zapraszam do zapoznania się z ofertą sprzedaży przytulnego, dwupokojowego mieszkania zlokalizowanego na jednym z osiedli Opole Voivodeshipgo Zaodrza.Mieszkanie o powierzchni 46,61 m2 znajduje się na 6 piętrze wysokiego bloku z windami, a w jej skład wchodzą:- salon z wyjściem na balkon- sypialnia- niezależna, w pełni wyposażona kuchnia z oknem- łazienka z prysznicemDo mieszkania przynależy również piwnica.Nieruchomość przeszła gruntowny remont w 2020 roku.W mieszkaniu zamontowano nowe drzwi wewnętrzne oraz zewnętrzne - dębowe. Mieszkanie w pełni wyposażone, dwie szafy wnękowe, meble kuchenne w zabudowie wraz ze sprzętem AGD (z wyjątkiem Thermomixa widocznego na zdjęciach), gotowe do zamieszkania. Ciepła woda oraz ogrzewanie z miasta. Czynsz do spółdzielni wynosi 820 zł przy zamieszkałych 3 osobach.Mieszkanie ciepłe i jasne, okna wychodzą na stronę południową. Okolica spokojna, w pobliżu przystanki autobusowe, żłobek, szkoła, poczta, przychodnia lekarska oraz liczne sklepy.Serdecznie zapraszam na prezentację.  Zadzwoń i umów się na bezpłatną prezentację nieruchomości. Serdecznie zapraszamy do współpracy!  Jesteśmy zwycięzcą statuetki LIDER NIERUCHOMOŚCI OTODOM 2022 w konkursie dla najlepszej agencji nieruchomości w województwie opolskim. ZAMIEŃ NASZE DOŚWIADCZENIE W SWÓJ SUKCES.  Nota prawna: Informacje dotyczące opisu nieruchomości podane są przez właściciela, mają charakter wyłącznie informacyjny i mogą podlegać aktualizacji. Oferta dotycząca nieruchomości stanowi zaproszenie do rokowań zgodnie z art. 71 Kodeksu Cywilnego i nie stanowi oferty określonej w art. 66 i następnych KC.  Oferta wysłana z programu dla biur nieruchomości ASARI CRM ()</t>
  </si>
  <si>
    <t>ul. Józefa Wybickiego, Krowodrza Górka, Prądnik Biały, Kraków, małOpole Voivodeship</t>
  </si>
  <si>
    <t>ul. Jasna Rola, Naramowice, Stare Miasto, Poznań, wielkOpole Voivodeship</t>
  </si>
  <si>
    <t>Nowa Huta, Nowa Huta, Kraków, małOpole Voivodeship</t>
  </si>
  <si>
    <t>ul. Niepodległości, Leszno, wielkOpole Voivodeship</t>
  </si>
  <si>
    <t>Lusówko, Tarnowo Podgórne, poznański, wielkOpole Voivodeship</t>
  </si>
  <si>
    <t>ul. Tadeusza Mikke, Strzeszyn, Jeżyce, Poznań, wielkOpole Voivodeship</t>
  </si>
  <si>
    <t>ul. Gawlaki, Zakopane, tatrzański, małOpole Voivodeship</t>
  </si>
  <si>
    <t>ul. Tadeusza Szafrana, Stare Podgórze, Podgórze, Kraków, małOpole Voivodeship</t>
  </si>
  <si>
    <t>ul. Ofiar Katynia, Brzeg, brzeski, Opole Voivodeship</t>
  </si>
  <si>
    <t>Cianowice, Skała, krakowski, małOpole Voivodeship</t>
  </si>
  <si>
    <t>ul. ppor. Jana Liszyka 6, Jastrowie, Jastrowie, złotowski, wielkOpole Voivodeship</t>
  </si>
  <si>
    <t>ul. Biedrzyckiego, Pobiedziska, Pobiedziska, poznański, wielkOpole Voivodeship</t>
  </si>
  <si>
    <t>Śródmieście, Opole, Opole Voivodeship</t>
  </si>
  <si>
    <t>ul. Kolonia Stella, Chrzanów, Chrzanów, chrzanowski, małOpole Voivodeship</t>
  </si>
  <si>
    <t>ul. Wierzbięcice, Wilda, Wilda, Poznań, wielkOpole Voivodeship</t>
  </si>
  <si>
    <t>Winogrady, Stare Miasto, Poznań, wielkOpole Voivodeship</t>
  </si>
  <si>
    <t>ul. Stanisława Przybyszewskiego, Małe Błonia, Krowodrza, Kraków, małOpole Voivodeship</t>
  </si>
  <si>
    <t>Osiedle Bohaterów Września, Mistrzejowice, Mistrzejowice, Kraków, małOpole Voivodeship</t>
  </si>
  <si>
    <t>ul. Zwycięstwa, Nysa, Nysa, nyski, Opole Voivodeship</t>
  </si>
  <si>
    <t>Jeżyce, Jeżyce, Poznań, wielkOpole Voivodeship</t>
  </si>
  <si>
    <t>Łobzów, Krowodrza, Kraków, małOpole Voivodeship</t>
  </si>
  <si>
    <t>ul. Mirosława Krzyżańskiego, Wróblowice, Swoszowice, Kraków, małOpole Voivodeship</t>
  </si>
  <si>
    <t>ul. Myśliwska, Płaszów, Podgórze, Kraków, małOpole Voivodeship</t>
  </si>
  <si>
    <t>ul. Jaśminowa, Środa Wielkopolska, Środa Wielkopolska, średzki, wielkOpole Voivodeship</t>
  </si>
  <si>
    <t>EkoHarmonia Osiedle Mieszkaniowe, położone przy ul. Jaśminowej w Środzie WielkOpole Voivodeshipj. 
Polecamy na sprzedaż lokale mieszkalne znajdujące się w parterowych budynkach jednorodzinnych.
Na każdy lokal składać się będą dwie sypialnie, salon z aneksem kuchennym, łazienka oraz pomieszczenie gospodarcze. Z salonu będzie można wyjść do ogrodu. Dużo prywatności zapewni nam brak sąsiadów na piętrze.
Dodatkowo na każdy lokal przypadać będą dwa miejsca postojowe.
Wszystkie lokale wyposażone będą w pompy ciepła. 
Cechą inwestycji jest wysoki standard wykończenia, m.in.:
izolacja dachu wykonana pianką poliuretanową,
drzwi wejściowe zewnętrzne Wikęd Basic,
stolarka okienna PCV – GEALAN S9000, trzyszybowe,
powietrzna pompa ciepła Ariston Nimbus Flex 35s,
ogrzewanie podłogowe w całym domu.
Lokalizacja i otoczenie
W najbliższej okolicy znajduje się pełna infrastruktura gwarantująca dostęp do przedszkoli, szkół czy sklepów oraz innych punktów usługowych. Jednocześnie jest zapewniona cisza i spokój.
30 min. do Poznania
30 min. do Wrześni
30 min. do Śremu
 </t>
  </si>
  <si>
    <t>ul. 28 Czerwca 1956 r., Wilda, Wilda, Poznań, wielkOpole Voivodeship</t>
  </si>
  <si>
    <t>al. Ignacego Daszyńskiego, Grzegórzki, Grzegórzki, Kraków, małOpole Voivodeship</t>
  </si>
  <si>
    <t>ul. Stanisława Augusta Poniatowskiego, Wzgórza Krzesławickie, Wzgórza Krzesławickie, Kraków, małOpole Voivodeship</t>
  </si>
  <si>
    <t>ul. Żabiniec, Żabiniec, Prądnik Biały, Kraków, małOpole Voivodeship</t>
  </si>
  <si>
    <t>ul. Józefa Łepkowskiego, Prądnik Czerwony, Prądnik Czerwony, Kraków, małOpole Voivodeship</t>
  </si>
  <si>
    <t>ul. Fabryczna, Wilda, Wilda, Poznań, wielkOpole Voivodeship</t>
  </si>
  <si>
    <t>Święciechowa, Święciechowa, leszczyński, wielkOpole Voivodeship</t>
  </si>
  <si>
    <t>Jankowo 8, Łaziska, Wągrowiec, wągrowiecki, wielkOpole Voivodeship</t>
  </si>
  <si>
    <t>ul. Piaszczysta, Prądnik Biały, Prądnik Biały, Kraków, małOpole Voivodeship</t>
  </si>
  <si>
    <t>ul. Kosynierów, Olkusz, Olkusz, olkuski, małOpole Voivodeship</t>
  </si>
  <si>
    <t>Czerniejewo, Czerniejewo, gnieźnieński, wielkOpole Voivodeship</t>
  </si>
  <si>
    <t>ul. Teofila Mateckiego, Piątkowo, Stare Miasto, Poznań, wielkOpole Voivodeship</t>
  </si>
  <si>
    <t>Różany Potok, Cerekwica, Rokietnica, poznański, wielkOpole Voivodeship</t>
  </si>
  <si>
    <t>Przedmiotem ogłoszenia jest 2-pokojowe mieszkanie położone na parterze w inwestycji Portofino Residence | Gąski. To wyjątkowy lokal o powierzchni 39,32 m kw. Cechą inwestycji jest wysoki standard i świetna lokalizacja.
APARTAMENTY
Zapraszamy do zapoznania się z ofertą przedsprzedaży apartamentów w Gąskach. Budynek będzie składał się z 32 mieszkań. Najmniejsze dwupokojowe zaczynają się od 39m2, a największe trzypokojowe 65m2. Każde mieszkanie posiada duży balkon, a lokale na parterze będą posiadać prywatny ogródek.
To propozycja dla osób, które cenią sobie spokój i prywatność.
Do wyboru oferujemy także zakup miejsca postojowego na zewnątrz. Ceny podane w ogłoszenie są cenami brutto.
W celu zapoznania się z pełną ofertą zapraszamy do naszego BIURA SPRZEDAŻY w Luboniu, ul. Niepodległości 11b, lub pod numerem tel. 
LOKALIZACJA
Inwestycja zlokalizowana jest przy ul. Nadbrzeżnej 102 w Gąskach, z dala od jej najbardziej ruchliwej części. Położona 200 m od morza.
INWESTOR
Portofino Residence należy do Grupy Akropol Inwestycje, wielkOpole Voivodeshipgo dewelopera z ponad 15 letnim doświadczeniem na rynku. Na przestrzeni tych lat z sukcesem zrealizował ponad dwa tysiące domów i mieszkań w Poznaniu i najbliższej okolicy, Szczecinie i Kołobrzegu.
Portofino Residence jest odpowiedzią na potrzeby rynku nadmorskich apartamentów. W przygotowaniu są kolejne inwestycje w Mielnie, Darłowie i Gąskach.
Niniejsze ogłoszenie nie stanowi oferty w rozumieniu przepisów Kodeksu Cywilnego, a ma jedynie charakter informacyjny.</t>
  </si>
  <si>
    <t>ul. Pękowicka, Zielonki, Zielonki, krakowski, małOpole Voivodeship</t>
  </si>
  <si>
    <t>Prądnik Biały, Prądnik Biały, Kraków, małOpole Voivodeship</t>
  </si>
  <si>
    <t>Modlnica, Wielka Wieś, krakowski, małOpole Voivodeship</t>
  </si>
  <si>
    <t>Łazarz, Grunwald, Poznań, wielkOpole Voivodeship</t>
  </si>
  <si>
    <t>Tonie, Prądnik Biały, Kraków, małOpole Voivodeship</t>
  </si>
  <si>
    <t>ul. Dolna Wilda, Łęgi Dębińskie, Wilda, Poznań, wielkOpole Voivodeship</t>
  </si>
  <si>
    <t>Rżąka, Bieżanów-Prokocim, Kraków, małOpole Voivodeship</t>
  </si>
  <si>
    <t>ul. Gwarna, Centrum, Stare Miasto, Poznań, wielkOpole Voivodeship</t>
  </si>
  <si>
    <t>ul. Armii Krajowej 7, Małe Błonia, Krowodrza, Kraków, małOpole Voivodeship</t>
  </si>
  <si>
    <t>Przedmiotem ogłoszenia jest 4-pokojowe mieszkanie położone na 1 piętrze budynku w inwestycji Kostrzyńska 42. To przestronny lokal o powierzchni 75,41 kw. Cechą inwestycji jest wysoki standard i świetna lokalizacja. Zapraszamy do zapoznania się z ofertą i do kontaktu.
O inwestycji
Kostrzyńska 42 to nowoczesna inwestycja powstająca nieopodal centrum Gorzowa WielkOpole Voivodeshipgo. Dobrze przemyślane plany mieszkań oraz bliska dostępność miejskich udogodnień zagwarantują nowym mieszkańcom spokój i zadowolenie.
Do lokali można dokupić miejsce w hali garażowej, garaż indywidualny i komórkę lokatorską.
Oddanie lokalu nastąpi w grudniu 2023.
Istnieje możliwość przeniesienia kuchni do pokoju nr 3.
O lokalizacji
Inwestycja zlokalizowana jest przy ulicy Kostrzyńskiej 42 w Gorzowie Wielkopolskim na terenach starego tartaku. Budynki są 3 i 4 kondygnacyjne dzięki czemu idealnie wpasowują się w otoczenie. 
O deweloperze
REBUD SP. Z O. O. - spółka z siedzibą w Gorzowie Wlkp. przy ul. Starzyńskiego 1 jest przedsiębiorstwem budowlanym działającym w Gorzowie Wlkp. Spółka rozpoczęła działalność w 1998 roku. Startując niemalże od zera, bez zaplecza technicznego i socjalnego jej zarząd stworzył prężną, o ustalonej randze firmę.
Jesteśmy Spółką o dużych możliwościach organizacyjnych i wykonawczych, albowiem skupiamy nie tylko doświadczoną, o wieloletnim stażu kadrę kierowniczą, ale również wysoko kwalifikowanych pracowników wykonawstwa, posiadających umiejętności szybkiego dostosowania zawodowych możliwości do najnowszych technik budowlanych.</t>
  </si>
  <si>
    <t>Zalasewo, Swarzędz, poznański, wielkOpole Voivodeship</t>
  </si>
  <si>
    <t>Aleja Juliusza Słowackiego, Oświęcim, oświęcimski, małOpole Voivodeship</t>
  </si>
  <si>
    <t>Łacina, Nowe Miasto, Poznań, wielkOpole Voivodeship</t>
  </si>
  <si>
    <t>ul. Cicha, Wola Filipowska, Krzeszowice, krakowski, małOpole Voivodeship</t>
  </si>
  <si>
    <t>ul. Teresy Remiszewskiej, Międzychód, Międzychód, międzychodzki, wielkOpole Voivodeship</t>
  </si>
  <si>
    <t>Brzeg, brzeski, Opole Voivodeship</t>
  </si>
  <si>
    <t>Mosina, Mosina, poznański, wielkOpole Voivodeship</t>
  </si>
  <si>
    <t>Rudawa, Zabierzów, krakowski, małOpole Voivodeship</t>
  </si>
  <si>
    <t>Drożki, Rychtal, kępiński, wielkOpole Voivodeship</t>
  </si>
  <si>
    <t>Grobia, Sieraków, międzychodzki, wielkOpole Voivodeship</t>
  </si>
  <si>
    <t>Umultowo, Stare Miasto, Poznań, wielkOpole Voivodeship</t>
  </si>
  <si>
    <t>ul. Rzeczna, Krowodrza, Krowodrza, Kraków, małOpole Voivodeship</t>
  </si>
  <si>
    <t>OSIEDLE CHABROWE, Krążkowy, Kępno, kępiński, wielkOpole Voivodeship</t>
  </si>
  <si>
    <t>ul. Szpakowa, Piaski Wielkie, Podgórze Duchackie, Kraków, małOpole Voivodeship</t>
  </si>
  <si>
    <t>Gorzów Wielkopolski, Lubusz Voivodeship</t>
  </si>
  <si>
    <t>Nowogród Bobrzański, Nowogród Bobrzański, zielonogórski, Lubusz Voivodeship</t>
  </si>
  <si>
    <t>Lubsko, Lubsko, żarski, Lubusz Voivodeship</t>
  </si>
  <si>
    <t>ul. Zielonogórska, Nowogród Bobrzański, Nowogród Bobrzański, zielonogórski, Lubusz Voivodeship</t>
  </si>
  <si>
    <t>Żary, żarski, Lubusz Voivodeship</t>
  </si>
  <si>
    <t>Łężyca, Zielona Góra, Lubusz Voivodeship</t>
  </si>
  <si>
    <t>Gubin, krośnieński, Lubusz Voivodeship</t>
  </si>
  <si>
    <t>ul. Ludowa, Centrum, Zielona Góra, Lubusz Voivodeship</t>
  </si>
  <si>
    <t>ul. Składowa, Centrum, Zielona Góra, Lubusz Voivodeship</t>
  </si>
  <si>
    <t>ul. Kostrzyńska 42, Gorzów Wielkopolski, Lubusz Voivodeship</t>
  </si>
  <si>
    <t>Gryżyce, Żagań, żagański, Lubusz Voivodeship</t>
  </si>
  <si>
    <t>*** OFERTA NA WYŁĄCZNOŚĆ HOMFI *** **   KUPUJĄCY NIE PŁACI PROWIZJI  **WYJĄTKOWA REZYDENCJA NAD JEZIOREM I RZEKĄOferujemy Państwu dom jednorodzinny wykonany w konstrukcji z bala cylindrycznego. Nieruchomość stanowi budynek mieszkalny o powierzchni użytkowej niemal 270 m2 wraz z obiektami przydomowymi (o łącznej powierzchni 69,13 m2) na działce bagatela 61,5 ar.LOKALIZACJA----------------Dom znajduje się w gminie Żagań w województwie lubuskim. Sprzedawana nieruchomość stanowi istny azyl, prywatną przestrzeń bez zabudowań mieszkalnych czy usługowych na sąsiednich działkach. Teren jest ogrodzony i strzeżony. Do dyspozycji właściciela domu i jego gości pozostaje prywatna plaża z linią brzegową jeziora. Nieopodal nieruchomości swój bieg ma również rzeka Bóbr, którą widać z pokojów rezydencji. Wokół występują tereny zielone, częściowo zadrzewione i oferujące mnóstwo walorów przyrodniczych. Droga dojazdowa jest utwardzona kruszywem bazaltowym i zapewnia bezpieczny dojazd do przedmiotowej nieruchomościNIERUCHOMOŚĆ--------------------Budynek w zabudowie wolnostojącej, parterowy z użytkowym poddaszem, wykonany w technologii drewnianej z bala cylindrycznego.Dane ogólne: - powierzchnia użytkowa: - 269,85 m2,- powierzchnia użytkowa parteru: - 152,2,70 m2,- powierzchnia użytkowa poddasza: - 112,60 m2,- powierzchnia zabudowy - 237,00 m2- kubatura - 989 m3,- rok budowy: 2015- ogrzewanie gazowe (kocioł prod.Brotje Heizung) ;- ogrzewanie podłogowe na pierwszej kondygnacji, na drugiej grzejniki;- kominek na drewno z płaszczem wodnym;- piecyk kaflowy opalany drewnem z piekarnikiem;- wentylacja grawitacyjna;- inst. elektryczna, z własnym transformatorem na posesji- indywidualne ujęcia wody ze studni- sauna dwustanowiskowa typu infrared (promieniowanie podczerwone);- automatyczny system podlewania (w trakcie instalacji)Rozkład pomieszczeń : - Parter (m2)- hall 9,80- toaleta 1,55- kuchnia 10,60- pokój dzienny i jadalnia 40- sypialnia 15,60- garderoba 4,60- łazienka 9,60- pom.gosp 2,00- korytarz 5,88- toaleta z prysznicem 1,81- pralnia 6,78- kotłownia 4,55- sauna 6,75- pokój rekreacyjny 32,70 Ogółem 152,20 m2Poddasze (m2)- hall 11,60- pokój 26,60 + balkon- łazienka 5,40- pokój 18,90 + balkon- łazienka 3,10- pokój 43,50 + balkon- łazienka 3,50- schowek gospodarczyOgółem 112,60 m2ZAGOSPODAROWANIE TERENU-Działka poza domem posiada również inne zabudowania służące rekreacji, wypoczynkowi oraz spełniające funkcje użyteczności. Na uwagę zasługuje przede wszystkim zieleń, wszelka roślinność i elementy małej architektury, o które zadbano w każdym szczególe.Trawnik i większa część roślin podlewana jest przez automatyczny system (w trakcie pełnej instalacji), wodą ze studni.W części tarasowej i ogrodowej znajduje się blisko 50 różnych gatunków drzew, krzewów, bylin, ziół i innych roślin. Zbudowano podniesiony ogródek warzywny oraz zielnik.Z zabudowań zewnętrznych należy wymienić : - 3 tarasy zewnętrzne ; - kuchnię letnią z piecem kamiennym na pizze, grillem murowanym i wędzarnią ;- domek letni (17,65 m2) ;- plaża 650 m2 ;- szklarnia ogrodowa 12 m2 ;- amfiteatr ;- drewniany pomost ;- piwniczka murowana na wino ;- winnica ;- portiernia.FUNKCJA PENSJONATOWA / AGROTURYSTYCZNA-Trzeba nadmienić, że ze względu na projekt i aranżację piętra budynku oraz charakterystykę mikrośrodowiska, w którym usytuowana jest nieruchomość, może mieć ona z powodzeniem charakter wyjątkowego pensjonatu o wysokim standardzie.Na drugiej kondygnacji budynku znajdują się wcześniej opisane 3 pokoje sypialniane. Każdy z nich posiada prywatną i w pełni wyposażoną łazienkę oraz przygotowane miejsca dla aneksów kuchennych wraz z potrzebnymi instalacjami. Warto również zaznaczyć, że budynek stanowiący dzisiejszą portiernię, może stanowić funkcję samodzielnego domku mieszkalnego. Budynek jest ocieplony, wyposażony w łazienkę. Można docelowo zainstalować tam aneks kuchenny.Położenie nieruchomości staje się w ostatnich latach przedmiotem coraz większego zainteresowania ze względu na walory rekreacyjno-turystyczne. Region lewobrzeżny rzeki Bóbr z powstałymi zbiornikami wodnymi i otaczającą zielenią, to wyjątkowe miejsce na mapie województwa Lubusz Voivodeshipgo.WIĘKSZA PRZESTRZEŃ-Istnieje możliwość nabycia dodatkowego areału do oferowanej nieruchomości po wschodniej stronie zbiornika wodnego i tym samym wyraźne zwiększenie łącznej powierzchni terenu prywatnej posesji. CENA4.980.000 zł* KUPUJĄCY NIE PŁACI PROWIZJI *Zainteresowany? Skontaktuj się z nami pod numerem +4████████████6 lub napisz nam maila poprzez formularz kontaktowy dostępny w ogłoszeniuCzy wiesz, że z homfi możesz kupić nieruchomość kompleksowo, tzn. załatwiając wszystko w jednej firmie? Oprócz agentów nieruchomości pomagających w znalezieniu i zakupie nieruchomości, oddajemy Ci do dyspozycji doświadczonych ekspertów kredytowych, zdolnych architektów wnętrz i zaradnych specjalistów od zarządzania najmem. Dzięki temu z nami znajdziesz nieruchomość, sfinansujesz jej zakup, zaprojektujesz i wykończysz jej wnętrze a następnie sprzedasz lub wynajmiesz z opcją przekazania nam nieruchomości do zarządzania najmem.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</si>
</sst>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0"/>
      <color rgb="FF000000"/>
      <name val="Arial"/>
      <scheme val="minor"/>
    </font>
    <font>
      <sz val="10"/>
      <color theme="1"/>
      <name val="Arial"/>
      <scheme val="minor"/>
    </font>
    <font>
      <u/>
      <sz val="10"/>
      <color rgb="FF0000FF"/>
      <name val="Arial"/>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0" fontId="2" fillId="0" borderId="0" xfId="0" applyFont="1"/>
    <xf numFmtId="0" fontId="1"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otodom.pl/pl/oferta/idealne-pierwsze-mieszkanie-mokotow-bezposrednio-ID4otsL" TargetMode="External"/><Relationship Id="rId671" Type="http://schemas.openxmlformats.org/officeDocument/2006/relationships/hyperlink" Target="https://www.otodom.pl/pl/oferta/okazja-ciche-sloneczne-mieszkanie-w-centrum-ID4ohh1" TargetMode="External"/><Relationship Id="rId769" Type="http://schemas.openxmlformats.org/officeDocument/2006/relationships/hyperlink" Target="https://www.otodom.pl/pl/oferta/ekoharmonia-lokale-mieszkalne-ID4lbyx" TargetMode="External"/><Relationship Id="rId976" Type="http://schemas.openxmlformats.org/officeDocument/2006/relationships/hyperlink" Target="https://otodom.pl/pl/oferta/wlasne-mieszkanie-nad-jeziorem-ID4f9yf" TargetMode="External"/><Relationship Id="rId21" Type="http://schemas.openxmlformats.org/officeDocument/2006/relationships/hyperlink" Target="https://www.otodom.pl/pl/oferta/4-pok-w-znakomitej-cenie-ID4oIyr" TargetMode="External"/><Relationship Id="rId324" Type="http://schemas.openxmlformats.org/officeDocument/2006/relationships/hyperlink" Target="https://otodom.pl/pl/oferta/mieszkanie-w-centrum-miasta-walbrzycha-ID4mrte" TargetMode="External"/><Relationship Id="rId531" Type="http://schemas.openxmlformats.org/officeDocument/2006/relationships/hyperlink" Target="https://www.otodom.pl/pl/oferta/osielsko-68m2-swietna-lokalizacja-ID4oCj8" TargetMode="External"/><Relationship Id="rId629" Type="http://schemas.openxmlformats.org/officeDocument/2006/relationships/hyperlink" Target="https://www.otodom.pl/pl/oferta/dwupokojowe-mieszkanie-w-nowo-powstalym-bloku-ID4fBi1" TargetMode="External"/><Relationship Id="rId170" Type="http://schemas.openxmlformats.org/officeDocument/2006/relationships/hyperlink" Target="https://www.otodom.pl/pl/oferta/apartament-przy-forum-ID4ol6B" TargetMode="External"/><Relationship Id="rId836" Type="http://schemas.openxmlformats.org/officeDocument/2006/relationships/hyperlink" Target="https://otodom.pl/pl/oferta/nowoczesne-2-pokojowe-mieszkanie-od-developera-ID4lma5" TargetMode="External"/><Relationship Id="rId268" Type="http://schemas.openxmlformats.org/officeDocument/2006/relationships/hyperlink" Target="https://otodom.pl/pl/oferta/mieszkanie-w-scislym-centrum-szczecinka-ID45DvV" TargetMode="External"/><Relationship Id="rId475" Type="http://schemas.openxmlformats.org/officeDocument/2006/relationships/hyperlink" Target="https://www.otodom.pl/pl/oferta/osiedle-zodiak-wygodne-mieszkanie-39-m62-ID4my8F" TargetMode="External"/><Relationship Id="rId682" Type="http://schemas.openxmlformats.org/officeDocument/2006/relationships/hyperlink" Target="https://www.otodom.pl/pl/oferta/mieszkanie-blisko-centrum-miasta-ID4no9u" TargetMode="External"/><Relationship Id="rId903" Type="http://schemas.openxmlformats.org/officeDocument/2006/relationships/hyperlink" Target="https://www.otodom.pl/pl/oferta/przestronne-mieszkanie-z-dzialka-rod-garaz-ID4mu4L" TargetMode="External"/><Relationship Id="rId32" Type="http://schemas.openxmlformats.org/officeDocument/2006/relationships/hyperlink" Target="https://www.otodom.pl/pl/oferta/mieszkanie-3p-na-piaskowej-gorze-spoldzielcze-wlas-ID4o3r0" TargetMode="External"/><Relationship Id="rId128" Type="http://schemas.openxmlformats.org/officeDocument/2006/relationships/hyperlink" Target="https://www.otodom.pl/pl/oferta/111m-2-poziomy-balkon-m-parking-kameralne-ID4ofRk" TargetMode="External"/><Relationship Id="rId335" Type="http://schemas.openxmlformats.org/officeDocument/2006/relationships/hyperlink" Target="https://otodom.pl/pl/oferta/apartamenty-jana-pawla-mieszkanie-2-pok-49-54m2-ID4l0nD" TargetMode="External"/><Relationship Id="rId542" Type="http://schemas.openxmlformats.org/officeDocument/2006/relationships/hyperlink" Target="https://www.otodom.pl/pl/oferta/fort-natura-nowoczesne-mieszkanie-b1-11-ID4gvop" TargetMode="External"/><Relationship Id="rId987" Type="http://schemas.openxmlformats.org/officeDocument/2006/relationships/hyperlink" Target="https://otodom.pl/pl/oferta/przestronny-nowoczesny-dom-wolnostojacy-ID4m4XO" TargetMode="External"/><Relationship Id="rId181" Type="http://schemas.openxmlformats.org/officeDocument/2006/relationships/hyperlink" Target="https://www.otodom.pl/pl/oferta/kawalerka-o-pow-26-38m2-ul-dluga-ID4kk9F" TargetMode="External"/><Relationship Id="rId402" Type="http://schemas.openxmlformats.org/officeDocument/2006/relationships/hyperlink" Target="https://otodom.pl/pl/oferta/apartament-2pok-46-37m2-centrum-wysoki-standard-ID4lpOB" TargetMode="External"/><Relationship Id="rId847" Type="http://schemas.openxmlformats.org/officeDocument/2006/relationships/hyperlink" Target="https://otodom.pl/pl/oferta/nowe-mieszkanie-4-pokoje-ul-pekowicka-ID4kf9g" TargetMode="External"/><Relationship Id="rId279" Type="http://schemas.openxmlformats.org/officeDocument/2006/relationships/hyperlink" Target="https://otodom.pl/pl/oferta/4-os-apartament-garaz-balkon-ID4lHFS" TargetMode="External"/><Relationship Id="rId486" Type="http://schemas.openxmlformats.org/officeDocument/2006/relationships/hyperlink" Target="https://www.otodom.pl/pl/oferta/gotowiec-inwestycyjny-scisle-centrum-sosnowca-ID4o0F5" TargetMode="External"/><Relationship Id="rId693" Type="http://schemas.openxmlformats.org/officeDocument/2006/relationships/hyperlink" Target="https://www.otodom.pl/pl/oferta/apartament-z-widokiem-na-morze-ID4i4Fl" TargetMode="External"/><Relationship Id="rId707" Type="http://schemas.openxmlformats.org/officeDocument/2006/relationships/hyperlink" Target="https://www.otodom.pl/pl/oferta/4-pokoje-w-nowym-budownictwie-ID4ooQW" TargetMode="External"/><Relationship Id="rId914" Type="http://schemas.openxmlformats.org/officeDocument/2006/relationships/hyperlink" Target="https://www.otodom.pl/pl/oferta/mieszkanie-oswiecim-ID4nuNQ" TargetMode="External"/><Relationship Id="rId43" Type="http://schemas.openxmlformats.org/officeDocument/2006/relationships/hyperlink" Target="https://www.otodom.pl/pl/oferta/lagiewniki-residence-dom-nr-4a-arturowek-ID4mBWJ" TargetMode="External"/><Relationship Id="rId139" Type="http://schemas.openxmlformats.org/officeDocument/2006/relationships/hyperlink" Target="https://www.otodom.pl/pl/oferta/gotowe-4-pokoje-do-odbioru-od-zaraz-2024-ID4oIfG" TargetMode="External"/><Relationship Id="rId346" Type="http://schemas.openxmlformats.org/officeDocument/2006/relationships/hyperlink" Target="https://otodom.pl/pl/oferta/4-pokoje-z-duzym-balkonem-na-jagodnie-ID4fOgx" TargetMode="External"/><Relationship Id="rId553" Type="http://schemas.openxmlformats.org/officeDocument/2006/relationships/hyperlink" Target="https://www.otodom.pl/pl/oferta/wyjatkowy-apartament-z-ogrodem-ID4daoI" TargetMode="External"/><Relationship Id="rId760" Type="http://schemas.openxmlformats.org/officeDocument/2006/relationships/hyperlink" Target="https://www.otodom.pl/pl/oferta/mozliwy-montaz-fotowoltaiki-ID4jc7o" TargetMode="External"/><Relationship Id="rId998" Type="http://schemas.openxmlformats.org/officeDocument/2006/relationships/hyperlink" Target="https://otodom.pl/pl/oferta/winda-rolety-zewnetrzne-podlogowka-klimatyzacja-ID4dCGm" TargetMode="External"/><Relationship Id="rId192" Type="http://schemas.openxmlformats.org/officeDocument/2006/relationships/hyperlink" Target="https://www.otodom.pl/pl/oferta/48-5-m2-na-czwartym-pietrze-w-centrum-ostroleki-ID4ohbp" TargetMode="External"/><Relationship Id="rId206" Type="http://schemas.openxmlformats.org/officeDocument/2006/relationships/hyperlink" Target="https://www.otodom.pl/pl/oferta/osiedle-miodowe-m11-42-29m-ID4nJOd" TargetMode="External"/><Relationship Id="rId413" Type="http://schemas.openxmlformats.org/officeDocument/2006/relationships/hyperlink" Target="https://otodom.pl/pl/oferta/4-pokoje-z-pieknym-widokiem-dziesieciny-ID4m6ha" TargetMode="External"/><Relationship Id="rId858" Type="http://schemas.openxmlformats.org/officeDocument/2006/relationships/hyperlink" Target="https://www.otodom.pl/pl/oferta/kolobrzeg-apartament-2-pokojowy-400m-do-plazy-ziel-ID4mfte" TargetMode="External"/><Relationship Id="rId497" Type="http://schemas.openxmlformats.org/officeDocument/2006/relationships/hyperlink" Target="https://www.otodom.pl/pl/oferta/mieszkanie-na-sprzedaz-zabrze-okrzei-ID4oAsy" TargetMode="External"/><Relationship Id="rId620" Type="http://schemas.openxmlformats.org/officeDocument/2006/relationships/hyperlink" Target="https://www.otodom.pl/pl/oferta/mieszkania-sycow-super-lokalizacja-ID4huus" TargetMode="External"/><Relationship Id="rId718" Type="http://schemas.openxmlformats.org/officeDocument/2006/relationships/hyperlink" Target="https://www.otodom.pl/pl/oferta/mieszkanie-na-parterze-w-poblizu-lasu-ID4m6oP" TargetMode="External"/><Relationship Id="rId925" Type="http://schemas.openxmlformats.org/officeDocument/2006/relationships/hyperlink" Target="https://otodom.pl/pl/oferta/sloneczne-mieszkanie-z-duzym-tarasem-ID4gQio" TargetMode="External"/><Relationship Id="rId357" Type="http://schemas.openxmlformats.org/officeDocument/2006/relationships/hyperlink" Target="https://otodom.pl/pl/oferta/apartament-w-prestizowej-inwestycji-przy-wisle-ID4mgJQ" TargetMode="External"/><Relationship Id="rId54" Type="http://schemas.openxmlformats.org/officeDocument/2006/relationships/hyperlink" Target="https://www.otodom.pl/pl/oferta/nowe-4-pokoje-kredyt-2-cena-do-konca-tygodnia-ID4ooHT" TargetMode="External"/><Relationship Id="rId217" Type="http://schemas.openxmlformats.org/officeDocument/2006/relationships/hyperlink" Target="https://www.otodom.pl/pl/oferta/urokliwe-mieszkanie-z-duzym-ogrodem-ID4ntPF" TargetMode="External"/><Relationship Id="rId564" Type="http://schemas.openxmlformats.org/officeDocument/2006/relationships/hyperlink" Target="https://www.otodom.pl/pl/oferta/mieszkanie-w-centrum-jasla-ID4hN2Q" TargetMode="External"/><Relationship Id="rId771" Type="http://schemas.openxmlformats.org/officeDocument/2006/relationships/hyperlink" Target="https://www.otodom.pl/pl/oferta/piekne-apartamenty-nad-zalewem-wislanym-ID4hUFR" TargetMode="External"/><Relationship Id="rId869" Type="http://schemas.openxmlformats.org/officeDocument/2006/relationships/hyperlink" Target="https://www.otodom.pl/pl/oferta/lazaarz-4-pokje-super-lokalizacja-ID4ny2a" TargetMode="External"/><Relationship Id="rId424" Type="http://schemas.openxmlformats.org/officeDocument/2006/relationships/hyperlink" Target="https://otodom.pl/pl/oferta/apartament-71m2-poddasze-ogrod-126m2-mrokow-ID4excS" TargetMode="External"/><Relationship Id="rId631" Type="http://schemas.openxmlformats.org/officeDocument/2006/relationships/hyperlink" Target="https://www.otodom.pl/pl/oferta/dwupokojowe-mieszkanie-w-nowo-powstajacym-bloku-ID4jq3f" TargetMode="External"/><Relationship Id="rId729" Type="http://schemas.openxmlformats.org/officeDocument/2006/relationships/hyperlink" Target="https://www.otodom.pl/pl/oferta/victoria-park-mieszkanie-2-pokojowe-55-97-m2-ID48ggW" TargetMode="External"/><Relationship Id="rId270" Type="http://schemas.openxmlformats.org/officeDocument/2006/relationships/hyperlink" Target="https://otodom.pl/pl/oferta/mieszkanie-sopot-centrum-ID45Iqf" TargetMode="External"/><Relationship Id="rId936" Type="http://schemas.openxmlformats.org/officeDocument/2006/relationships/hyperlink" Target="https://otodom.pl/pl/oferta/parter-2-pokoje-do-wejscia-ID4j26T" TargetMode="External"/><Relationship Id="rId65" Type="http://schemas.openxmlformats.org/officeDocument/2006/relationships/hyperlink" Target="https://www.otodom.pl/pl/oferta/3-pokojez-ogrodem-i-piwnica-40m2parter-ID4nGRu" TargetMode="External"/><Relationship Id="rId130" Type="http://schemas.openxmlformats.org/officeDocument/2006/relationships/hyperlink" Target="https://www.otodom.pl/pl/oferta/m3-balkon-tramwaj-pkp-q1-2024-wro-kowale-ID4oCzR" TargetMode="External"/><Relationship Id="rId368" Type="http://schemas.openxmlformats.org/officeDocument/2006/relationships/hyperlink" Target="https://otodom.pl/pl/oferta/piekna-kamienica-i-wymienione-instalacje-i-oliwa-ID4lnTh" TargetMode="External"/><Relationship Id="rId575" Type="http://schemas.openxmlformats.org/officeDocument/2006/relationships/hyperlink" Target="https://www.otodom.pl/pl/oferta/mieszkanie-wlasnosciowe-chojnice-gdanska-95-76-31-ID44oSm" TargetMode="External"/><Relationship Id="rId782" Type="http://schemas.openxmlformats.org/officeDocument/2006/relationships/hyperlink" Target="https://www.otodom.pl/pl/oferta/piekny-dom-z-ogrodem-na-malowniczym-osiedlu-ID4iXu7" TargetMode="External"/><Relationship Id="rId228" Type="http://schemas.openxmlformats.org/officeDocument/2006/relationships/hyperlink" Target="https://www.otodom.pl/pl/oferta/mieszkanie-37-m-krakow-ID4nZhs" TargetMode="External"/><Relationship Id="rId435" Type="http://schemas.openxmlformats.org/officeDocument/2006/relationships/hyperlink" Target="https://otodom.pl/pl/oferta/635-14328-oms-ID4mmq9" TargetMode="External"/><Relationship Id="rId642" Type="http://schemas.openxmlformats.org/officeDocument/2006/relationships/hyperlink" Target="https://www.otodom.pl/pl/oferta/nowoczesny-i-wygodny-z-dzialka-773m2-nieporet-ID4mr17" TargetMode="External"/><Relationship Id="rId281" Type="http://schemas.openxmlformats.org/officeDocument/2006/relationships/hyperlink" Target="https://otodom.pl/pl/oferta/na-sprzedaz-gotowiec-inwestycyjny-w-lodzi-ID4lDbk" TargetMode="External"/><Relationship Id="rId502" Type="http://schemas.openxmlformats.org/officeDocument/2006/relationships/hyperlink" Target="https://www.otodom.pl/pl/oferta/przytulne-dwupokojowe-w-swietnej-lokalizacji-ID4ovs2" TargetMode="External"/><Relationship Id="rId947" Type="http://schemas.openxmlformats.org/officeDocument/2006/relationships/hyperlink" Target="https://otodom.pl/pl/oferta/przytulne-mieszkanie-ID4kzyG" TargetMode="External"/><Relationship Id="rId76" Type="http://schemas.openxmlformats.org/officeDocument/2006/relationships/hyperlink" Target="https://www.otodom.pl/pl/oferta/kawalerka-ul-szeroka-o-pow-35-34-m2-ID4olt3" TargetMode="External"/><Relationship Id="rId141" Type="http://schemas.openxmlformats.org/officeDocument/2006/relationships/hyperlink" Target="https://www.otodom.pl/pl/oferta/mieszkanie-35-57-m-wojkowice-ID4nzGA" TargetMode="External"/><Relationship Id="rId379" Type="http://schemas.openxmlformats.org/officeDocument/2006/relationships/hyperlink" Target="https://otodom.pl/pl/oferta/a20-przestronne-2-pokoje-balkon-ID4l5hH" TargetMode="External"/><Relationship Id="rId586" Type="http://schemas.openxmlformats.org/officeDocument/2006/relationships/hyperlink" Target="https://www.otodom.pl/pl/oferta/mieszkanie-w-bloku-wraz-z-duza-dzialka-ogrodnicza-ID4gMBM" TargetMode="External"/><Relationship Id="rId793" Type="http://schemas.openxmlformats.org/officeDocument/2006/relationships/hyperlink" Target="https://www.otodom.pl/pl/oferta/okolice-stablowickiej-3-pokoje-rozkladowe-ba-ID4nQys" TargetMode="External"/><Relationship Id="rId807" Type="http://schemas.openxmlformats.org/officeDocument/2006/relationships/hyperlink" Target="https://www.otodom.pl/pl/oferta/widokowe-tarasy-mieszkanie-nr-13-1-pietro-ID4k3za" TargetMode="External"/><Relationship Id="rId7" Type="http://schemas.openxmlformats.org/officeDocument/2006/relationships/hyperlink" Target="https://www.otodom.pl/pl/oferta/apartament-55m-wykonczony-pod-klucz-w-pieknymstylu-ID4nMV0" TargetMode="External"/><Relationship Id="rId239" Type="http://schemas.openxmlformats.org/officeDocument/2006/relationships/hyperlink" Target="https://www.otodom.pl/pl/oferta/zawodzie-ul-1-maja-850m-ue-i-inwestycyjne-ID4nshB" TargetMode="External"/><Relationship Id="rId446" Type="http://schemas.openxmlformats.org/officeDocument/2006/relationships/hyperlink" Target="https://otodom.pl/pl/oferta/apartament-dwupoziomowy-111-mkw-blizniak-ID4imk8" TargetMode="External"/><Relationship Id="rId653" Type="http://schemas.openxmlformats.org/officeDocument/2006/relationships/hyperlink" Target="https://www.otodom.pl/pl/oferta/m-4-bielawy-muzyczna-1-pietro-65m2-parking-ID4oECK" TargetMode="External"/><Relationship Id="rId292" Type="http://schemas.openxmlformats.org/officeDocument/2006/relationships/hyperlink" Target="https://otodom.pl/pl/oferta/apartamenty-sadowa-ID4igjQ" TargetMode="External"/><Relationship Id="rId306" Type="http://schemas.openxmlformats.org/officeDocument/2006/relationships/hyperlink" Target="https://otodom.pl/pl/oferta/3-pokojowe-mieszkanie-na-sprzedaz-os-hutnicze-ID4jzU5" TargetMode="External"/><Relationship Id="rId860" Type="http://schemas.openxmlformats.org/officeDocument/2006/relationships/hyperlink" Target="https://otodom.pl/pl/oferta/mazowiecka-park-praktyczne-mieszkanie-gb-307-ID4gVTe" TargetMode="External"/><Relationship Id="rId958" Type="http://schemas.openxmlformats.org/officeDocument/2006/relationships/hyperlink" Target="https://otodom.pl/pl/oferta/przytulne-76m2-z-ogrodkiem-atrakcyjna-lokalizacja-ID4bvHW" TargetMode="External"/><Relationship Id="rId87" Type="http://schemas.openxmlformats.org/officeDocument/2006/relationships/hyperlink" Target="https://www.otodom.pl/pl/oferta/mieszkanie-w-nidzicy-ID4nnYR" TargetMode="External"/><Relationship Id="rId513" Type="http://schemas.openxmlformats.org/officeDocument/2006/relationships/hyperlink" Target="https://www.otodom.pl/pl/oferta/rezerwacja-bezposrednio-mieszkanie-3-pokoje-ID4oaj0" TargetMode="External"/><Relationship Id="rId597" Type="http://schemas.openxmlformats.org/officeDocument/2006/relationships/hyperlink" Target="https://www.otodom.pl/pl/oferta/mieszkanie-z-poddaszem-domek-swietna-lokalizacja-ID4nhog" TargetMode="External"/><Relationship Id="rId720" Type="http://schemas.openxmlformats.org/officeDocument/2006/relationships/hyperlink" Target="https://www.otodom.pl/pl/oferta/nowa-inwestycja-3-pokoje-kredyt-2-ID4nMT4" TargetMode="External"/><Relationship Id="rId818" Type="http://schemas.openxmlformats.org/officeDocument/2006/relationships/hyperlink" Target="https://www.otodom.pl/pl/oferta/apartament-77-m2-kras-resort-szklarska-poreba-ID4l2fr" TargetMode="External"/><Relationship Id="rId152" Type="http://schemas.openxmlformats.org/officeDocument/2006/relationships/hyperlink" Target="https://www.otodom.pl/pl/oferta/parking-klucze-na-juz-park-0-prowizji-ID4o9TG" TargetMode="External"/><Relationship Id="rId457" Type="http://schemas.openxmlformats.org/officeDocument/2006/relationships/hyperlink" Target="https://otodom.pl/pl/oferta/4-pokoje-panorama-kwiatkowskiego-nowy-budynek-ID4jTgg" TargetMode="External"/><Relationship Id="rId664" Type="http://schemas.openxmlformats.org/officeDocument/2006/relationships/hyperlink" Target="https://www.otodom.pl/pl/oferta/nowosc-2-pokoje-osiedle-wiczlino-ogrod-ID4oCSV" TargetMode="External"/><Relationship Id="rId871" Type="http://schemas.openxmlformats.org/officeDocument/2006/relationships/hyperlink" Target="https://otodom.pl/pl/oferta/nowe-mieszkania-w-czechowicach-ID4dieT" TargetMode="External"/><Relationship Id="rId969" Type="http://schemas.openxmlformats.org/officeDocument/2006/relationships/hyperlink" Target="https://otodom.pl/pl/oferta/dwupoziomowe-mieszkanie-pogorze-nadmorski-zakatek-ID4m8MF" TargetMode="External"/><Relationship Id="rId14" Type="http://schemas.openxmlformats.org/officeDocument/2006/relationships/hyperlink" Target="https://www.otodom.pl/pl/oferta/centrum-piekne-dwupokojowe-wykonczone-pod-klucz-ID4os6d" TargetMode="External"/><Relationship Id="rId317" Type="http://schemas.openxmlformats.org/officeDocument/2006/relationships/hyperlink" Target="https://otodom.pl/pl/oferta/3-pokojowe-mieszkanie-w-centrum-dla-rodziny-ID4gafj" TargetMode="External"/><Relationship Id="rId524" Type="http://schemas.openxmlformats.org/officeDocument/2006/relationships/hyperlink" Target="https://www.otodom.pl/pl/oferta/mieszkanie-2-pokojowe-z-antresola-fabryczna-ID4omP5" TargetMode="External"/><Relationship Id="rId731" Type="http://schemas.openxmlformats.org/officeDocument/2006/relationships/hyperlink" Target="https://www.otodom.pl/pl/oferta/bez-pcc-piekne-zachody-slonca-komorka-w-cenie-ID4lUiy" TargetMode="External"/><Relationship Id="rId98" Type="http://schemas.openxmlformats.org/officeDocument/2006/relationships/hyperlink" Target="https://www.otodom.pl/pl/oferta/nowe-mieszkanie-przy-ul-mickiewicza-40m2-ID4oCJL" TargetMode="External"/><Relationship Id="rId163" Type="http://schemas.openxmlformats.org/officeDocument/2006/relationships/hyperlink" Target="https://www.otodom.pl/pl/oferta/atrakcyjne-dwa-pokoje-w-nowym-budownictwie-ID4ooz2" TargetMode="External"/><Relationship Id="rId370" Type="http://schemas.openxmlformats.org/officeDocument/2006/relationships/hyperlink" Target="https://otodom.pl/pl/oferta/piekny-apartament-w-stylu-klasycznym-na-sprzedaz-ID4iJXQ" TargetMode="External"/><Relationship Id="rId829" Type="http://schemas.openxmlformats.org/officeDocument/2006/relationships/hyperlink" Target="https://www.otodom.pl/pl/oferta/sprzedam-mieszkanie-pelna-wlasnosc-ID4oziU" TargetMode="External"/><Relationship Id="rId230" Type="http://schemas.openxmlformats.org/officeDocument/2006/relationships/hyperlink" Target="https://www.otodom.pl/pl/oferta/lokal-2-poziomowy-z-ogrodkiem-m-postojowe-w-cenie-ID4nFBx" TargetMode="External"/><Relationship Id="rId468" Type="http://schemas.openxmlformats.org/officeDocument/2006/relationships/hyperlink" Target="https://otodom.pl/pl/oferta/80m2-blisko-centrum-i-politechniki-do-remontu-ID4lXiF" TargetMode="External"/><Relationship Id="rId675" Type="http://schemas.openxmlformats.org/officeDocument/2006/relationships/hyperlink" Target="https://www.otodom.pl/pl/oferta/4-pokoje-w-goleniowie-599-000-pln-ID4iEfN" TargetMode="External"/><Relationship Id="rId882" Type="http://schemas.openxmlformats.org/officeDocument/2006/relationships/hyperlink" Target="https://www.otodom.pl/pl/oferta/mieszkanie-ze-wspanialym-widokiem-w-sercu-woli-ID4oJ4u" TargetMode="External"/><Relationship Id="rId25" Type="http://schemas.openxmlformats.org/officeDocument/2006/relationships/hyperlink" Target="https://www.otodom.pl/pl/oferta/dwupoziomowy-penthouse-na-starym-mokotowie-ID4oluS" TargetMode="External"/><Relationship Id="rId328" Type="http://schemas.openxmlformats.org/officeDocument/2006/relationships/hyperlink" Target="https://otodom.pl/pl/oferta/apartament-nad-morzem-dune-resort-mielno-ID4mf2I" TargetMode="External"/><Relationship Id="rId535" Type="http://schemas.openxmlformats.org/officeDocument/2006/relationships/hyperlink" Target="https://www.otodom.pl/pl/oferta/nizsza-cena-dla-klienta-gotowkowego-ID4ouvm" TargetMode="External"/><Relationship Id="rId742" Type="http://schemas.openxmlformats.org/officeDocument/2006/relationships/hyperlink" Target="https://www.otodom.pl/pl/oferta/dom-wolnostojacy-3-odrebne-mieszkania-ogrod-zebice-ID4kMSX" TargetMode="External"/><Relationship Id="rId174" Type="http://schemas.openxmlformats.org/officeDocument/2006/relationships/hyperlink" Target="https://www.otodom.pl/pl/oferta/nowe-narozne-mieszkanie-w-miasteczku-ozarow-ID4ng7w" TargetMode="External"/><Relationship Id="rId381" Type="http://schemas.openxmlformats.org/officeDocument/2006/relationships/hyperlink" Target="https://otodom.pl/pl/oferta/piekne-dwupoziomowe-mieszkanie-na-gumiencach-ID4mcHm" TargetMode="External"/><Relationship Id="rId602" Type="http://schemas.openxmlformats.org/officeDocument/2006/relationships/hyperlink" Target="https://www.otodom.pl/pl/oferta/swietne-do-mieszkania-jak-i-na-inwestycje-ID4oqkX" TargetMode="External"/><Relationship Id="rId241" Type="http://schemas.openxmlformats.org/officeDocument/2006/relationships/hyperlink" Target="https://www.otodom.pl/pl/oferta/mieszkanie-na-osiedlu-sudeckim-w-swiebodzicach-ID4n79E" TargetMode="External"/><Relationship Id="rId479" Type="http://schemas.openxmlformats.org/officeDocument/2006/relationships/hyperlink" Target="https://www.otodom.pl/pl/oferta/parter-z-ogrodkiem-2-pokojowe-wilanow-ID4ofgN" TargetMode="External"/><Relationship Id="rId686" Type="http://schemas.openxmlformats.org/officeDocument/2006/relationships/hyperlink" Target="https://www.otodom.pl/pl/oferta/sloneczne-mieszkanie-bolszewo-ul-nagietkowa-2-22-ID4nVDm" TargetMode="External"/><Relationship Id="rId893" Type="http://schemas.openxmlformats.org/officeDocument/2006/relationships/hyperlink" Target="https://otodom.pl/pl/oferta/trzypokojowe-mieszkanie-w-kamienicy-na-kosciuszki-ID4gG8S" TargetMode="External"/><Relationship Id="rId907" Type="http://schemas.openxmlformats.org/officeDocument/2006/relationships/hyperlink" Target="https://otodom.pl/pl/oferta/kredytujemy-sloneczne-wzgorze-m26b252-93m2-5200-m2-ID4ec9l" TargetMode="External"/><Relationship Id="rId36" Type="http://schemas.openxmlformats.org/officeDocument/2006/relationships/hyperlink" Target="https://www.otodom.pl/pl/oferta/l28-rubikon-i-pietro-rezerwacja-ID4mPjN" TargetMode="External"/><Relationship Id="rId339" Type="http://schemas.openxmlformats.org/officeDocument/2006/relationships/hyperlink" Target="https://otodom.pl/pl/oferta/4-pokoje-w-scislym-centrum-duzy-balkon-66m2-ID4eUTa" TargetMode="External"/><Relationship Id="rId546" Type="http://schemas.openxmlformats.org/officeDocument/2006/relationships/hyperlink" Target="https://www.otodom.pl/pl/oferta/os-pojezierska-rozkladowe-m-4-do-wlasnej-aranz-ID4kRqB" TargetMode="External"/><Relationship Id="rId753" Type="http://schemas.openxmlformats.org/officeDocument/2006/relationships/hyperlink" Target="https://www.otodom.pl/pl/oferta/4pok-dwupoziomowe-balkon-k-lokatorska-maslice-ID4owst" TargetMode="External"/><Relationship Id="rId101" Type="http://schemas.openxmlformats.org/officeDocument/2006/relationships/hyperlink" Target="https://www.otodom.pl/pl/oferta/kawalerka-20m2-ul-wesola-kielce-ID4mmVX" TargetMode="External"/><Relationship Id="rId185" Type="http://schemas.openxmlformats.org/officeDocument/2006/relationships/hyperlink" Target="https://www.otodom.pl/pl/oferta/duze-mieszkanie-w-spokojnej-okolicy-sadlinki-ID4nl0M" TargetMode="External"/><Relationship Id="rId406" Type="http://schemas.openxmlformats.org/officeDocument/2006/relationships/hyperlink" Target="https://otodom.pl/pl/oferta/piekne-mieszkanie-w-lesznie-ID4lN7X" TargetMode="External"/><Relationship Id="rId960" Type="http://schemas.openxmlformats.org/officeDocument/2006/relationships/hyperlink" Target="https://otodom.pl/pl/oferta/vista-by-kras-dom-mieszkanie-74-91-m2-ID4lVXg" TargetMode="External"/><Relationship Id="rId392" Type="http://schemas.openxmlformats.org/officeDocument/2006/relationships/hyperlink" Target="https://otodom.pl/pl/oferta/apartamenty-jana-kantego-oddanie-i-kw-2023-r-ID4h2wk" TargetMode="External"/><Relationship Id="rId613" Type="http://schemas.openxmlformats.org/officeDocument/2006/relationships/hyperlink" Target="https://www.otodom.pl/pl/oferta/kawalerka-1-pokoj-wojszyce-parter-okazja-ID4oIkH" TargetMode="External"/><Relationship Id="rId697" Type="http://schemas.openxmlformats.org/officeDocument/2006/relationships/hyperlink" Target="https://www.otodom.pl/pl/oferta/m4-na-wyzynach-na-sprzedaz-ID4o9bh" TargetMode="External"/><Relationship Id="rId820" Type="http://schemas.openxmlformats.org/officeDocument/2006/relationships/hyperlink" Target="https://www.otodom.pl/pl/oferta/mieszkanie-blisko-centrum-mozliwa-zamiana-ID4mipA" TargetMode="External"/><Relationship Id="rId918" Type="http://schemas.openxmlformats.org/officeDocument/2006/relationships/hyperlink" Target="https://www.otodom.pl/pl/oferta/2-pokojowe-mieszkanie-gotowe-do-wprowadzenia-ID4oCih" TargetMode="External"/><Relationship Id="rId252" Type="http://schemas.openxmlformats.org/officeDocument/2006/relationships/hyperlink" Target="https://www.otodom.pl/pl/oferta/wyszukany-apartament-w-sercu-salwatora-ID4ogml" TargetMode="External"/><Relationship Id="rId47" Type="http://schemas.openxmlformats.org/officeDocument/2006/relationships/hyperlink" Target="https://www.otodom.pl/pl/oferta/2-pokoje-z-duzym-balkonem-dla-siebie-inwestycja-ID4oEm7" TargetMode="External"/><Relationship Id="rId112" Type="http://schemas.openxmlformats.org/officeDocument/2006/relationships/hyperlink" Target="https://www.otodom.pl/pl/oferta/kawalerka-balkon-sloneczna-brak-prowizji-i-pcc-ID4ozbT" TargetMode="External"/><Relationship Id="rId557" Type="http://schemas.openxmlformats.org/officeDocument/2006/relationships/hyperlink" Target="https://www.otodom.pl/pl/oferta/green-park-resort-ii-mieszkanie-a10-ID4luo5" TargetMode="External"/><Relationship Id="rId764" Type="http://schemas.openxmlformats.org/officeDocument/2006/relationships/hyperlink" Target="https://www.otodom.pl/pl/oferta/51-73-m2-gdansk-wrzeszcz-morena-2-5-pietro-ID4oszo" TargetMode="External"/><Relationship Id="rId971" Type="http://schemas.openxmlformats.org/officeDocument/2006/relationships/hyperlink" Target="https://otodom.pl/pl/oferta/domy-jednorodzinne-w-zabudowie-szeregowej-ID4mlna" TargetMode="External"/><Relationship Id="rId196" Type="http://schemas.openxmlformats.org/officeDocument/2006/relationships/hyperlink" Target="https://www.otodom.pl/pl/oferta/postindustrialna-inwestycja-w-spokojnej-okolicy-ID4opW0" TargetMode="External"/><Relationship Id="rId417" Type="http://schemas.openxmlformats.org/officeDocument/2006/relationships/hyperlink" Target="https://otodom.pl/pl/oferta/pod-klucz-apartament-sunday-ustronie-morskie-ID4jsHa" TargetMode="External"/><Relationship Id="rId624" Type="http://schemas.openxmlformats.org/officeDocument/2006/relationships/hyperlink" Target="https://www.otodom.pl/pl/oferta/dwa-pokoje-z-balkonem-i-widokiem-na-malbork-ID4mXup" TargetMode="External"/><Relationship Id="rId831" Type="http://schemas.openxmlformats.org/officeDocument/2006/relationships/hyperlink" Target="https://www.otodom.pl/pl/oferta/przestronne-3-pokojowe-przy-trzebnickiej-ID4nOT3" TargetMode="External"/><Relationship Id="rId263" Type="http://schemas.openxmlformats.org/officeDocument/2006/relationships/hyperlink" Target="https://otodom.pl/pl/oferta/m-3-49m2-fordon-idealna-lokalizacja-ID4jD68" TargetMode="External"/><Relationship Id="rId470" Type="http://schemas.openxmlformats.org/officeDocument/2006/relationships/hyperlink" Target="https://www.otodom.pl/pl/oferta/2pokoje-salon-z-aneksem-sypialnia-po-remoncie-gene-ID4ohjW" TargetMode="External"/><Relationship Id="rId929" Type="http://schemas.openxmlformats.org/officeDocument/2006/relationships/hyperlink" Target="https://www.otodom.pl/pl/oferta/sprzedam-mieszkanie-w-centrum-suprasla-ID4oHGx" TargetMode="External"/><Relationship Id="rId58" Type="http://schemas.openxmlformats.org/officeDocument/2006/relationships/hyperlink" Target="https://www.otodom.pl/pl/oferta/dwupoziomowe-mieszkanie-z-wyjatkowym-widokiem-ID4ofy7" TargetMode="External"/><Relationship Id="rId123" Type="http://schemas.openxmlformats.org/officeDocument/2006/relationships/hyperlink" Target="https://www.otodom.pl/pl/oferta/caloroczny-dom-85-m2-w-malowniczej-okolicy-ID4o84v" TargetMode="External"/><Relationship Id="rId330" Type="http://schemas.openxmlformats.org/officeDocument/2006/relationships/hyperlink" Target="https://otodom.pl/pl/oferta/pod-debami-191-m2-garaz-1-m-post-widokowy-ID4hoKw" TargetMode="External"/><Relationship Id="rId568" Type="http://schemas.openxmlformats.org/officeDocument/2006/relationships/hyperlink" Target="https://www.otodom.pl/pl/oferta/mieszkanie-4-pok-ul-wandy-ID4o45K" TargetMode="External"/><Relationship Id="rId775" Type="http://schemas.openxmlformats.org/officeDocument/2006/relationships/hyperlink" Target="https://www.otodom.pl/pl/oferta/mieszkanie-2-pok-w-stanie-deweloperskim-ID4o22L" TargetMode="External"/><Relationship Id="rId982" Type="http://schemas.openxmlformats.org/officeDocument/2006/relationships/hyperlink" Target="https://otodom.pl/pl/oferta/winda-garaz-rolety-podlogowka-klimatyzacja-ID4gVvd" TargetMode="External"/><Relationship Id="rId428" Type="http://schemas.openxmlformats.org/officeDocument/2006/relationships/hyperlink" Target="https://otodom.pl/pl/oferta/apartament-76-66-m2-kras-resort-szklarska-poreba-ID4l1D5" TargetMode="External"/><Relationship Id="rId635" Type="http://schemas.openxmlformats.org/officeDocument/2006/relationships/hyperlink" Target="https://www.otodom.pl/pl/oferta/dwa-pokoje-na-sprzedaz-morena-osiedle-alfa-park-ii-ID4odGu" TargetMode="External"/><Relationship Id="rId842" Type="http://schemas.openxmlformats.org/officeDocument/2006/relationships/hyperlink" Target="https://www.otodom.pl/pl/oferta/portofino-residence-gaski-apartament-nr-a6-ID4msts" TargetMode="External"/><Relationship Id="rId274" Type="http://schemas.openxmlformats.org/officeDocument/2006/relationships/hyperlink" Target="https://otodom.pl/pl/oferta/mieszkanie-w-stanie-deweloperskim-w-swinoujsciu-ID4hMSu" TargetMode="External"/><Relationship Id="rId481" Type="http://schemas.openxmlformats.org/officeDocument/2006/relationships/hyperlink" Target="https://www.otodom.pl/pl/oferta/mieszkanie-w-dobrej-cenie-myslenice-ID4o7UM" TargetMode="External"/><Relationship Id="rId702" Type="http://schemas.openxmlformats.org/officeDocument/2006/relationships/hyperlink" Target="https://www.otodom.pl/pl/oferta/apartament-pod-klucz-100-m-do-plazy-iv-etap-ID4byg9" TargetMode="External"/><Relationship Id="rId69" Type="http://schemas.openxmlformats.org/officeDocument/2006/relationships/hyperlink" Target="https://www.otodom.pl/pl/oferta/nowe-2023-garaz-balkon-metro-chrzanow-ID4oEaB" TargetMode="External"/><Relationship Id="rId134" Type="http://schemas.openxmlformats.org/officeDocument/2006/relationships/hyperlink" Target="https://www.otodom.pl/pl/oferta/partyzantow-bacciarellego-3-pokoje-duzy-balkon-ID4ok8e" TargetMode="External"/><Relationship Id="rId579" Type="http://schemas.openxmlformats.org/officeDocument/2006/relationships/hyperlink" Target="https://www.otodom.pl/pl/oferta/mieszkanie-w-inwestycji-grzegorzecka-77-z-tarasem-ID4fxUL" TargetMode="External"/><Relationship Id="rId786" Type="http://schemas.openxmlformats.org/officeDocument/2006/relationships/hyperlink" Target="https://www.otodom.pl/pl/oferta/piekne-jasne-mieszkanie-65-m2-os-poludnie-ID4ms7u" TargetMode="External"/><Relationship Id="rId993" Type="http://schemas.openxmlformats.org/officeDocument/2006/relationships/hyperlink" Target="https://otodom.pl/pl/oferta/dom-z-sielskim-klimatem-we-wsi-satop-ID4lo7x" TargetMode="External"/><Relationship Id="rId341" Type="http://schemas.openxmlformats.org/officeDocument/2006/relationships/hyperlink" Target="https://otodom.pl/pl/oferta/apartament-ul-pomaranczowa-blisko-ztm-ID4frsP" TargetMode="External"/><Relationship Id="rId439" Type="http://schemas.openxmlformats.org/officeDocument/2006/relationships/hyperlink" Target="https://otodom.pl/pl/oferta/a2-2-pokoje-pomieszczenie-gospodarcze-ogrodek-ID4l2ZU" TargetMode="External"/><Relationship Id="rId646" Type="http://schemas.openxmlformats.org/officeDocument/2006/relationships/hyperlink" Target="https://www.otodom.pl/pl/oferta/mieszkanie-4-pokojowe-obok-doliny-trzech-stawow-ID4kG9n" TargetMode="External"/><Relationship Id="rId201" Type="http://schemas.openxmlformats.org/officeDocument/2006/relationships/hyperlink" Target="https://www.otodom.pl/pl/oferta/mieszkanie-3-pokoje-55-m-kw-w-centrum-pulaw-ID4nhP2" TargetMode="External"/><Relationship Id="rId285" Type="http://schemas.openxmlformats.org/officeDocument/2006/relationships/hyperlink" Target="https://otodom.pl/pl/oferta/narutowicza-mieszkanie-64m2-centrum-ID4igsM" TargetMode="External"/><Relationship Id="rId506" Type="http://schemas.openxmlformats.org/officeDocument/2006/relationships/hyperlink" Target="https://www.otodom.pl/pl/oferta/dwupoziomowe-mieszkanie-w-wysokim-standardzie-ID4mgto" TargetMode="External"/><Relationship Id="rId853" Type="http://schemas.openxmlformats.org/officeDocument/2006/relationships/hyperlink" Target="https://www.otodom.pl/pl/oferta/tylko-u-nas-apartament-3-pokojowy-garaz-ogrod-ID4ngnG" TargetMode="External"/><Relationship Id="rId492" Type="http://schemas.openxmlformats.org/officeDocument/2006/relationships/hyperlink" Target="https://www.otodom.pl/pl/oferta/ostatnie-mieszkania-na-pietrze-ul-jablonkowa-ID4kT87" TargetMode="External"/><Relationship Id="rId713" Type="http://schemas.openxmlformats.org/officeDocument/2006/relationships/hyperlink" Target="https://www.otodom.pl/pl/oferta/a20-przestronne-2-pokoje-balkon-ID4l5hH" TargetMode="External"/><Relationship Id="rId797" Type="http://schemas.openxmlformats.org/officeDocument/2006/relationships/hyperlink" Target="https://www.otodom.pl/pl/oferta/pod-lasem-dom-szeregowka-101m2-ogrodek-ID4eckK" TargetMode="External"/><Relationship Id="rId920" Type="http://schemas.openxmlformats.org/officeDocument/2006/relationships/hyperlink" Target="https://otodom.pl/pl/oferta/sprzedam-nowy-dom-z-hala-garazowa-i-duza-dzialka-ID4maQb" TargetMode="External"/><Relationship Id="rId145" Type="http://schemas.openxmlformats.org/officeDocument/2006/relationships/hyperlink" Target="https://www.otodom.pl/pl/oferta/lokal-idealny-pod-kancelarie-w-scislym-centrum-ID4mtPH" TargetMode="External"/><Relationship Id="rId352" Type="http://schemas.openxmlformats.org/officeDocument/2006/relationships/hyperlink" Target="https://otodom.pl/pl/oferta/apartament-pod-klucz-100-m-do-plazy-iv-etap-ID4byaO" TargetMode="External"/><Relationship Id="rId212" Type="http://schemas.openxmlformats.org/officeDocument/2006/relationships/hyperlink" Target="https://www.otodom.pl/pl/oferta/myslowice-centrum-ustawne-m3-umeblowane-kredyt-2-ID4npAK" TargetMode="External"/><Relationship Id="rId657" Type="http://schemas.openxmlformats.org/officeDocument/2006/relationships/hyperlink" Target="https://www.otodom.pl/pl/oferta/siemczyn-cztery-pokoje-z-balkonem-zapraszam-ID4jWE8" TargetMode="External"/><Relationship Id="rId864" Type="http://schemas.openxmlformats.org/officeDocument/2006/relationships/hyperlink" Target="https://www.otodom.pl/pl/oferta/noworoczne-dni-rabatowe-znizki-do-120-tys-ID4oAXe" TargetMode="External"/><Relationship Id="rId296" Type="http://schemas.openxmlformats.org/officeDocument/2006/relationships/hyperlink" Target="https://otodom.pl/pl/oferta/2-pokojowe-mieszkanie-z-dwoma-balkonami-ID4fW2E" TargetMode="External"/><Relationship Id="rId517" Type="http://schemas.openxmlformats.org/officeDocument/2006/relationships/hyperlink" Target="https://www.otodom.pl/pl/oferta/olawa-apartamenty-z-ogrodkami-3f-3j-po-odbiorach-ID4oGdq" TargetMode="External"/><Relationship Id="rId724" Type="http://schemas.openxmlformats.org/officeDocument/2006/relationships/hyperlink" Target="https://www.otodom.pl/pl/oferta/mieszkanie-4-pok-oddalone-od-miejskiego-zgielku-ID4ooxS" TargetMode="External"/><Relationship Id="rId931" Type="http://schemas.openxmlformats.org/officeDocument/2006/relationships/hyperlink" Target="https://www.otodom.pl/pl/oferta/do-sprzedania-3-pokojowe-mieszkanie-dzierzoniow-ID4mzsP" TargetMode="External"/><Relationship Id="rId60" Type="http://schemas.openxmlformats.org/officeDocument/2006/relationships/hyperlink" Target="https://www.otodom.pl/pl/oferta/jarocin-apartament-53-m2-z-balkonem-10-m2-bauking-ID4mXvB" TargetMode="External"/><Relationship Id="rId156" Type="http://schemas.openxmlformats.org/officeDocument/2006/relationships/hyperlink" Target="https://www.otodom.pl/pl/oferta/mieszkanie-trzypokojowe-z-weranda-i-ogrodem-ID4nSQz" TargetMode="External"/><Relationship Id="rId363" Type="http://schemas.openxmlformats.org/officeDocument/2006/relationships/hyperlink" Target="https://otodom.pl/pl/oferta/apartament-pod-inwestycje-z-klimatyzacja-i-tarasem-ID4kvcp" TargetMode="External"/><Relationship Id="rId570" Type="http://schemas.openxmlformats.org/officeDocument/2006/relationships/hyperlink" Target="https://www.otodom.pl/pl/oferta/klimatyzacja-i-m-ce-postojowe-w-cenie-centrum-ID4oy17" TargetMode="External"/><Relationship Id="rId223" Type="http://schemas.openxmlformats.org/officeDocument/2006/relationships/hyperlink" Target="https://www.otodom.pl/pl/oferta/antoniuk-49-m2-do-wejscia-3-pokoje-po-remoncie-ID4ofIe" TargetMode="External"/><Relationship Id="rId430" Type="http://schemas.openxmlformats.org/officeDocument/2006/relationships/hyperlink" Target="https://otodom.pl/pl/oferta/apartament-i-70m2-i-bez-pcc-klimatyzacja-garaz-ID4lEqi" TargetMode="External"/><Relationship Id="rId668" Type="http://schemas.openxmlformats.org/officeDocument/2006/relationships/hyperlink" Target="https://www.otodom.pl/pl/oferta/sosnowiec-milowice-ul-szosowa-37m2-duzy-balkon-ID4oEBe" TargetMode="External"/><Relationship Id="rId875" Type="http://schemas.openxmlformats.org/officeDocument/2006/relationships/hyperlink" Target="https://otodom.pl/pl/oferta/kawalerka-pradnik-bialy-zielona-okolica-ID4m7mQ" TargetMode="External"/><Relationship Id="rId18" Type="http://schemas.openxmlformats.org/officeDocument/2006/relationships/hyperlink" Target="https://www.otodom.pl/pl/oferta/29-31m2-mieszkanie-m2-lodz-centrum-ul-karolewska-ID4oGlp" TargetMode="External"/><Relationship Id="rId528" Type="http://schemas.openxmlformats.org/officeDocument/2006/relationships/hyperlink" Target="https://www.otodom.pl/pl/oferta/mieszkanie-4-pok-88-m2-zabki-ul-skrajna-ID4oqDS" TargetMode="External"/><Relationship Id="rId735" Type="http://schemas.openxmlformats.org/officeDocument/2006/relationships/hyperlink" Target="https://www.otodom.pl/pl/oferta/nowe-mieszkanie-2pok-z-oddzielna-kuchnia-balkon-ID4npCA" TargetMode="External"/><Relationship Id="rId942" Type="http://schemas.openxmlformats.org/officeDocument/2006/relationships/hyperlink" Target="https://otodom.pl/pl/oferta/park-dulina-gdansk-3-pokoje-bezposrednio-ID4ltqs" TargetMode="External"/><Relationship Id="rId167" Type="http://schemas.openxmlformats.org/officeDocument/2006/relationships/hyperlink" Target="https://www.otodom.pl/pl/oferta/promocja-narozne-m3-odbierz-klucze-juz-dzis-ID4oF7Y" TargetMode="External"/><Relationship Id="rId374" Type="http://schemas.openxmlformats.org/officeDocument/2006/relationships/hyperlink" Target="https://otodom.pl/pl/oferta/4-pokoje-z-balkonem-ID4jGxm" TargetMode="External"/><Relationship Id="rId581" Type="http://schemas.openxmlformats.org/officeDocument/2006/relationships/hyperlink" Target="https://www.otodom.pl/pl/oferta/3-pokoje-bemowo-narwik-61m2-garaz-metro-bezposr-ID4oEOE" TargetMode="External"/><Relationship Id="rId71" Type="http://schemas.openxmlformats.org/officeDocument/2006/relationships/hyperlink" Target="https://www.otodom.pl/pl/oferta/idealne-mieszkanie-na-start-ID4nI43" TargetMode="External"/><Relationship Id="rId234" Type="http://schemas.openxmlformats.org/officeDocument/2006/relationships/hyperlink" Target="https://www.otodom.pl/pl/oferta/mieszkanie-300m-od-plazy-w-ustce-ID4nPPe" TargetMode="External"/><Relationship Id="rId679" Type="http://schemas.openxmlformats.org/officeDocument/2006/relationships/hyperlink" Target="https://www.otodom.pl/pl/oferta/urzekajaca-inwestycja-w-centrum-miasta-ID4ogtm" TargetMode="External"/><Relationship Id="rId802" Type="http://schemas.openxmlformats.org/officeDocument/2006/relationships/hyperlink" Target="https://www.otodom.pl/pl/oferta/wlasciciel-20tys-2pok-41-3m-garaz-zadbane-ID4oc8Z" TargetMode="External"/><Relationship Id="rId886" Type="http://schemas.openxmlformats.org/officeDocument/2006/relationships/hyperlink" Target="https://www.otodom.pl/pl/oferta/nowe-przestronne-mieszkania-z-ogrodem-parkingiem-ID4nPDq" TargetMode="External"/><Relationship Id="rId2" Type="http://schemas.openxmlformats.org/officeDocument/2006/relationships/hyperlink" Target="https://www.otodom.pl/pl/oferta/nadolice-wielkieblizniak-139mdzialka-413-55m-ID4n82E" TargetMode="External"/><Relationship Id="rId29" Type="http://schemas.openxmlformats.org/officeDocument/2006/relationships/hyperlink" Target="https://www.otodom.pl/pl/oferta/budynek-z-rozpoczeta-przebudowa-z-projektem-ID4nYnl" TargetMode="External"/><Relationship Id="rId441" Type="http://schemas.openxmlformats.org/officeDocument/2006/relationships/hyperlink" Target="https://otodom.pl/pl/oferta/plac-unii-centrum-lux-3-pok-blisko-morze-ID4lgeV" TargetMode="External"/><Relationship Id="rId539" Type="http://schemas.openxmlformats.org/officeDocument/2006/relationships/hyperlink" Target="https://www.otodom.pl/pl/oferta/srodmiescie-rozklad-loggia-plac-swietego-macieja-ID4ohWg" TargetMode="External"/><Relationship Id="rId746" Type="http://schemas.openxmlformats.org/officeDocument/2006/relationships/hyperlink" Target="https://www.otodom.pl/pl/oferta/mieszkanie-z-widokiem-na-gory-izerskie-82-3-m2-ID4cGrR" TargetMode="External"/><Relationship Id="rId178" Type="http://schemas.openxmlformats.org/officeDocument/2006/relationships/hyperlink" Target="https://www.otodom.pl/pl/oferta/mieszkanie-3pok-54m2-os-gorczyn-ID4nVDa" TargetMode="External"/><Relationship Id="rId301" Type="http://schemas.openxmlformats.org/officeDocument/2006/relationships/hyperlink" Target="https://otodom.pl/pl/oferta/nieszablonowe-mieszkanie-dla-ludzi-z-wyobraznia-ID4j1sK" TargetMode="External"/><Relationship Id="rId953" Type="http://schemas.openxmlformats.org/officeDocument/2006/relationships/hyperlink" Target="https://otodom.pl/pl/oferta/wyposazony-i-wyremontowany-0-prowizji-ID4hQlW" TargetMode="External"/><Relationship Id="rId82" Type="http://schemas.openxmlformats.org/officeDocument/2006/relationships/hyperlink" Target="https://www.otodom.pl/pl/oferta/mieszkanie-z-ogrodkiem-2-m-ca-postojowe-ID4jyTy" TargetMode="External"/><Relationship Id="rId385" Type="http://schemas.openxmlformats.org/officeDocument/2006/relationships/hyperlink" Target="https://otodom.pl/pl/oferta/perelka-glamour-obok-piotrkowskiej-klimatyzacja-ID4ma6R" TargetMode="External"/><Relationship Id="rId592" Type="http://schemas.openxmlformats.org/officeDocument/2006/relationships/hyperlink" Target="https://www.otodom.pl/pl/oferta/mieszkanie-w-atrakcyjnym-miejscu-ID4eg67" TargetMode="External"/><Relationship Id="rId606" Type="http://schemas.openxmlformats.org/officeDocument/2006/relationships/hyperlink" Target="https://www.otodom.pl/pl/oferta/mieszkanie-o-pow-77-58m2-z-przestronnym-balkonem-ID4k29m" TargetMode="External"/><Relationship Id="rId813" Type="http://schemas.openxmlformats.org/officeDocument/2006/relationships/hyperlink" Target="https://www.otodom.pl/pl/oferta/apartament-3-pok-2-balkony-pogrzewany-podjazd-ID4ofkK" TargetMode="External"/><Relationship Id="rId245" Type="http://schemas.openxmlformats.org/officeDocument/2006/relationships/hyperlink" Target="https://www.otodom.pl/pl/oferta/nowa-guzikarnia-kawalerka-28-76-m2-ID4opC3" TargetMode="External"/><Relationship Id="rId452" Type="http://schemas.openxmlformats.org/officeDocument/2006/relationships/hyperlink" Target="https://otodom.pl/pl/oferta/62m2-w-pieknej-inwestycji-pod-klucz-bez-prowizji-ID4jWN4" TargetMode="External"/><Relationship Id="rId897" Type="http://schemas.openxmlformats.org/officeDocument/2006/relationships/hyperlink" Target="https://otodom.pl/pl/oferta/sprzedam-mieszkanie-w-bransku-ID4m952" TargetMode="External"/><Relationship Id="rId105" Type="http://schemas.openxmlformats.org/officeDocument/2006/relationships/hyperlink" Target="https://www.otodom.pl/pl/oferta/top-2-poj-apartament-z-widokiem-balkon-winda-ID4oIbO" TargetMode="External"/><Relationship Id="rId312" Type="http://schemas.openxmlformats.org/officeDocument/2006/relationships/hyperlink" Target="https://otodom.pl/pl/oferta/3-pokojowe-mieszkanie-centrum-parking-za-szlabanem-ID4lP4y" TargetMode="External"/><Relationship Id="rId757" Type="http://schemas.openxmlformats.org/officeDocument/2006/relationships/hyperlink" Target="https://www.otodom.pl/pl/oferta/mieszkanie-z-potencjalem-na-osiedlu-nalkowskich-ID4moO1" TargetMode="External"/><Relationship Id="rId964" Type="http://schemas.openxmlformats.org/officeDocument/2006/relationships/hyperlink" Target="https://otodom.pl/pl/oferta/vista-by-kras-dom-mieszkanie-67-45-m2-ID4lVUm" TargetMode="External"/><Relationship Id="rId93" Type="http://schemas.openxmlformats.org/officeDocument/2006/relationships/hyperlink" Target="https://www.otodom.pl/pl/oferta/skrajny-dom-na-sprzedaz-4-pokoje-141m2-rudak-ID4orLx" TargetMode="External"/><Relationship Id="rId189" Type="http://schemas.openxmlformats.org/officeDocument/2006/relationships/hyperlink" Target="https://www.otodom.pl/pl/oferta/mieszkanie-rumia-ID4nRUn" TargetMode="External"/><Relationship Id="rId396" Type="http://schemas.openxmlformats.org/officeDocument/2006/relationships/hyperlink" Target="https://otodom.pl/pl/oferta/apartamentul-ksiecia-witolda-z-widokiem-na-odre-ID4jPYJ" TargetMode="External"/><Relationship Id="rId617" Type="http://schemas.openxmlformats.org/officeDocument/2006/relationships/hyperlink" Target="https://www.otodom.pl/pl/oferta/mieszkanie-pokoj-z-kuchnia-27m2-ogrodek-nowa-wie-ID4lUZL" TargetMode="External"/><Relationship Id="rId824" Type="http://schemas.openxmlformats.org/officeDocument/2006/relationships/hyperlink" Target="https://otodom.pl/pl/oferta/gotowe-poznan-wrzesnia-czerniejewo-ID4lBh3" TargetMode="External"/><Relationship Id="rId256" Type="http://schemas.openxmlformats.org/officeDocument/2006/relationships/hyperlink" Target="https://www.otodom.pl/pl/oferta/mieszkanie-52m2-2-pokoje-wolica-gm-ozarow-maz-ID4oqjP" TargetMode="External"/><Relationship Id="rId463" Type="http://schemas.openxmlformats.org/officeDocument/2006/relationships/hyperlink" Target="https://otodom.pl/pl/oferta/apartamenty-boya-przytulne-mieszkanie-c-2-40-ID4gyG1" TargetMode="External"/><Relationship Id="rId670" Type="http://schemas.openxmlformats.org/officeDocument/2006/relationships/hyperlink" Target="https://www.otodom.pl/pl/oferta/ostatnie-trojki-z-ogrodkiem-zadzwon-juz-dzis-ID4oF9O" TargetMode="External"/><Relationship Id="rId116" Type="http://schemas.openxmlformats.org/officeDocument/2006/relationships/hyperlink" Target="https://www.otodom.pl/pl/oferta/mieszkanie-os-gorczyn-3-pokoje-piwnica-ID4ozdY" TargetMode="External"/><Relationship Id="rId323" Type="http://schemas.openxmlformats.org/officeDocument/2006/relationships/hyperlink" Target="https://otodom.pl/pl/oferta/3-pokojowe-mieszkanie-na-zielonej-porebie-ID4mdzP" TargetMode="External"/><Relationship Id="rId530" Type="http://schemas.openxmlformats.org/officeDocument/2006/relationships/hyperlink" Target="https://www.otodom.pl/pl/oferta/mieszkanie-3-pok-z-aneksem-kuchennym-i-ogrodkiem-ID4oFZ7" TargetMode="External"/><Relationship Id="rId768" Type="http://schemas.openxmlformats.org/officeDocument/2006/relationships/hyperlink" Target="https://www.otodom.pl/pl/oferta/mieszkanie-z-ogrodkiem-w-gdansku-ID4mfpC" TargetMode="External"/><Relationship Id="rId975" Type="http://schemas.openxmlformats.org/officeDocument/2006/relationships/hyperlink" Target="https://otodom.pl/pl/oferta/villa-symfonia-olsztyn-mieszkanie-m30-ID4eY1P" TargetMode="External"/><Relationship Id="rId20" Type="http://schemas.openxmlformats.org/officeDocument/2006/relationships/hyperlink" Target="https://www.otodom.pl/pl/oferta/mieszkanie-3pokoje-ogrodek-gotowe-do-zamieszkania-ID4on4D" TargetMode="External"/><Relationship Id="rId628" Type="http://schemas.openxmlformats.org/officeDocument/2006/relationships/hyperlink" Target="https://www.otodom.pl/pl/oferta/ladne-4-pokojowe-2-loggie-ii-pietro-os-wenedow-ID4nZub" TargetMode="External"/><Relationship Id="rId835" Type="http://schemas.openxmlformats.org/officeDocument/2006/relationships/hyperlink" Target="https://www.otodom.pl/pl/oferta/duze-3-pokojowe-mieszkanie-na-pradze-polnoc-ID4nFc6" TargetMode="External"/><Relationship Id="rId267" Type="http://schemas.openxmlformats.org/officeDocument/2006/relationships/hyperlink" Target="https://otodom.pl/pl/oferta/mieszkanie-w-kluczborku-ID4lJgr" TargetMode="External"/><Relationship Id="rId474" Type="http://schemas.openxmlformats.org/officeDocument/2006/relationships/hyperlink" Target="https://www.otodom.pl/pl/oferta/95-powierzchni-2-balkony-klucze-luty-2024-ID4mbvz" TargetMode="External"/><Relationship Id="rId127" Type="http://schemas.openxmlformats.org/officeDocument/2006/relationships/hyperlink" Target="https://www.otodom.pl/pl/oferta/kawalerka-w-centrum-bydgoszczy-189-000zl-ID4ncwh" TargetMode="External"/><Relationship Id="rId681" Type="http://schemas.openxmlformats.org/officeDocument/2006/relationships/hyperlink" Target="https://www.otodom.pl/pl/oferta/mieszkanie-3-pok-osiedle-komandorskie-wzgorze-ID4mBs0" TargetMode="External"/><Relationship Id="rId779" Type="http://schemas.openxmlformats.org/officeDocument/2006/relationships/hyperlink" Target="https://www.otodom.pl/pl/oferta/3-pokojowe-mieszkanie-rossa-park-w-augustowie-ID4nycC" TargetMode="External"/><Relationship Id="rId902" Type="http://schemas.openxmlformats.org/officeDocument/2006/relationships/hyperlink" Target="https://www.otodom.pl/pl/oferta/twoje-wlasne-m-w-gorach-mieszkanie-c1-vat-23-ID4luo4" TargetMode="External"/><Relationship Id="rId986" Type="http://schemas.openxmlformats.org/officeDocument/2006/relationships/hyperlink" Target="https://otodom.pl/pl/oferta/wygodne-2-pokoje-w-kredycie-2-ID4m7wj" TargetMode="External"/><Relationship Id="rId31" Type="http://schemas.openxmlformats.org/officeDocument/2006/relationships/hyperlink" Target="https://www.otodom.pl/pl/oferta/nowoczesny-dom-w-zabudowie-blizniaczej-tychy-147m-ID4netr" TargetMode="External"/><Relationship Id="rId334" Type="http://schemas.openxmlformats.org/officeDocument/2006/relationships/hyperlink" Target="https://otodom.pl/pl/oferta/apartament-pod-klucz-100-m-do-plazy-iv-etap-ID4byxK" TargetMode="External"/><Relationship Id="rId541" Type="http://schemas.openxmlformats.org/officeDocument/2006/relationships/hyperlink" Target="https://www.otodom.pl/pl/oferta/sprzedaz-2-pok-urzadzone-opole-zaodrze-ID4oBMh" TargetMode="External"/><Relationship Id="rId639" Type="http://schemas.openxmlformats.org/officeDocument/2006/relationships/hyperlink" Target="https://www.otodom.pl/pl/oferta/ostatnie-najlepszacena-promocja-nowainwestycja-hit-ID4oHfa" TargetMode="External"/><Relationship Id="rId180" Type="http://schemas.openxmlformats.org/officeDocument/2006/relationships/hyperlink" Target="https://www.otodom.pl/pl/oferta/na-sprzedaz-dom-jednorodzinny-jaworzno-pieczyska-ID4nB5T" TargetMode="External"/><Relationship Id="rId278" Type="http://schemas.openxmlformats.org/officeDocument/2006/relationships/hyperlink" Target="https://otodom.pl/pl/oferta/3-pokojowe-mieszkanie-77m2-bez-posrednikow-ID4kR9H" TargetMode="External"/><Relationship Id="rId401" Type="http://schemas.openxmlformats.org/officeDocument/2006/relationships/hyperlink" Target="https://otodom.pl/pl/oferta/piekne-mieszkanie-2-pok-600m-do-plazy-ID4moBf" TargetMode="External"/><Relationship Id="rId846" Type="http://schemas.openxmlformats.org/officeDocument/2006/relationships/hyperlink" Target="https://otodom.pl/pl/oferta/gotowe-do-zamieszkania-ul-wronska-bez-2-pcc-ID4kpIL" TargetMode="External"/><Relationship Id="rId485" Type="http://schemas.openxmlformats.org/officeDocument/2006/relationships/hyperlink" Target="https://www.otodom.pl/pl/oferta/dwa-apaartamenty-sopot-ID4nRRM" TargetMode="External"/><Relationship Id="rId692" Type="http://schemas.openxmlformats.org/officeDocument/2006/relationships/hyperlink" Target="https://www.otodom.pl/pl/oferta/apartament-w-klobucku-ID4hOCP" TargetMode="External"/><Relationship Id="rId706" Type="http://schemas.openxmlformats.org/officeDocument/2006/relationships/hyperlink" Target="https://www.otodom.pl/pl/oferta/mieszkanie-2-pokojowe-z-balkonem-blisko-tramwaj-ID4mqam" TargetMode="External"/><Relationship Id="rId913" Type="http://schemas.openxmlformats.org/officeDocument/2006/relationships/hyperlink" Target="https://otodom.pl/pl/oferta/sprzedam-mieszkanie-gdansk-ID4mloH" TargetMode="External"/><Relationship Id="rId42" Type="http://schemas.openxmlformats.org/officeDocument/2006/relationships/hyperlink" Target="https://www.otodom.pl/pl/oferta/pierwsze-pietro-na-zabobrzu-ID4ofxC" TargetMode="External"/><Relationship Id="rId138" Type="http://schemas.openxmlformats.org/officeDocument/2006/relationships/hyperlink" Target="https://www.otodom.pl/pl/oferta/parter-ul-bema-42-5m2-niskie-oplaty-ID4ok6C" TargetMode="External"/><Relationship Id="rId345" Type="http://schemas.openxmlformats.org/officeDocument/2006/relationships/hyperlink" Target="https://otodom.pl/pl/oferta/60-m-2-1sze-pietro-3-pkojowe-ID4k9vw" TargetMode="External"/><Relationship Id="rId552" Type="http://schemas.openxmlformats.org/officeDocument/2006/relationships/hyperlink" Target="https://www.otodom.pl/pl/oferta/piekne-umeblowane-mieszkanie-w-gubinie-ID4oHYp" TargetMode="External"/><Relationship Id="rId997" Type="http://schemas.openxmlformats.org/officeDocument/2006/relationships/hyperlink" Target="https://otodom.pl/pl/oferta/zoliborz-artystyczny-mieszkanie-na-inwestycje-ID4gml9" TargetMode="External"/><Relationship Id="rId191" Type="http://schemas.openxmlformats.org/officeDocument/2006/relationships/hyperlink" Target="https://www.otodom.pl/pl/oferta/wola-tower-dwa-pokoje-z-balkonem-2-garazami-ID4oEhM" TargetMode="External"/><Relationship Id="rId205" Type="http://schemas.openxmlformats.org/officeDocument/2006/relationships/hyperlink" Target="https://www.otodom.pl/pl/oferta/siemianowice-slaskie-ul-szeflera-ID4nRpN" TargetMode="External"/><Relationship Id="rId412" Type="http://schemas.openxmlformats.org/officeDocument/2006/relationships/hyperlink" Target="https://otodom.pl/pl/oferta/penthouse-na-25-pietrze-w-babka-tower-ID4epD8" TargetMode="External"/><Relationship Id="rId857" Type="http://schemas.openxmlformats.org/officeDocument/2006/relationships/hyperlink" Target="https://www.otodom.pl/pl/oferta/gotowe-domy-wolnostojace-w-modlnicy-bez-prowizji-ID4nY2a" TargetMode="External"/><Relationship Id="rId289" Type="http://schemas.openxmlformats.org/officeDocument/2006/relationships/hyperlink" Target="https://otodom.pl/pl/oferta/3-przestronne-pokoje-stawki-ID4hZBm" TargetMode="External"/><Relationship Id="rId496" Type="http://schemas.openxmlformats.org/officeDocument/2006/relationships/hyperlink" Target="https://www.otodom.pl/pl/oferta/2-pokoje-do-remontu-w-super-lokalizacji-ID4oq5N" TargetMode="External"/><Relationship Id="rId717" Type="http://schemas.openxmlformats.org/officeDocument/2006/relationships/hyperlink" Target="https://www.otodom.pl/pl/oferta/atrakcyjna-cena-za-widok-zegrza-atlantis-ID4lwX6" TargetMode="External"/><Relationship Id="rId924" Type="http://schemas.openxmlformats.org/officeDocument/2006/relationships/hyperlink" Target="https://otodom.pl/pl/oferta/rewelacyjna-oferta-dla-rodziny-lub-na-inwestycje-ID4kOcL" TargetMode="External"/><Relationship Id="rId53" Type="http://schemas.openxmlformats.org/officeDocument/2006/relationships/hyperlink" Target="https://www.otodom.pl/pl/oferta/4-pokojowe-wysoki-standard-pkp-ID4nJap" TargetMode="External"/><Relationship Id="rId149" Type="http://schemas.openxmlformats.org/officeDocument/2006/relationships/hyperlink" Target="https://www.otodom.pl/pl/oferta/2-pokoje-widok-na-zielen-wysoki-standard-ID4oAOd" TargetMode="External"/><Relationship Id="rId356" Type="http://schemas.openxmlformats.org/officeDocument/2006/relationships/hyperlink" Target="https://otodom.pl/pl/oferta/apartament-z-pieknym-widokiem-na-palac-kultury-ID4m2dY" TargetMode="External"/><Relationship Id="rId563" Type="http://schemas.openxmlformats.org/officeDocument/2006/relationships/hyperlink" Target="https://www.otodom.pl/pl/oferta/mieszkanie-po-kapitalnym-remoncie-os-zawarcie-ID4gEhx" TargetMode="External"/><Relationship Id="rId770" Type="http://schemas.openxmlformats.org/officeDocument/2006/relationships/hyperlink" Target="https://www.otodom.pl/pl/oferta/nowe-mieszkanie-3-pokojowe-51-70-m2-i-pietro-a15-ID4hXpS" TargetMode="External"/><Relationship Id="rId216" Type="http://schemas.openxmlformats.org/officeDocument/2006/relationships/hyperlink" Target="https://www.otodom.pl/pl/oferta/apartament-51m2-3-pokoje-bezposrednio-0-pcc-ID4oDY8" TargetMode="External"/><Relationship Id="rId423" Type="http://schemas.openxmlformats.org/officeDocument/2006/relationships/hyperlink" Target="https://otodom.pl/pl/oferta/lokal-mieszkalny-z-ogrodem-w-centrum-miastka-ID4hckl" TargetMode="External"/><Relationship Id="rId868" Type="http://schemas.openxmlformats.org/officeDocument/2006/relationships/hyperlink" Target="https://www.otodom.pl/pl/oferta/przytulne-mieszkanie-w-sopocie-kamienny-potok-ID4on9P" TargetMode="External"/><Relationship Id="rId630" Type="http://schemas.openxmlformats.org/officeDocument/2006/relationships/hyperlink" Target="https://www.otodom.pl/pl/oferta/dwupietrowe-mieszkanie-na-zielonym-ursynowie-ID4lORU" TargetMode="External"/><Relationship Id="rId728" Type="http://schemas.openxmlformats.org/officeDocument/2006/relationships/hyperlink" Target="https://www.otodom.pl/pl/oferta/trzypokojowe-mieszkanie-z-balkonem-na-os-650-lecia-ID4kAdd" TargetMode="External"/><Relationship Id="rId935" Type="http://schemas.openxmlformats.org/officeDocument/2006/relationships/hyperlink" Target="https://otodom.pl/pl/oferta/domy-z-ogrodami-k-gdyni-149m2-ID38w2v" TargetMode="External"/><Relationship Id="rId64" Type="http://schemas.openxmlformats.org/officeDocument/2006/relationships/hyperlink" Target="https://www.otodom.pl/pl/oferta/cieple-dobra-lokalizacja-tylko-u-nas-ID4oc4w" TargetMode="External"/><Relationship Id="rId367" Type="http://schemas.openxmlformats.org/officeDocument/2006/relationships/hyperlink" Target="https://otodom.pl/pl/oferta/apartamenty-kasprowicza-apartament-c323-ID4chSb" TargetMode="External"/><Relationship Id="rId574" Type="http://schemas.openxmlformats.org/officeDocument/2006/relationships/hyperlink" Target="https://www.otodom.pl/pl/oferta/mieszkanie-w-stanie-deweloperskim-ii-pietro-b8m9-ID4ixCn" TargetMode="External"/><Relationship Id="rId227" Type="http://schemas.openxmlformats.org/officeDocument/2006/relationships/hyperlink" Target="https://www.otodom.pl/pl/oferta/nowoczesna-architektura-wyjatkowy-design-237-m2-ID4orZQ" TargetMode="External"/><Relationship Id="rId781" Type="http://schemas.openxmlformats.org/officeDocument/2006/relationships/hyperlink" Target="https://www.otodom.pl/pl/oferta/pod-klucz-apartament-sunday-ustronie-morskie-ID4jrZn" TargetMode="External"/><Relationship Id="rId879" Type="http://schemas.openxmlformats.org/officeDocument/2006/relationships/hyperlink" Target="https://www.otodom.pl/pl/oferta/wilda-ul-dolna-wilda-4-pok-91m2-park-ID4osL9" TargetMode="External"/><Relationship Id="rId434" Type="http://schemas.openxmlformats.org/officeDocument/2006/relationships/hyperlink" Target="https://otodom.pl/pl/oferta/apartament-bez-prowizji-biuro-sprzedazy-dewelopera-ID4l8ln" TargetMode="External"/><Relationship Id="rId641" Type="http://schemas.openxmlformats.org/officeDocument/2006/relationships/hyperlink" Target="https://www.otodom.pl/pl/oferta/kawalerka-w-nowym-budownictwie-ID4ooZq" TargetMode="External"/><Relationship Id="rId739" Type="http://schemas.openxmlformats.org/officeDocument/2006/relationships/hyperlink" Target="https://www.otodom.pl/pl/oferta/mieszkanie-w-sercu-starej-zielonki-136-40m2-2-ID4mHG1" TargetMode="External"/><Relationship Id="rId280" Type="http://schemas.openxmlformats.org/officeDocument/2006/relationships/hyperlink" Target="https://otodom.pl/pl/oferta/mieszkanie-w-inwestycji-osiedle-sloneczne-10a-ID4hbhP" TargetMode="External"/><Relationship Id="rId501" Type="http://schemas.openxmlformats.org/officeDocument/2006/relationships/hyperlink" Target="https://www.otodom.pl/pl/oferta/krowodrza-bronowice-apartament-3-pok-z-tarasem-ID4o25x" TargetMode="External"/><Relationship Id="rId946" Type="http://schemas.openxmlformats.org/officeDocument/2006/relationships/hyperlink" Target="https://otodom.pl/pl/oferta/przestronny-apartament-w-centrum-antresola-ID4mniY" TargetMode="External"/><Relationship Id="rId75" Type="http://schemas.openxmlformats.org/officeDocument/2006/relationships/hyperlink" Target="https://www.otodom.pl/pl/oferta/3-pok-male-blonia-winda-2020-r-ID4oH41" TargetMode="External"/><Relationship Id="rId140" Type="http://schemas.openxmlformats.org/officeDocument/2006/relationships/hyperlink" Target="https://www.otodom.pl/pl/oferta/2-pokojowe-mieszkanie-36-m2-glowno-rezerwacja-ID4ofeq" TargetMode="External"/><Relationship Id="rId378" Type="http://schemas.openxmlformats.org/officeDocument/2006/relationships/hyperlink" Target="https://otodom.pl/pl/oferta/a7-dwa-pokoje-pomieszczenie-gospodarcze-balkon-ID4l36H" TargetMode="External"/><Relationship Id="rId585" Type="http://schemas.openxmlformats.org/officeDocument/2006/relationships/hyperlink" Target="https://www.otodom.pl/pl/oferta/dom-w-brwilnie-niedaleko-wisly-9-km-do-plocka-ID4oAPN" TargetMode="External"/><Relationship Id="rId792" Type="http://schemas.openxmlformats.org/officeDocument/2006/relationships/hyperlink" Target="https://www.otodom.pl/pl/oferta/dwupoziomowe-mieszkanie-blisko-galerii-kazimierz-ID4nfV2" TargetMode="External"/><Relationship Id="rId806" Type="http://schemas.openxmlformats.org/officeDocument/2006/relationships/hyperlink" Target="https://www.otodom.pl/pl/oferta/zgrabne-mieszkanko-3-pokoje-niski-blok-ID4kFJ4" TargetMode="External"/><Relationship Id="rId6" Type="http://schemas.openxmlformats.org/officeDocument/2006/relationships/hyperlink" Target="https://www.otodom.pl/pl/oferta/2x-ogrod-3km-starowka-17xtramwaj-rabat-100tys-zl-ID4oCD8" TargetMode="External"/><Relationship Id="rId238" Type="http://schemas.openxmlformats.org/officeDocument/2006/relationships/hyperlink" Target="https://www.otodom.pl/pl/oferta/3-pokoje-w-supercenie-dobrze-skomunikowane-ID4nhws" TargetMode="External"/><Relationship Id="rId445" Type="http://schemas.openxmlformats.org/officeDocument/2006/relationships/hyperlink" Target="https://otodom.pl/pl/oferta/4-pokoje-w-nowej-inwestycji-na-plaszowie-ID4l7Za" TargetMode="External"/><Relationship Id="rId652" Type="http://schemas.openxmlformats.org/officeDocument/2006/relationships/hyperlink" Target="https://www.otodom.pl/pl/oferta/parter-po-remoncie-40-53m2-siec-miejska-piwnica-ID4eqKe" TargetMode="External"/><Relationship Id="rId291" Type="http://schemas.openxmlformats.org/officeDocument/2006/relationships/hyperlink" Target="https://otodom.pl/pl/oferta/2-pokojowe-mieszkanie-piwnica-blisko-tramwaj-ID4kqWh" TargetMode="External"/><Relationship Id="rId305" Type="http://schemas.openxmlformats.org/officeDocument/2006/relationships/hyperlink" Target="https://otodom.pl/pl/oferta/2-pokojowy-apartament-z-widokiem-na-ine-ID4jfgK" TargetMode="External"/><Relationship Id="rId512" Type="http://schemas.openxmlformats.org/officeDocument/2006/relationships/hyperlink" Target="https://www.otodom.pl/pl/oferta/mieszkanie-2-pokojowe-czluchow-gledowo-ID4nCAB" TargetMode="External"/><Relationship Id="rId957" Type="http://schemas.openxmlformats.org/officeDocument/2006/relationships/hyperlink" Target="https://otodom.pl/pl/oferta/pogorze-ogrodek-do-wprowadzenia-blisko-morza-ID4mkbf" TargetMode="External"/><Relationship Id="rId86" Type="http://schemas.openxmlformats.org/officeDocument/2006/relationships/hyperlink" Target="https://www.otodom.pl/pl/oferta/mieszkanie-z-ogrodkiem-ID4otR6" TargetMode="External"/><Relationship Id="rId151" Type="http://schemas.openxmlformats.org/officeDocument/2006/relationships/hyperlink" Target="https://www.otodom.pl/pl/oferta/2-pokoje-parking-w-cenie-balkon-malinka-ID4ocaO" TargetMode="External"/><Relationship Id="rId389" Type="http://schemas.openxmlformats.org/officeDocument/2006/relationships/hyperlink" Target="https://otodom.pl/pl/oferta/pinea-apartament-tuz-przy-plazy-ID4fFY7" TargetMode="External"/><Relationship Id="rId596" Type="http://schemas.openxmlformats.org/officeDocument/2006/relationships/hyperlink" Target="https://www.otodom.pl/pl/oferta/piekne-dwupoziomowe-strzeszyn-ul-tadeusza-mikke-ID4ooAF" TargetMode="External"/><Relationship Id="rId817" Type="http://schemas.openxmlformats.org/officeDocument/2006/relationships/hyperlink" Target="https://www.otodom.pl/pl/oferta/3-pokojowe-mieszkanie-61m2-3-balkony-ID4l96H" TargetMode="External"/><Relationship Id="rId249" Type="http://schemas.openxmlformats.org/officeDocument/2006/relationships/hyperlink" Target="https://www.otodom.pl/pl/oferta/mieszkanie-z-ogrodkiem-dla-rodziny-ID4ojPx" TargetMode="External"/><Relationship Id="rId456" Type="http://schemas.openxmlformats.org/officeDocument/2006/relationships/hyperlink" Target="https://otodom.pl/pl/oferta/apartament-z-tarasem-pod-klucz-77m2-bez-prowizji-ID4jWN5" TargetMode="External"/><Relationship Id="rId663" Type="http://schemas.openxmlformats.org/officeDocument/2006/relationships/hyperlink" Target="https://www.otodom.pl/pl/oferta/mieszkanie-w-bloku-ID4ocUD" TargetMode="External"/><Relationship Id="rId870" Type="http://schemas.openxmlformats.org/officeDocument/2006/relationships/hyperlink" Target="https://www.otodom.pl/pl/oferta/2-poziomowy-apartament-ul-skladowa-zielona-gora-ID4oago" TargetMode="External"/><Relationship Id="rId13" Type="http://schemas.openxmlformats.org/officeDocument/2006/relationships/hyperlink" Target="https://www.otodom.pl/pl/oferta/mieszkanie-42-78-m-zabrze-ID4mRHq" TargetMode="External"/><Relationship Id="rId109" Type="http://schemas.openxmlformats.org/officeDocument/2006/relationships/hyperlink" Target="https://www.otodom.pl/pl/oferta/80-6-blisko-lasu-szkol-i-przedszkoli-bezposrednio-ID4o5UA" TargetMode="External"/><Relationship Id="rId316" Type="http://schemas.openxmlformats.org/officeDocument/2006/relationships/hyperlink" Target="https://otodom.pl/pl/oferta/mieszkanie-w-lubsku-ID4mpAG" TargetMode="External"/><Relationship Id="rId523" Type="http://schemas.openxmlformats.org/officeDocument/2006/relationships/hyperlink" Target="https://www.otodom.pl/pl/oferta/nowe-wyremontowane-mieszkania-z-ogrodkiem-ID4okMq" TargetMode="External"/><Relationship Id="rId968" Type="http://schemas.openxmlformats.org/officeDocument/2006/relationships/hyperlink" Target="https://otodom.pl/pl/oferta/wysoki-standard4-pokojenowe-miasto-ID4lVRk" TargetMode="External"/><Relationship Id="rId97" Type="http://schemas.openxmlformats.org/officeDocument/2006/relationships/hyperlink" Target="https://www.otodom.pl/pl/oferta/ostatnie-dni-rabatow-siegnij-po-kredyt-2-w-2023-ID4os7C" TargetMode="External"/><Relationship Id="rId730" Type="http://schemas.openxmlformats.org/officeDocument/2006/relationships/hyperlink" Target="https://www.otodom.pl/pl/oferta/nice-home-mieszkanie-z-balkonem-ID4gugb" TargetMode="External"/><Relationship Id="rId828" Type="http://schemas.openxmlformats.org/officeDocument/2006/relationships/hyperlink" Target="https://otodom.pl/pl/oferta/nowe-mieszkanie-dwupoziomowe-po-zachodniej-stronie-ID4miNT" TargetMode="External"/><Relationship Id="rId162" Type="http://schemas.openxmlformats.org/officeDocument/2006/relationships/hyperlink" Target="https://www.otodom.pl/pl/oferta/dwupokojowe-mieszkanie-przy-rondzie-onz-ID4oe4w" TargetMode="External"/><Relationship Id="rId467" Type="http://schemas.openxmlformats.org/officeDocument/2006/relationships/hyperlink" Target="https://otodom.pl/pl/oferta/apartament-inwestycyjny-w-juracie-ID4kv2k" TargetMode="External"/><Relationship Id="rId674" Type="http://schemas.openxmlformats.org/officeDocument/2006/relationships/hyperlink" Target="https://www.otodom.pl/pl/oferta/apartament-z-widokiem-na-latarnie-morska-50m-morze-ID4m2x5" TargetMode="External"/><Relationship Id="rId881" Type="http://schemas.openxmlformats.org/officeDocument/2006/relationships/hyperlink" Target="https://www.otodom.pl/pl/oferta/kawalerka-naramowice-miejsca-postojowe-w-cenie-ID4nV05" TargetMode="External"/><Relationship Id="rId979" Type="http://schemas.openxmlformats.org/officeDocument/2006/relationships/hyperlink" Target="https://otodom.pl/pl/oferta/wyjatkowy-dom-nad-jeziorem-i-rzeka-ID4i2EC" TargetMode="External"/><Relationship Id="rId24" Type="http://schemas.openxmlformats.org/officeDocument/2006/relationships/hyperlink" Target="https://www.otodom.pl/pl/oferta/ustawne-pokoje-z-garderoba-promocja-50-000-zl-ID4oB6Y" TargetMode="External"/><Relationship Id="rId327" Type="http://schemas.openxmlformats.org/officeDocument/2006/relationships/hyperlink" Target="https://otodom.pl/pl/oferta/apartament-w-hotelu-polonia-kolobrzeg-ID4hl4v" TargetMode="External"/><Relationship Id="rId534" Type="http://schemas.openxmlformats.org/officeDocument/2006/relationships/hyperlink" Target="https://www.otodom.pl/pl/oferta/centrum-miasta-parter-bezczynszowe-ID4nrss" TargetMode="External"/><Relationship Id="rId741" Type="http://schemas.openxmlformats.org/officeDocument/2006/relationships/hyperlink" Target="https://www.otodom.pl/pl/oferta/dom-na-wsi-z-duzymi-bud-gospodarczymi-ID4lvlD" TargetMode="External"/><Relationship Id="rId839" Type="http://schemas.openxmlformats.org/officeDocument/2006/relationships/hyperlink" Target="https://otodom.pl/pl/oferta/nowa-oferta-apartament-brzozowica-ID4male" TargetMode="External"/><Relationship Id="rId173" Type="http://schemas.openxmlformats.org/officeDocument/2006/relationships/hyperlink" Target="https://www.otodom.pl/pl/oferta/apartamenty-piastow-sprzedane-a02-ID4mkMH" TargetMode="External"/><Relationship Id="rId380" Type="http://schemas.openxmlformats.org/officeDocument/2006/relationships/hyperlink" Target="https://otodom.pl/pl/oferta/apartamenty-kasprowicza-apartament-c604-ID4chUs" TargetMode="External"/><Relationship Id="rId601" Type="http://schemas.openxmlformats.org/officeDocument/2006/relationships/hyperlink" Target="https://www.otodom.pl/pl/oferta/3-4-pok-5min-od-rosta-10min-od-sfery-ID4oJfH" TargetMode="External"/><Relationship Id="rId240" Type="http://schemas.openxmlformats.org/officeDocument/2006/relationships/hyperlink" Target="https://www.otodom.pl/pl/oferta/apartament-3-pokoje-garaz-ID4k9pC" TargetMode="External"/><Relationship Id="rId478" Type="http://schemas.openxmlformats.org/officeDocument/2006/relationships/hyperlink" Target="https://www.otodom.pl/pl/oferta/przytulne-w-samym-sercu-dabrowki-kolo-lasu-ID4oyAy" TargetMode="External"/><Relationship Id="rId685" Type="http://schemas.openxmlformats.org/officeDocument/2006/relationships/hyperlink" Target="https://www.otodom.pl/pl/oferta/mieszkanie-48-91-m-chrzanow-ID4o85a" TargetMode="External"/><Relationship Id="rId892" Type="http://schemas.openxmlformats.org/officeDocument/2006/relationships/hyperlink" Target="https://www.otodom.pl/pl/oferta/duzy-wybor-przy-parku-i-utp-sklepy-tramwaj-zobacz-ID4oFeS" TargetMode="External"/><Relationship Id="rId906" Type="http://schemas.openxmlformats.org/officeDocument/2006/relationships/hyperlink" Target="https://www.otodom.pl/pl/oferta/mieszkanie-osiedle-platan-z-miejscem-postojowym-ID4iTEM" TargetMode="External"/><Relationship Id="rId35" Type="http://schemas.openxmlformats.org/officeDocument/2006/relationships/hyperlink" Target="https://www.otodom.pl/pl/oferta/3-pokoje-77-28-m2-apartament-z-tarasem-ID4oy2w" TargetMode="External"/><Relationship Id="rId100" Type="http://schemas.openxmlformats.org/officeDocument/2006/relationships/hyperlink" Target="https://www.otodom.pl/pl/oferta/apartament-ogrodek-3-pokoje-parking-klimatyzacja-ID4o8mK" TargetMode="External"/><Relationship Id="rId338" Type="http://schemas.openxmlformats.org/officeDocument/2006/relationships/hyperlink" Target="https://otodom.pl/pl/oferta/apartament-dla-koneserow-u-stop-wawelu-ID4jlJj" TargetMode="External"/><Relationship Id="rId545" Type="http://schemas.openxmlformats.org/officeDocument/2006/relationships/hyperlink" Target="https://www.otodom.pl/pl/oferta/garaz-w-bryle-3pokoje-gotowe-rzeszow-biala-ID4lb5t" TargetMode="External"/><Relationship Id="rId752" Type="http://schemas.openxmlformats.org/officeDocument/2006/relationships/hyperlink" Target="https://www.otodom.pl/pl/oferta/atrakcyjne-umeblowane-mieszkanie-76-m2-ID4o4fw" TargetMode="External"/><Relationship Id="rId184" Type="http://schemas.openxmlformats.org/officeDocument/2006/relationships/hyperlink" Target="https://www.otodom.pl/pl/oferta/zakatek-ozdobna-m11-b6-3-pokoje-ID4n16C" TargetMode="External"/><Relationship Id="rId391" Type="http://schemas.openxmlformats.org/officeDocument/2006/relationships/hyperlink" Target="https://otodom.pl/pl/oferta/piekny-apartament-4pok-79-30m2-komorka-taras-garaz-ID4mmhN" TargetMode="External"/><Relationship Id="rId405" Type="http://schemas.openxmlformats.org/officeDocument/2006/relationships/hyperlink" Target="https://otodom.pl/pl/oferta/piekne-mieszkanie-w-centrum-od-dewelopera-ID4iI2j" TargetMode="External"/><Relationship Id="rId612" Type="http://schemas.openxmlformats.org/officeDocument/2006/relationships/hyperlink" Target="https://www.otodom.pl/pl/oferta/2-pokojowe-nowe-miasto-ID4nGUC" TargetMode="External"/><Relationship Id="rId251" Type="http://schemas.openxmlformats.org/officeDocument/2006/relationships/hyperlink" Target="https://www.otodom.pl/pl/oferta/atrakcyjny-w-pelni-wyposazony-dom-pod-wadowicami-ID4nArf" TargetMode="External"/><Relationship Id="rId489" Type="http://schemas.openxmlformats.org/officeDocument/2006/relationships/hyperlink" Target="https://www.otodom.pl/pl/oferta/szykowny-2-pokojowy-apartament-we-wladyslawowie-ID4nYYD" TargetMode="External"/><Relationship Id="rId696" Type="http://schemas.openxmlformats.org/officeDocument/2006/relationships/hyperlink" Target="https://www.otodom.pl/pl/oferta/umeblowane-przestronne-mieszkanie-na-ul-glebockiej-ID4opbE" TargetMode="External"/><Relationship Id="rId917" Type="http://schemas.openxmlformats.org/officeDocument/2006/relationships/hyperlink" Target="https://www.otodom.pl/pl/oferta/duzy-dom-dla-rodziny-ID4kCt4" TargetMode="External"/><Relationship Id="rId46" Type="http://schemas.openxmlformats.org/officeDocument/2006/relationships/hyperlink" Target="https://www.otodom.pl/pl/oferta/apartament-w-prestizowej-inwestycji-blisko-morza-ID4nS7v" TargetMode="External"/><Relationship Id="rId349" Type="http://schemas.openxmlformats.org/officeDocument/2006/relationships/hyperlink" Target="https://otodom.pl/pl/oferta/4-pokoje-z-balkonem-60m2-narciarska-ID4m7CB" TargetMode="External"/><Relationship Id="rId556" Type="http://schemas.openxmlformats.org/officeDocument/2006/relationships/hyperlink" Target="https://www.otodom.pl/pl/oferta/wyremontowane-w-idealnym-stanie-technicznym-62m2-ID4lVyH" TargetMode="External"/><Relationship Id="rId763" Type="http://schemas.openxmlformats.org/officeDocument/2006/relationships/hyperlink" Target="https://www.otodom.pl/pl/oferta/w-cenie-mieszkania-miejsce-postojowe-ID4nVlw" TargetMode="External"/><Relationship Id="rId111" Type="http://schemas.openxmlformats.org/officeDocument/2006/relationships/hyperlink" Target="https://www.otodom.pl/pl/oferta/nowe-deweloperskie-4-pokojowe-z-duza-loggia-winda-ID4nujL" TargetMode="External"/><Relationship Id="rId195" Type="http://schemas.openxmlformats.org/officeDocument/2006/relationships/hyperlink" Target="https://www.otodom.pl/pl/oferta/walbrzyska-21-nowa-inwestycja-36-m2-ID4nx45" TargetMode="External"/><Relationship Id="rId209" Type="http://schemas.openxmlformats.org/officeDocument/2006/relationships/hyperlink" Target="https://www.otodom.pl/pl/oferta/dwupoziomowe-mieszkanie-wolne-od-zaraz-ID4oB4Z" TargetMode="External"/><Relationship Id="rId416" Type="http://schemas.openxmlformats.org/officeDocument/2006/relationships/hyperlink" Target="https://otodom.pl/pl/oferta/apartament-w-centrum-z-przepieknym-widokiem-ID4j87k" TargetMode="External"/><Relationship Id="rId970" Type="http://schemas.openxmlformats.org/officeDocument/2006/relationships/hyperlink" Target="https://otodom.pl/pl/oferta/wyjatkowe-4-pokojowe-mieszkanie-w-centrum-bytomia-ID4ljg5" TargetMode="External"/><Relationship Id="rId623" Type="http://schemas.openxmlformats.org/officeDocument/2006/relationships/hyperlink" Target="https://www.otodom.pl/pl/oferta/nowe-mieszkanie-lodz-ul-pienista-2-pokoje-3p-ID4nYcv" TargetMode="External"/><Relationship Id="rId830" Type="http://schemas.openxmlformats.org/officeDocument/2006/relationships/hyperlink" Target="https://www.otodom.pl/pl/oferta/segment-top-5-pok-ogrodek-klucze-w-lutym-ID4oGT3" TargetMode="External"/><Relationship Id="rId928" Type="http://schemas.openxmlformats.org/officeDocument/2006/relationships/hyperlink" Target="https://www.otodom.pl/pl/oferta/sloneczne-trzypokojowe-mieszkanie-z-balkonem-ID4nIbK" TargetMode="External"/><Relationship Id="rId57" Type="http://schemas.openxmlformats.org/officeDocument/2006/relationships/hyperlink" Target="https://www.otodom.pl/pl/oferta/przepiekny-apartament-w-zabytkowej-willi-w-orlowie-ID4nRZG" TargetMode="External"/><Relationship Id="rId262" Type="http://schemas.openxmlformats.org/officeDocument/2006/relationships/hyperlink" Target="https://otodom.pl/pl/oferta/2-pokojowe-mieszkanie-z-balkonem-ID4lea4" TargetMode="External"/><Relationship Id="rId567" Type="http://schemas.openxmlformats.org/officeDocument/2006/relationships/hyperlink" Target="https://www.otodom.pl/pl/oferta/okazja-4940zl-m2-stare-miasto-idealne-na-gabinet-ID4oEog" TargetMode="External"/><Relationship Id="rId122" Type="http://schemas.openxmlformats.org/officeDocument/2006/relationships/hyperlink" Target="https://www.otodom.pl/pl/oferta/rodzinny-zakatek-gotowe-do-odbioru-ID4ng7i" TargetMode="External"/><Relationship Id="rId774" Type="http://schemas.openxmlformats.org/officeDocument/2006/relationships/hyperlink" Target="https://www.otodom.pl/pl/oferta/ii-etap-staroniwskie-sady-ID4onrZ" TargetMode="External"/><Relationship Id="rId981" Type="http://schemas.openxmlformats.org/officeDocument/2006/relationships/hyperlink" Target="https://otodom.pl/pl/oferta/dwupoziomowy-apartament-wawer-ID4kBfz" TargetMode="External"/><Relationship Id="rId427" Type="http://schemas.openxmlformats.org/officeDocument/2006/relationships/hyperlink" Target="https://otodom.pl/pl/oferta/apartament-mierzeja-wislana-34-73-m2-z-ogrodkiem-ID3QiYQ" TargetMode="External"/><Relationship Id="rId634" Type="http://schemas.openxmlformats.org/officeDocument/2006/relationships/hyperlink" Target="https://www.otodom.pl/pl/oferta/nowy-apartament-w-myszkowie-bez-prowizji-ID4bjbb" TargetMode="External"/><Relationship Id="rId841" Type="http://schemas.openxmlformats.org/officeDocument/2006/relationships/hyperlink" Target="https://otodom.pl/pl/oferta/nowe-wykonczone-mieszkanie-z-balkonem-i-ogrodem-ID4jIZU" TargetMode="External"/><Relationship Id="rId273" Type="http://schemas.openxmlformats.org/officeDocument/2006/relationships/hyperlink" Target="https://otodom.pl/pl/oferta/mieszkanie-ursynow-85-m2-przy-sggw-ID4lr5u" TargetMode="External"/><Relationship Id="rId480" Type="http://schemas.openxmlformats.org/officeDocument/2006/relationships/hyperlink" Target="https://www.otodom.pl/pl/oferta/zabobrze-78-36m2-balkon-winda-w-pelni-wyposazone-ID4oIID" TargetMode="External"/><Relationship Id="rId701" Type="http://schemas.openxmlformats.org/officeDocument/2006/relationships/hyperlink" Target="https://www.otodom.pl/pl/oferta/ul-lubraniecka-parter-35-2m2-2-pokoje-ID4op5x" TargetMode="External"/><Relationship Id="rId939" Type="http://schemas.openxmlformats.org/officeDocument/2006/relationships/hyperlink" Target="https://otodom.pl/pl/oferta/wyremontowana-umeblowana-kawalerka-z-co-ID4mqfN" TargetMode="External"/><Relationship Id="rId68" Type="http://schemas.openxmlformats.org/officeDocument/2006/relationships/hyperlink" Target="https://www.otodom.pl/pl/oferta/pietro-domu-m-konopnickiej-goleniow-ID4mwGn" TargetMode="External"/><Relationship Id="rId133" Type="http://schemas.openxmlformats.org/officeDocument/2006/relationships/hyperlink" Target="https://www.otodom.pl/pl/oferta/rewelacyjna-oferta-dla-rodziny-lub-na-inwestycje-ID4o7mr" TargetMode="External"/><Relationship Id="rId340" Type="http://schemas.openxmlformats.org/officeDocument/2006/relationships/hyperlink" Target="https://otodom.pl/pl/oferta/pinea-mieszkanie-nad-morzem-ID4jR7b" TargetMode="External"/><Relationship Id="rId578" Type="http://schemas.openxmlformats.org/officeDocument/2006/relationships/hyperlink" Target="https://www.otodom.pl/pl/oferta/mieszkanie-w-szeregowcu-z-ogrodkiem-blisko-jeziora-ID4lUuV" TargetMode="External"/><Relationship Id="rId785" Type="http://schemas.openxmlformats.org/officeDocument/2006/relationships/hyperlink" Target="https://www.otodom.pl/pl/oferta/penthouse-70m-taras-ciche-miasteczko-wilanow-ID4lVdS" TargetMode="External"/><Relationship Id="rId992" Type="http://schemas.openxmlformats.org/officeDocument/2006/relationships/hyperlink" Target="https://otodom.pl/pl/oferta/dwupoziomowe-3-pokoje-65-3m2-bez-skosow-rodzina-ID4k7Kg" TargetMode="External"/><Relationship Id="rId200" Type="http://schemas.openxmlformats.org/officeDocument/2006/relationships/hyperlink" Target="https://www.otodom.pl/pl/oferta/mieszkania-4-pokojowe-z-balkonem-super-lokalizacja-ID4o1BC" TargetMode="External"/><Relationship Id="rId438" Type="http://schemas.openxmlformats.org/officeDocument/2006/relationships/hyperlink" Target="https://otodom.pl/pl/oferta/apartament-w-nadmorskiej-jastarni-ID4jJJV" TargetMode="External"/><Relationship Id="rId645" Type="http://schemas.openxmlformats.org/officeDocument/2006/relationships/hyperlink" Target="https://www.otodom.pl/pl/oferta/duze-mieszkanie-w-atrakcyjnej-cenie-ID4i4TL" TargetMode="External"/><Relationship Id="rId852" Type="http://schemas.openxmlformats.org/officeDocument/2006/relationships/hyperlink" Target="https://www.otodom.pl/pl/oferta/3m-do-wejscia-zabiniec-dwupoziomowe-ID4oxrX" TargetMode="External"/><Relationship Id="rId284" Type="http://schemas.openxmlformats.org/officeDocument/2006/relationships/hyperlink" Target="https://otodom.pl/pl/oferta/nieruchomosc-z-potencjalem-nowa-cena-ID4jGzs" TargetMode="External"/><Relationship Id="rId491" Type="http://schemas.openxmlformats.org/officeDocument/2006/relationships/hyperlink" Target="https://www.otodom.pl/pl/oferta/kawalerka-szczepin-okazja-27m2-piwnica-ID4oISo" TargetMode="External"/><Relationship Id="rId505" Type="http://schemas.openxmlformats.org/officeDocument/2006/relationships/hyperlink" Target="https://www.otodom.pl/pl/oferta/nowe-i-wyjatkowe-3-pok-z-balkonem-grzegorzecka-ID4olnY" TargetMode="External"/><Relationship Id="rId712" Type="http://schemas.openxmlformats.org/officeDocument/2006/relationships/hyperlink" Target="https://www.otodom.pl/pl/oferta/apartament-nad-morzem-debina-i-linia-brzegowa-ID4fIlJ" TargetMode="External"/><Relationship Id="rId79" Type="http://schemas.openxmlformats.org/officeDocument/2006/relationships/hyperlink" Target="https://www.otodom.pl/pl/oferta/nowe-mieszkanie-na-1-pietrze-28m2-katedralna-10-ID4no4i" TargetMode="External"/><Relationship Id="rId144" Type="http://schemas.openxmlformats.org/officeDocument/2006/relationships/hyperlink" Target="https://www.otodom.pl/pl/oferta/2-pokoje-duzy-taras-komorka-m-postojowe-wielicka-ID4ovpV" TargetMode="External"/><Relationship Id="rId589" Type="http://schemas.openxmlformats.org/officeDocument/2006/relationships/hyperlink" Target="https://www.otodom.pl/pl/oferta/m-3-4-centrum-ok-w-mlynskiej-80-81m2-iip-449000zl-ID4m2gi" TargetMode="External"/><Relationship Id="rId796" Type="http://schemas.openxmlformats.org/officeDocument/2006/relationships/hyperlink" Target="https://www.otodom.pl/pl/oferta/pod-klucz-apartament-sunday-ustronie-morskie-ID4js5k" TargetMode="External"/><Relationship Id="rId351" Type="http://schemas.openxmlformats.org/officeDocument/2006/relationships/hyperlink" Target="https://otodom.pl/pl/oferta/apartament-2-pokojowy-w-dune-mielno-20m-od-plazy-ID4fWPo" TargetMode="External"/><Relationship Id="rId449" Type="http://schemas.openxmlformats.org/officeDocument/2006/relationships/hyperlink" Target="https://otodom.pl/pl/oferta/apartament-z-widokiem-na-morze-ID4lcMT" TargetMode="External"/><Relationship Id="rId656" Type="http://schemas.openxmlformats.org/officeDocument/2006/relationships/hyperlink" Target="https://www.otodom.pl/pl/oferta/mieszkanie-47-70-m-duszniki-zdroj-ID4iVTO" TargetMode="External"/><Relationship Id="rId863" Type="http://schemas.openxmlformats.org/officeDocument/2006/relationships/hyperlink" Target="https://otodom.pl/pl/oferta/nowoczesne-m5-92-m2-dwupoziomowy-loft-ID4mjdn" TargetMode="External"/><Relationship Id="rId211" Type="http://schemas.openxmlformats.org/officeDocument/2006/relationships/hyperlink" Target="https://www.otodom.pl/pl/oferta/mieszkanie-1p-2-pokoje-300m-od-jeziora-olecko-ID4oA9B" TargetMode="External"/><Relationship Id="rId295" Type="http://schemas.openxmlformats.org/officeDocument/2006/relationships/hyperlink" Target="https://otodom.pl/pl/oferta/mieszkanie-w-dziwnowku-wirtualny-spacer-ID4fbsE" TargetMode="External"/><Relationship Id="rId309" Type="http://schemas.openxmlformats.org/officeDocument/2006/relationships/hyperlink" Target="https://otodom.pl/pl/oferta/mieszkanie-przy-pkp-ID4lXSG" TargetMode="External"/><Relationship Id="rId516" Type="http://schemas.openxmlformats.org/officeDocument/2006/relationships/hyperlink" Target="https://www.otodom.pl/pl/oferta/mieszkanie-65-m-gorzow-wielkopolski-ID4omjn" TargetMode="External"/><Relationship Id="rId723" Type="http://schemas.openxmlformats.org/officeDocument/2006/relationships/hyperlink" Target="https://www.otodom.pl/pl/oferta/2-pokoje-klucze-do-odbioru-osiedle-akademickie-ID4o40z" TargetMode="External"/><Relationship Id="rId930" Type="http://schemas.openxmlformats.org/officeDocument/2006/relationships/hyperlink" Target="https://www.otodom.pl/pl/oferta/apartamentowiec-brda-ID4mZDJ" TargetMode="External"/><Relationship Id="rId155" Type="http://schemas.openxmlformats.org/officeDocument/2006/relationships/hyperlink" Target="https://www.otodom.pl/pl/oferta/juz-w-sprzedazy-iv-etap-ul-lesna-ID4mCnJ" TargetMode="External"/><Relationship Id="rId362" Type="http://schemas.openxmlformats.org/officeDocument/2006/relationships/hyperlink" Target="https://otodom.pl/pl/oferta/apartamenty-kasprowicza-apartament-c215-ID4chQ3" TargetMode="External"/><Relationship Id="rId222" Type="http://schemas.openxmlformats.org/officeDocument/2006/relationships/hyperlink" Target="https://www.otodom.pl/pl/oferta/nowe-gotowe-do-zamieszkania-pieknie-urzadzone-ID4ou8G" TargetMode="External"/><Relationship Id="rId667" Type="http://schemas.openxmlformats.org/officeDocument/2006/relationships/hyperlink" Target="https://www.otodom.pl/pl/oferta/gdansk-siedlce-2-pokojowe-mieszkanie-ID4oC8W" TargetMode="External"/><Relationship Id="rId874" Type="http://schemas.openxmlformats.org/officeDocument/2006/relationships/hyperlink" Target="https://otodom.pl/pl/oferta/segment-z-ogrodkiem-i-uzytkowym-poddaszem-ID4mnJY" TargetMode="External"/><Relationship Id="rId17" Type="http://schemas.openxmlformats.org/officeDocument/2006/relationships/hyperlink" Target="https://www.otodom.pl/pl/oferta/mieszkanie-53-53-m-lublin-ID4nvtf" TargetMode="External"/><Relationship Id="rId527" Type="http://schemas.openxmlformats.org/officeDocument/2006/relationships/hyperlink" Target="https://www.otodom.pl/pl/oferta/luksusowy-apartament-w-cichej-okolicy-ID4o6aN" TargetMode="External"/><Relationship Id="rId734" Type="http://schemas.openxmlformats.org/officeDocument/2006/relationships/hyperlink" Target="https://www.otodom.pl/pl/oferta/mieszkanie-z-widokiem-na-morze-gdansk-letnica-ID4oEvV" TargetMode="External"/><Relationship Id="rId941" Type="http://schemas.openxmlformats.org/officeDocument/2006/relationships/hyperlink" Target="https://otodom.pl/pl/oferta/wyjatkowe-m-5-fordon-przylesie-ID4gZsx" TargetMode="External"/><Relationship Id="rId70" Type="http://schemas.openxmlformats.org/officeDocument/2006/relationships/hyperlink" Target="https://www.otodom.pl/pl/oferta/nowe-m3-w-kredycie-2-wzor-na-twoje-nowe-m-ID4nwrT" TargetMode="External"/><Relationship Id="rId166" Type="http://schemas.openxmlformats.org/officeDocument/2006/relationships/hyperlink" Target="https://www.otodom.pl/pl/oferta/wislany-mokotow-2-pokoje-nowe-ID4o0Zd" TargetMode="External"/><Relationship Id="rId373" Type="http://schemas.openxmlformats.org/officeDocument/2006/relationships/hyperlink" Target="https://otodom.pl/pl/oferta/65m-przy-ul-sobieskiego-os-bojary-blisko-centrum-ID4lCFL" TargetMode="External"/><Relationship Id="rId580" Type="http://schemas.openxmlformats.org/officeDocument/2006/relationships/hyperlink" Target="https://www.otodom.pl/pl/oferta/mieszkanie-w-zamosciu-81-12-m2-niski-czynsz-ID4lpmH" TargetMode="External"/><Relationship Id="rId801" Type="http://schemas.openxmlformats.org/officeDocument/2006/relationships/hyperlink" Target="https://www.otodom.pl/pl/oferta/1-pokojowe-z-ogrodkiem-ID4owhG" TargetMode="External"/><Relationship Id="rId1" Type="http://schemas.openxmlformats.org/officeDocument/2006/relationships/hyperlink" Target="https://www.otodom.pl/pl/oferta/rejtana-park-2-pokoje-41-37-m-balkon-garaz-ID4ntr2" TargetMode="External"/><Relationship Id="rId233" Type="http://schemas.openxmlformats.org/officeDocument/2006/relationships/hyperlink" Target="https://www.otodom.pl/pl/oferta/mieszkanie-w-rumi-w-otoczeniu-zieleni-i-parku-ID4nzxJ" TargetMode="External"/><Relationship Id="rId440" Type="http://schemas.openxmlformats.org/officeDocument/2006/relationships/hyperlink" Target="https://otodom.pl/pl/oferta/apartament-3-pokojowy-w-deo-plazie-piekny-widok-ID46Dhv" TargetMode="External"/><Relationship Id="rId678" Type="http://schemas.openxmlformats.org/officeDocument/2006/relationships/hyperlink" Target="https://www.otodom.pl/pl/oferta/duze-sloneczne-2-pokoje-ID4njae" TargetMode="External"/><Relationship Id="rId885" Type="http://schemas.openxmlformats.org/officeDocument/2006/relationships/hyperlink" Target="https://www.otodom.pl/pl/oferta/gwarna-8-kamienica-w-centrum-04-ID4nBUo" TargetMode="External"/><Relationship Id="rId28" Type="http://schemas.openxmlformats.org/officeDocument/2006/relationships/hyperlink" Target="https://www.otodom.pl/pl/oferta/elegancja-i-komfort-ID4ojUn" TargetMode="External"/><Relationship Id="rId300" Type="http://schemas.openxmlformats.org/officeDocument/2006/relationships/hyperlink" Target="https://otodom.pl/pl/oferta/mieszkanie-w-scislym-centrum-leborka-ID4jTAH" TargetMode="External"/><Relationship Id="rId538" Type="http://schemas.openxmlformats.org/officeDocument/2006/relationships/hyperlink" Target="https://www.otodom.pl/pl/oferta/cena-obnizona-do-zakonczenia-remontu-ID4o0cj" TargetMode="External"/><Relationship Id="rId745" Type="http://schemas.openxmlformats.org/officeDocument/2006/relationships/hyperlink" Target="https://www.otodom.pl/pl/oferta/nowoczesny-dom-120m2-swoszowice-krakow-8000-zl-m2-ID4itzr" TargetMode="External"/><Relationship Id="rId952" Type="http://schemas.openxmlformats.org/officeDocument/2006/relationships/hyperlink" Target="https://www.otodom.pl/pl/oferta/dom-z-mozliwoscia-prowadzenia-uslug-w-szczecinku-ID4lAv7" TargetMode="External"/><Relationship Id="rId81" Type="http://schemas.openxmlformats.org/officeDocument/2006/relationships/hyperlink" Target="https://www.otodom.pl/pl/oferta/2-pokoje-slawin-oddane-do-uzytku-ID4o9Uu" TargetMode="External"/><Relationship Id="rId177" Type="http://schemas.openxmlformats.org/officeDocument/2006/relationships/hyperlink" Target="https://www.otodom.pl/pl/oferta/nowe-4-pokoje-taras-wysoki-standard-promocja-ID4orNZ" TargetMode="External"/><Relationship Id="rId384" Type="http://schemas.openxmlformats.org/officeDocument/2006/relationships/hyperlink" Target="https://otodom.pl/pl/oferta/apartament-z-widokiem-na-zatoke-jurata-ID4l1Hp" TargetMode="External"/><Relationship Id="rId591" Type="http://schemas.openxmlformats.org/officeDocument/2006/relationships/hyperlink" Target="https://www.otodom.pl/pl/oferta/mieszkanie-w-nowym-na-swoim-ID4jFM9" TargetMode="External"/><Relationship Id="rId605" Type="http://schemas.openxmlformats.org/officeDocument/2006/relationships/hyperlink" Target="https://www.otodom.pl/pl/oferta/mieszkanie-poddaszowe-tanie-w-utrzymaniu-ID4mjxc" TargetMode="External"/><Relationship Id="rId812" Type="http://schemas.openxmlformats.org/officeDocument/2006/relationships/hyperlink" Target="https://otodom.pl/pl/oferta/nowy-zastal-3-pok-mieszkanie-a-2-1-05-m11-ID4iDsC" TargetMode="External"/><Relationship Id="rId244" Type="http://schemas.openxmlformats.org/officeDocument/2006/relationships/hyperlink" Target="https://www.otodom.pl/pl/oferta/5-pokoi-wiatraczna-13a-gotowiec-inwestycyjny-ID4nBVy" TargetMode="External"/><Relationship Id="rId689" Type="http://schemas.openxmlformats.org/officeDocument/2006/relationships/hyperlink" Target="https://www.otodom.pl/pl/oferta/adres-rynek-ID4lEoh" TargetMode="External"/><Relationship Id="rId896" Type="http://schemas.openxmlformats.org/officeDocument/2006/relationships/hyperlink" Target="https://otodom.pl/pl/oferta/sloneczne-mieszkanie-na-nowym-osiedlu-ID4m8xI" TargetMode="External"/><Relationship Id="rId39" Type="http://schemas.openxmlformats.org/officeDocument/2006/relationships/hyperlink" Target="https://www.otodom.pl/pl/oferta/katowice-koszutka-dunikowskiego-3-pokoje-balkon-ID4olKL" TargetMode="External"/><Relationship Id="rId451" Type="http://schemas.openxmlformats.org/officeDocument/2006/relationships/hyperlink" Target="https://otodom.pl/pl/oferta/apartamenty-bezczynszowe-z-ogrodem-ID4mchX" TargetMode="External"/><Relationship Id="rId549" Type="http://schemas.openxmlformats.org/officeDocument/2006/relationships/hyperlink" Target="https://www.otodom.pl/pl/oferta/przestronne-3-pokoje-w-chorzowie-batorym-129-m-ID4nOQo" TargetMode="External"/><Relationship Id="rId756" Type="http://schemas.openxmlformats.org/officeDocument/2006/relationships/hyperlink" Target="https://www.otodom.pl/pl/oferta/mysliwska-i-43m-i-2-pokoje-i-bk-2-i-bezposrednio-ID4miWw" TargetMode="External"/><Relationship Id="rId104" Type="http://schemas.openxmlformats.org/officeDocument/2006/relationships/hyperlink" Target="https://www.otodom.pl/pl/oferta/4-pokoje-rejon-rabienska-traktorowa-z-garazem-ID4oFn9" TargetMode="External"/><Relationship Id="rId188" Type="http://schemas.openxmlformats.org/officeDocument/2006/relationships/hyperlink" Target="https://www.otodom.pl/pl/oferta/mieszkanie-dwupoziomowe-74-m-w-piasecznie-ID4nwwE" TargetMode="External"/><Relationship Id="rId311" Type="http://schemas.openxmlformats.org/officeDocument/2006/relationships/hyperlink" Target="https://otodom.pl/pl/oferta/na-sprzedaz-mieszkanie-4-pokojowe-na-zakolu-ID4ltRC" TargetMode="External"/><Relationship Id="rId395" Type="http://schemas.openxmlformats.org/officeDocument/2006/relationships/hyperlink" Target="https://otodom.pl/pl/oferta/apartamenty-brzoskwiniowa-mieszkanie-b10-ID4ebkJ" TargetMode="External"/><Relationship Id="rId409" Type="http://schemas.openxmlformats.org/officeDocument/2006/relationships/hyperlink" Target="https://otodom.pl/pl/oferta/apartament-w-kameralnym-budynku-na-ustroniu-ID4kYHq" TargetMode="External"/><Relationship Id="rId963" Type="http://schemas.openxmlformats.org/officeDocument/2006/relationships/hyperlink" Target="https://otodom.pl/pl/oferta/przestronny-apartament-premium-obejrzyj-film-ID4j6wF" TargetMode="External"/><Relationship Id="rId92" Type="http://schemas.openxmlformats.org/officeDocument/2006/relationships/hyperlink" Target="https://www.otodom.pl/pl/oferta/historyczny-plac-krakowski-m3-od-zaraz-ID4oEy1" TargetMode="External"/><Relationship Id="rId616" Type="http://schemas.openxmlformats.org/officeDocument/2006/relationships/hyperlink" Target="https://www.otodom.pl/pl/oferta/mieszkanie-wlasnosciowe-szczecinek-soft-loft-ID4fzeS" TargetMode="External"/><Relationship Id="rId823" Type="http://schemas.openxmlformats.org/officeDocument/2006/relationships/hyperlink" Target="https://otodom.pl/pl/oferta/gotowe-do-zamieszkania-3-pokoje-62-80m2-cisowa-ID4k9TP" TargetMode="External"/><Relationship Id="rId255" Type="http://schemas.openxmlformats.org/officeDocument/2006/relationships/hyperlink" Target="https://www.otodom.pl/pl/oferta/m-5-wrzosowiak-79m2-w-pelni-wykonczone-ID4ovQg" TargetMode="External"/><Relationship Id="rId462" Type="http://schemas.openxmlformats.org/officeDocument/2006/relationships/hyperlink" Target="https://otodom.pl/pl/oferta/apartament-z-widokiem-na-morze-3-zagle-ID4miAB" TargetMode="External"/><Relationship Id="rId115" Type="http://schemas.openxmlformats.org/officeDocument/2006/relationships/hyperlink" Target="https://www.otodom.pl/pl/oferta/sprzedam-mieszkanie-na-starowce-ID4ou0s" TargetMode="External"/><Relationship Id="rId322" Type="http://schemas.openxmlformats.org/officeDocument/2006/relationships/hyperlink" Target="https://otodom.pl/pl/oferta/3-oddzielne-pokoje-na-czubach-od-zaraz-ID4m9os" TargetMode="External"/><Relationship Id="rId767" Type="http://schemas.openxmlformats.org/officeDocument/2006/relationships/hyperlink" Target="https://www.otodom.pl/pl/oferta/mieszkanie-48-4-m2-w-krakowie-rezerwacja-do-5-2-ID4oGhu" TargetMode="External"/><Relationship Id="rId974" Type="http://schemas.openxmlformats.org/officeDocument/2006/relationships/hyperlink" Target="https://otodom.pl/pl/oferta/winda-garaz-rolety-podlogowka-klimatyzacja-ID4gfeO" TargetMode="External"/><Relationship Id="rId199" Type="http://schemas.openxmlformats.org/officeDocument/2006/relationships/hyperlink" Target="https://www.otodom.pl/pl/oferta/bez-posrednikow-nowe-mieszkanie-ul-solec-18-ID4nDaH" TargetMode="External"/><Relationship Id="rId627" Type="http://schemas.openxmlformats.org/officeDocument/2006/relationships/hyperlink" Target="https://www.otodom.pl/pl/oferta/krakow-osiedle-fi-50m2-stare-podgorze-bez-prowizji-ID4mGEF" TargetMode="External"/><Relationship Id="rId834" Type="http://schemas.openxmlformats.org/officeDocument/2006/relationships/hyperlink" Target="https://www.otodom.pl/pl/oferta/atrakcyjna-cena-4-pokoje66m2-dla-duzej-rodziny-ID4oyeE" TargetMode="External"/><Relationship Id="rId266" Type="http://schemas.openxmlformats.org/officeDocument/2006/relationships/hyperlink" Target="https://otodom.pl/pl/oferta/apartament-z-pieknym-widokiem-kosciuszki-salwator-ID4kjou" TargetMode="External"/><Relationship Id="rId473" Type="http://schemas.openxmlformats.org/officeDocument/2006/relationships/hyperlink" Target="https://www.otodom.pl/pl/oferta/okolice-ul-brzoskwiniowej-balkon-piwnica-inwest-ID4oknt" TargetMode="External"/><Relationship Id="rId680" Type="http://schemas.openxmlformats.org/officeDocument/2006/relationships/hyperlink" Target="https://www.otodom.pl/pl/oferta/unikalna-oferta-dla-inwestora-przy-rogowskiej-ID4olnq" TargetMode="External"/><Relationship Id="rId901" Type="http://schemas.openxmlformats.org/officeDocument/2006/relationships/hyperlink" Target="https://www.otodom.pl/pl/oferta/m4-do-remontu-na-polnocy-ID4oFo4" TargetMode="External"/><Relationship Id="rId30" Type="http://schemas.openxmlformats.org/officeDocument/2006/relationships/hyperlink" Target="https://www.otodom.pl/pl/oferta/mieszkanie-2-pokojowe-w-centrum-szczecina-449tys-ID4nHMj" TargetMode="External"/><Relationship Id="rId126" Type="http://schemas.openxmlformats.org/officeDocument/2006/relationships/hyperlink" Target="https://www.otodom.pl/pl/oferta/3-oddzielne-pokoje-na-11-pietrze-do-remontu-ID4mL1S" TargetMode="External"/><Relationship Id="rId333" Type="http://schemas.openxmlformats.org/officeDocument/2006/relationships/hyperlink" Target="https://otodom.pl/pl/oferta/apartament-2-pokoje-2-tarasy-ID4m7AP" TargetMode="External"/><Relationship Id="rId540" Type="http://schemas.openxmlformats.org/officeDocument/2006/relationships/hyperlink" Target="https://www.otodom.pl/pl/oferta/ulica-brzozowa-spokojna-okolica-z-placem-zabaw-ID4mEQE" TargetMode="External"/><Relationship Id="rId778" Type="http://schemas.openxmlformats.org/officeDocument/2006/relationships/hyperlink" Target="https://www.otodom.pl/pl/oferta/mieszkanie-w-centrum-miasta-przy-ul-waszyngtona-ID4oetI" TargetMode="External"/><Relationship Id="rId985" Type="http://schemas.openxmlformats.org/officeDocument/2006/relationships/hyperlink" Target="https://otodom.pl/pl/oferta/dwupoziomowe-mieszkanie-65m2-rypin-ID4ilBt" TargetMode="External"/><Relationship Id="rId638" Type="http://schemas.openxmlformats.org/officeDocument/2006/relationships/hyperlink" Target="https://www.otodom.pl/pl/oferta/godne-podziwu-2-pokojowe-mieszkanie-35-14m2-ID4onXZ" TargetMode="External"/><Relationship Id="rId845" Type="http://schemas.openxmlformats.org/officeDocument/2006/relationships/hyperlink" Target="https://www.otodom.pl/pl/oferta/3-pokojowe-gaj-dwupietrowy-apartament-garaz-ID4omlw" TargetMode="External"/><Relationship Id="rId277" Type="http://schemas.openxmlformats.org/officeDocument/2006/relationships/hyperlink" Target="https://otodom.pl/pl/oferta/mieszkanie-warte-uwagi-ID4m0WX" TargetMode="External"/><Relationship Id="rId400" Type="http://schemas.openxmlformats.org/officeDocument/2006/relationships/hyperlink" Target="https://otodom.pl/pl/oferta/75-m2-stan-deweloperski-ID4kC1Z" TargetMode="External"/><Relationship Id="rId484" Type="http://schemas.openxmlformats.org/officeDocument/2006/relationships/hyperlink" Target="https://www.otodom.pl/pl/oferta/mieszkanie-w-sercu-pruszkowa-3-pokoje-pkp-galeria-ID4ouO5" TargetMode="External"/><Relationship Id="rId705" Type="http://schemas.openxmlformats.org/officeDocument/2006/relationships/hyperlink" Target="https://www.otodom.pl/pl/oferta/apartament-na-jednym-z-najwyzszych-pieter-ID4kfQx" TargetMode="External"/><Relationship Id="rId137" Type="http://schemas.openxmlformats.org/officeDocument/2006/relationships/hyperlink" Target="https://www.otodom.pl/pl/oferta/kolobrzeg-apartament-dwupoziomowy-osiedle-polanki-ID4nd8p" TargetMode="External"/><Relationship Id="rId302" Type="http://schemas.openxmlformats.org/officeDocument/2006/relationships/hyperlink" Target="https://otodom.pl/pl/oferta/4-pok-pow-142-65-m2-balkon-niski-czynsz-ID4me5H" TargetMode="External"/><Relationship Id="rId344" Type="http://schemas.openxmlformats.org/officeDocument/2006/relationships/hyperlink" Target="https://otodom.pl/pl/oferta/apartament-przy-plazy-tre-mare-jelitkowo-ID4mmmS" TargetMode="External"/><Relationship Id="rId691" Type="http://schemas.openxmlformats.org/officeDocument/2006/relationships/hyperlink" Target="https://www.otodom.pl/pl/oferta/apartament-na-sprzedaz-w-mielnie-ul-lechitow-ID4hJ17" TargetMode="External"/><Relationship Id="rId747" Type="http://schemas.openxmlformats.org/officeDocument/2006/relationships/hyperlink" Target="https://www.otodom.pl/pl/oferta/szereg-renskie-osiedle-polecamy-ID4nBnR" TargetMode="External"/><Relationship Id="rId789" Type="http://schemas.openxmlformats.org/officeDocument/2006/relationships/hyperlink" Target="https://www.otodom.pl/pl/oferta/nowe-4-pokoje-kredyt-2-cena-do-konca-tygodnia-ID4orYL" TargetMode="External"/><Relationship Id="rId912" Type="http://schemas.openxmlformats.org/officeDocument/2006/relationships/hyperlink" Target="https://otodom.pl/pl/oferta/unikalne-mieszkanie-z-widokiem-na-rzeke-warta-0-ID4haF1" TargetMode="External"/><Relationship Id="rId954" Type="http://schemas.openxmlformats.org/officeDocument/2006/relationships/hyperlink" Target="https://otodom.pl/pl/oferta/winda-rolety-zewnetrzne-podlogowka-klimatyzacja-ID4e4Q7" TargetMode="External"/><Relationship Id="rId996" Type="http://schemas.openxmlformats.org/officeDocument/2006/relationships/hyperlink" Target="https://otodom.pl/pl/oferta/wyjatkowo-przestronne-z-ogrodkiem-ID4lYP0" TargetMode="External"/><Relationship Id="rId41" Type="http://schemas.openxmlformats.org/officeDocument/2006/relationships/hyperlink" Target="https://www.otodom.pl/pl/oferta/siekierki-wielkie-100m2-ID4nnu7" TargetMode="External"/><Relationship Id="rId83" Type="http://schemas.openxmlformats.org/officeDocument/2006/relationships/hyperlink" Target="https://www.otodom.pl/pl/oferta/2-pokoje-w-centrum-tarnowa-ID4oaxO" TargetMode="External"/><Relationship Id="rId179" Type="http://schemas.openxmlformats.org/officeDocument/2006/relationships/hyperlink" Target="https://www.otodom.pl/pl/oferta/2-pokoje-klucze-do-odbioru-centrum-wroclaw-ID4ov9Q" TargetMode="External"/><Relationship Id="rId386" Type="http://schemas.openxmlformats.org/officeDocument/2006/relationships/hyperlink" Target="https://otodom.pl/pl/oferta/pinea-mieszkanie-nad-morzem-ID4jR87" TargetMode="External"/><Relationship Id="rId551" Type="http://schemas.openxmlformats.org/officeDocument/2006/relationships/hyperlink" Target="https://www.otodom.pl/pl/oferta/3-pokoje-na-staszica-ID4oEMF" TargetMode="External"/><Relationship Id="rId593" Type="http://schemas.openxmlformats.org/officeDocument/2006/relationships/hyperlink" Target="https://www.otodom.pl/pl/oferta/mieszkanie-ok-63m2-gotowe-do-zamieszkania-ID4htyp" TargetMode="External"/><Relationship Id="rId607" Type="http://schemas.openxmlformats.org/officeDocument/2006/relationships/hyperlink" Target="https://www.otodom.pl/pl/oferta/mieszkanie-w-inwestycji-arka-nova-ID4hNUj" TargetMode="External"/><Relationship Id="rId649" Type="http://schemas.openxmlformats.org/officeDocument/2006/relationships/hyperlink" Target="https://www.otodom.pl/pl/oferta/5pok-taras-65m2-loft-gdynia-garaz-komorka-ID4mz3F" TargetMode="External"/><Relationship Id="rId814" Type="http://schemas.openxmlformats.org/officeDocument/2006/relationships/hyperlink" Target="https://www.otodom.pl/pl/oferta/mieszkanie-2-pokoje-os-slowiki-w-olkuszu-48-80m2-ID4n6uU" TargetMode="External"/><Relationship Id="rId856" Type="http://schemas.openxmlformats.org/officeDocument/2006/relationships/hyperlink" Target="https://www.otodom.pl/pl/oferta/sprzedam-kawalerke-chorzow-sobieskiego-18-ID4l4ST" TargetMode="External"/><Relationship Id="rId190" Type="http://schemas.openxmlformats.org/officeDocument/2006/relationships/hyperlink" Target="https://www.otodom.pl/pl/oferta/4-pokoje-ogrod-76-m2-ul-plochocinska-2025-ID4ov4j" TargetMode="External"/><Relationship Id="rId204" Type="http://schemas.openxmlformats.org/officeDocument/2006/relationships/hyperlink" Target="https://www.otodom.pl/pl/oferta/duzy-rodzinny-dom-szybki-dojazd-do-warszawy-s7-ID4oCjZ" TargetMode="External"/><Relationship Id="rId246" Type="http://schemas.openxmlformats.org/officeDocument/2006/relationships/hyperlink" Target="https://www.otodom.pl/pl/oferta/dwupoziomowe-mieszkanie-na-sprzedaz-bronowice-ID4olD1" TargetMode="External"/><Relationship Id="rId288" Type="http://schemas.openxmlformats.org/officeDocument/2006/relationships/hyperlink" Target="https://otodom.pl/pl/oferta/apartamenty-w-gornych-korabnikach-ID4g5Vp" TargetMode="External"/><Relationship Id="rId411" Type="http://schemas.openxmlformats.org/officeDocument/2006/relationships/hyperlink" Target="https://otodom.pl/pl/oferta/apartament-w-gdyni-wielki-kack-ID4a3du" TargetMode="External"/><Relationship Id="rId453" Type="http://schemas.openxmlformats.org/officeDocument/2006/relationships/hyperlink" Target="https://otodom.pl/pl/oferta/80-m2-apartament-z-tarasem-krakow-pradnik-bialy-ID4l0ao" TargetMode="External"/><Relationship Id="rId509" Type="http://schemas.openxmlformats.org/officeDocument/2006/relationships/hyperlink" Target="https://www.otodom.pl/pl/oferta/bezrzecze-os-dolina-slonca-apartament-z-tarasem-ID4nlE4" TargetMode="External"/><Relationship Id="rId660" Type="http://schemas.openxmlformats.org/officeDocument/2006/relationships/hyperlink" Target="https://www.otodom.pl/pl/oferta/dom-mielno-ID4j234" TargetMode="External"/><Relationship Id="rId898" Type="http://schemas.openxmlformats.org/officeDocument/2006/relationships/hyperlink" Target="https://otodom.pl/pl/oferta/stylowa-kawalerka-w-kamienicy-m14-ID4k3Hh" TargetMode="External"/><Relationship Id="rId106" Type="http://schemas.openxmlformats.org/officeDocument/2006/relationships/hyperlink" Target="https://www.otodom.pl/pl/oferta/m3-rakow-z-balkonem-ID4npO3" TargetMode="External"/><Relationship Id="rId313" Type="http://schemas.openxmlformats.org/officeDocument/2006/relationships/hyperlink" Target="https://otodom.pl/pl/oferta/apartamenty-kasprowicza-apartament-c410-ID4chSL" TargetMode="External"/><Relationship Id="rId495" Type="http://schemas.openxmlformats.org/officeDocument/2006/relationships/hyperlink" Target="https://www.otodom.pl/pl/oferta/3-kawalerki-w-jednym-ul-podwislocze-ID4ofJf" TargetMode="External"/><Relationship Id="rId716" Type="http://schemas.openxmlformats.org/officeDocument/2006/relationships/hyperlink" Target="https://www.otodom.pl/pl/oferta/apartament-z-2-balkonami-przy-metrze-ID4mcHk" TargetMode="External"/><Relationship Id="rId758" Type="http://schemas.openxmlformats.org/officeDocument/2006/relationships/hyperlink" Target="https://www.otodom.pl/pl/oferta/na-sprzedaz-dom-rybnik-radziejow-duza-dzialka-ID4lYBy" TargetMode="External"/><Relationship Id="rId923" Type="http://schemas.openxmlformats.org/officeDocument/2006/relationships/hyperlink" Target="https://otodom.pl/pl/oferta/ladne-2-pokoje-na-sprzedaz-ID4m2ee" TargetMode="External"/><Relationship Id="rId965" Type="http://schemas.openxmlformats.org/officeDocument/2006/relationships/hyperlink" Target="https://otodom.pl/pl/oferta/parlamer-pobierowo-przestronne-mieszkanie-a03-ID4iplr" TargetMode="External"/><Relationship Id="rId10" Type="http://schemas.openxmlformats.org/officeDocument/2006/relationships/hyperlink" Target="https://www.otodom.pl/pl/oferta/przestronne-3-pokoje-w-swidwinie-ID4orDF" TargetMode="External"/><Relationship Id="rId52" Type="http://schemas.openxmlformats.org/officeDocument/2006/relationships/hyperlink" Target="https://www.otodom.pl/pl/oferta/3-pokoje-skm-km-bezposrednio-bez-prowizji-ID4ibfv" TargetMode="External"/><Relationship Id="rId94" Type="http://schemas.openxmlformats.org/officeDocument/2006/relationships/hyperlink" Target="https://www.otodom.pl/pl/oferta/okolice-ul-welnianej-lux-balkon-rozklad-ID4opl6" TargetMode="External"/><Relationship Id="rId148" Type="http://schemas.openxmlformats.org/officeDocument/2006/relationships/hyperlink" Target="https://www.otodom.pl/pl/oferta/ogrodzony-blok-2-lub-3-pokoje-do-wejscia-ID4osda" TargetMode="External"/><Relationship Id="rId355" Type="http://schemas.openxmlformats.org/officeDocument/2006/relationships/hyperlink" Target="https://otodom.pl/pl/oferta/apartament-z-widokiem-na-morze-k-gdyni-ID2XnGX" TargetMode="External"/><Relationship Id="rId397" Type="http://schemas.openxmlformats.org/officeDocument/2006/relationships/hyperlink" Target="https://otodom.pl/pl/oferta/4-pokojowe-energooszczedne-mieszkanie-ID4lv4n" TargetMode="External"/><Relationship Id="rId520" Type="http://schemas.openxmlformats.org/officeDocument/2006/relationships/hyperlink" Target="https://www.otodom.pl/pl/oferta/mieszkanie-torun-ID4oie0" TargetMode="External"/><Relationship Id="rId562" Type="http://schemas.openxmlformats.org/officeDocument/2006/relationships/hyperlink" Target="https://www.otodom.pl/pl/oferta/mieszkanie-3-pokojowe-ul-hetmanska-ID4lUXU" TargetMode="External"/><Relationship Id="rId618" Type="http://schemas.openxmlformats.org/officeDocument/2006/relationships/hyperlink" Target="https://www.otodom.pl/pl/oferta/mieszkanie-warszawa-mokotow-sluzewiec-ID4k51P" TargetMode="External"/><Relationship Id="rId825" Type="http://schemas.openxmlformats.org/officeDocument/2006/relationships/hyperlink" Target="https://otodom.pl/pl/oferta/nowe-mieszkanie-2-pokoje-z-balkonem-parking-w-hali-ID4mcMi" TargetMode="External"/><Relationship Id="rId215" Type="http://schemas.openxmlformats.org/officeDocument/2006/relationships/hyperlink" Target="https://www.otodom.pl/pl/oferta/3-pokojowe-duzy-parking-ogolnodostepny-ID4nUOZ" TargetMode="External"/><Relationship Id="rId257" Type="http://schemas.openxmlformats.org/officeDocument/2006/relationships/hyperlink" Target="https://www.otodom.pl/pl/oferta/3-pokoje-doskonala-lokalizacja-ID4ovrh" TargetMode="External"/><Relationship Id="rId422" Type="http://schemas.openxmlformats.org/officeDocument/2006/relationships/hyperlink" Target="https://otodom.pl/pl/oferta/apartament-pod-skocznia-w-stanie-deweloperskim-ID4kGTr" TargetMode="External"/><Relationship Id="rId464" Type="http://schemas.openxmlformats.org/officeDocument/2006/relationships/hyperlink" Target="https://otodom.pl/pl/oferta/apartament-nad-morzem-23-vat-obsluga-najmu-ID4mfvN" TargetMode="External"/><Relationship Id="rId867" Type="http://schemas.openxmlformats.org/officeDocument/2006/relationships/hyperlink" Target="https://www.otodom.pl/pl/oferta/mieszkanie-3-pokoje-i-standard-premium-i-klonowa-ID4nNoN" TargetMode="External"/><Relationship Id="rId299" Type="http://schemas.openxmlformats.org/officeDocument/2006/relationships/hyperlink" Target="https://otodom.pl/pl/oferta/4-pokoje-gotowe-do-zamieszkania-gdynia-dabrowa-ID4lxX9" TargetMode="External"/><Relationship Id="rId727" Type="http://schemas.openxmlformats.org/officeDocument/2006/relationships/hyperlink" Target="https://www.otodom.pl/pl/oferta/3-pokojowe-mieszkanie-71m2-2-loggie-bezposrednio-ID4m081" TargetMode="External"/><Relationship Id="rId934" Type="http://schemas.openxmlformats.org/officeDocument/2006/relationships/hyperlink" Target="https://otodom.pl/pl/oferta/wygodny-dom-rudawa-zabierzow-nowa-cena-ID4kY3i" TargetMode="External"/><Relationship Id="rId63" Type="http://schemas.openxmlformats.org/officeDocument/2006/relationships/hyperlink" Target="https://www.otodom.pl/pl/oferta/eleganckie-mieszkanie-z-balkonem-w-zielonymzakatku-ID4osWR" TargetMode="External"/><Relationship Id="rId159" Type="http://schemas.openxmlformats.org/officeDocument/2006/relationships/hyperlink" Target="https://www.otodom.pl/pl/oferta/przyjazni-3-pokoje-niski-blok-ID4o1W9" TargetMode="External"/><Relationship Id="rId366" Type="http://schemas.openxmlformats.org/officeDocument/2006/relationships/hyperlink" Target="https://otodom.pl/pl/oferta/piekne-mieszkanie-dla-rodziny-miejsce-parkingowe-ID4cZzA" TargetMode="External"/><Relationship Id="rId573" Type="http://schemas.openxmlformats.org/officeDocument/2006/relationships/hyperlink" Target="https://www.otodom.pl/pl/oferta/mieszkanie-w-centrum-czestochowy-ID4fdvc" TargetMode="External"/><Relationship Id="rId780" Type="http://schemas.openxmlformats.org/officeDocument/2006/relationships/hyperlink" Target="https://www.otodom.pl/pl/oferta/luksusowy-apartament-w-kameralnej-czesci-pucka-a01-ID4lk01" TargetMode="External"/><Relationship Id="rId226" Type="http://schemas.openxmlformats.org/officeDocument/2006/relationships/hyperlink" Target="https://www.otodom.pl/pl/oferta/44-70m2-gdansk-suchanino-gotowe-do-odbioru-ID4onvi" TargetMode="External"/><Relationship Id="rId433" Type="http://schemas.openxmlformats.org/officeDocument/2006/relationships/hyperlink" Target="https://otodom.pl/pl/oferta/apartament-sunday-resort-ustronie-morskie-ID4jrRc" TargetMode="External"/><Relationship Id="rId878" Type="http://schemas.openxmlformats.org/officeDocument/2006/relationships/hyperlink" Target="https://www.otodom.pl/pl/oferta/mieszknie-3-pokojowe-na-ochocie-ul-pruszkowska-ID4oDjg" TargetMode="External"/><Relationship Id="rId640" Type="http://schemas.openxmlformats.org/officeDocument/2006/relationships/hyperlink" Target="https://www.otodom.pl/pl/oferta/atrakcyjna-lokalizacja-gotowe-na-wynajem-ID4osnw" TargetMode="External"/><Relationship Id="rId738" Type="http://schemas.openxmlformats.org/officeDocument/2006/relationships/hyperlink" Target="https://www.otodom.pl/pl/oferta/obnizka-duze-2pok-parter-i-ogrodek-suchostrzygi-ID4ouMf" TargetMode="External"/><Relationship Id="rId945" Type="http://schemas.openxmlformats.org/officeDocument/2006/relationships/hyperlink" Target="https://otodom.pl/pl/oferta/wyposazone-mieszkanie-1pok-32m2-al-jerozolimskie-ID4k49o" TargetMode="External"/><Relationship Id="rId74" Type="http://schemas.openxmlformats.org/officeDocument/2006/relationships/hyperlink" Target="https://www.otodom.pl/pl/oferta/mieszkanie-46-7m2-ID4nnEP" TargetMode="External"/><Relationship Id="rId377" Type="http://schemas.openxmlformats.org/officeDocument/2006/relationships/hyperlink" Target="https://otodom.pl/pl/oferta/piekna-kamienica-w-kapitalnej-lokalizacji-ID4l37Z" TargetMode="External"/><Relationship Id="rId500" Type="http://schemas.openxmlformats.org/officeDocument/2006/relationships/hyperlink" Target="https://www.otodom.pl/pl/oferta/dom-174-m-nowizna-ID4nVyp" TargetMode="External"/><Relationship Id="rId584" Type="http://schemas.openxmlformats.org/officeDocument/2006/relationships/hyperlink" Target="https://www.otodom.pl/pl/oferta/mieszkanie-w-szczebrzeszynie-ID4o1BZ" TargetMode="External"/><Relationship Id="rId805" Type="http://schemas.openxmlformats.org/officeDocument/2006/relationships/hyperlink" Target="https://www.otodom.pl/pl/oferta/duze-mieszkanie-w-kamienicy-na-wildzie-ID4lGbD" TargetMode="External"/><Relationship Id="rId5" Type="http://schemas.openxmlformats.org/officeDocument/2006/relationships/hyperlink" Target="https://www.otodom.pl/pl/oferta/mieszkanie-nad-motlawa-po-remoncie-w-centrum-ID4om2A" TargetMode="External"/><Relationship Id="rId237" Type="http://schemas.openxmlformats.org/officeDocument/2006/relationships/hyperlink" Target="https://www.otodom.pl/pl/oferta/sprzedam-mieszkanie-gdansk-aniolki-ul-debinki-ID4ood3" TargetMode="External"/><Relationship Id="rId791" Type="http://schemas.openxmlformats.org/officeDocument/2006/relationships/hyperlink" Target="https://www.otodom.pl/pl/oferta/dom-wolnostojacy-w-otulinie-puszczy-kampinoskiej-ID4obzU" TargetMode="External"/><Relationship Id="rId889" Type="http://schemas.openxmlformats.org/officeDocument/2006/relationships/hyperlink" Target="https://www.otodom.pl/pl/oferta/przestronne-mieszkanie-z-antresola-blisko-metra-ID4nWXd" TargetMode="External"/><Relationship Id="rId444" Type="http://schemas.openxmlformats.org/officeDocument/2006/relationships/hyperlink" Target="https://otodom.pl/pl/oferta/lokal-na-i-pietrze-pod-inwestycje-mazowiecka-29-ID4lBIN" TargetMode="External"/><Relationship Id="rId651" Type="http://schemas.openxmlformats.org/officeDocument/2006/relationships/hyperlink" Target="https://www.otodom.pl/pl/oferta/witomino-lesniczowka-mieszkanie-60-m2-i-pietro-ID4nNU7" TargetMode="External"/><Relationship Id="rId749" Type="http://schemas.openxmlformats.org/officeDocument/2006/relationships/hyperlink" Target="https://www.otodom.pl/pl/oferta/komfortowe-2-pokojowe-ID4ny65" TargetMode="External"/><Relationship Id="rId290" Type="http://schemas.openxmlformats.org/officeDocument/2006/relationships/hyperlink" Target="https://otodom.pl/pl/oferta/mieszkanie-przy-ulicy-warynskiego-ID4lOP1" TargetMode="External"/><Relationship Id="rId304" Type="http://schemas.openxmlformats.org/officeDocument/2006/relationships/hyperlink" Target="https://otodom.pl/pl/oferta/niepowtarzalny-apartament-z-ogrodem-ID4lyuc" TargetMode="External"/><Relationship Id="rId388" Type="http://schemas.openxmlformats.org/officeDocument/2006/relationships/hyperlink" Target="https://otodom.pl/pl/oferta/apartament-premium-z-tarasem-i-widokiem-na-rzeke-ID4luxd" TargetMode="External"/><Relationship Id="rId511" Type="http://schemas.openxmlformats.org/officeDocument/2006/relationships/hyperlink" Target="https://www.otodom.pl/pl/oferta/15-minut-pieszo-od-metra-ogrod-42-metry-ID4ncmn" TargetMode="External"/><Relationship Id="rId609" Type="http://schemas.openxmlformats.org/officeDocument/2006/relationships/hyperlink" Target="https://www.otodom.pl/pl/oferta/bez-prowizji-bez-pcc-ID4opcn" TargetMode="External"/><Relationship Id="rId956" Type="http://schemas.openxmlformats.org/officeDocument/2006/relationships/hyperlink" Target="https://otodom.pl/pl/oferta/dwupokojowy-apartament-z-garderoba-ID4ijgp" TargetMode="External"/><Relationship Id="rId85" Type="http://schemas.openxmlformats.org/officeDocument/2006/relationships/hyperlink" Target="https://www.otodom.pl/pl/oferta/nowe-mieszkanie-ok-70-m2-rozany-potok-ID4miS1" TargetMode="External"/><Relationship Id="rId150" Type="http://schemas.openxmlformats.org/officeDocument/2006/relationships/hyperlink" Target="https://www.otodom.pl/pl/oferta/fotowoltaika-o-podlogowe-bez-pcc-i-prowizji-ID4oy2Q" TargetMode="External"/><Relationship Id="rId595" Type="http://schemas.openxmlformats.org/officeDocument/2006/relationships/hyperlink" Target="https://www.otodom.pl/pl/oferta/mieszkanie-w-domu-dwulokalowym-w-raciborzu-ID4jlIg" TargetMode="External"/><Relationship Id="rId816" Type="http://schemas.openxmlformats.org/officeDocument/2006/relationships/hyperlink" Target="https://www.otodom.pl/pl/oferta/apartament-w-malowniczej-okolicy-ID4nKxu" TargetMode="External"/><Relationship Id="rId248" Type="http://schemas.openxmlformats.org/officeDocument/2006/relationships/hyperlink" Target="https://www.otodom.pl/pl/oferta/mieszkanie-na-sprzedaz-na-parterze-ID4otOu" TargetMode="External"/><Relationship Id="rId455" Type="http://schemas.openxmlformats.org/officeDocument/2006/relationships/hyperlink" Target="https://otodom.pl/pl/oferta/apartament-w-krynicy-morskiej-ID4l3mJ" TargetMode="External"/><Relationship Id="rId662" Type="http://schemas.openxmlformats.org/officeDocument/2006/relationships/hyperlink" Target="https://www.otodom.pl/pl/oferta/dom-do-aranzacji-jastrowie-liszyka-bez-prowizji-ID4enhf" TargetMode="External"/><Relationship Id="rId12" Type="http://schemas.openxmlformats.org/officeDocument/2006/relationships/hyperlink" Target="https://www.otodom.pl/pl/oferta/rozkladowe-3-pokojowe-mieszkanie-z-loggia-ID4obLm" TargetMode="External"/><Relationship Id="rId108" Type="http://schemas.openxmlformats.org/officeDocument/2006/relationships/hyperlink" Target="https://www.otodom.pl/pl/oferta/mieszkanie-m3-ID48mSw" TargetMode="External"/><Relationship Id="rId315" Type="http://schemas.openxmlformats.org/officeDocument/2006/relationships/hyperlink" Target="https://otodom.pl/pl/oferta/mieszkanie-30-m-konstancin-jeziorna-ID4dovj" TargetMode="External"/><Relationship Id="rId522" Type="http://schemas.openxmlformats.org/officeDocument/2006/relationships/hyperlink" Target="https://www.otodom.pl/pl/oferta/wykonczony-dom-na-pieknej-dzialce-kolo-lublina-ID4npZY" TargetMode="External"/><Relationship Id="rId967" Type="http://schemas.openxmlformats.org/officeDocument/2006/relationships/hyperlink" Target="https://otodom.pl/pl/oferta/park-moczydlo-2-pokoje-cegla-ciche-inwestycja-ID4kxxt" TargetMode="External"/><Relationship Id="rId96" Type="http://schemas.openxmlformats.org/officeDocument/2006/relationships/hyperlink" Target="https://www.otodom.pl/pl/oferta/sloneczne-3-pokoje-z-pieknym-widokiem-ID4oh0u" TargetMode="External"/><Relationship Id="rId161" Type="http://schemas.openxmlformats.org/officeDocument/2006/relationships/hyperlink" Target="https://www.otodom.pl/pl/oferta/na-sprzedaz-3-pokoje-w-bloku-na-parterze-ID4n7i5" TargetMode="External"/><Relationship Id="rId399" Type="http://schemas.openxmlformats.org/officeDocument/2006/relationships/hyperlink" Target="https://otodom.pl/pl/oferta/pietro-kamienicy-z-duza-dzialka-ID4ecO7" TargetMode="External"/><Relationship Id="rId827" Type="http://schemas.openxmlformats.org/officeDocument/2006/relationships/hyperlink" Target="https://otodom.pl/pl/oferta/mieszkanie-2-pokoje-52-49m2-duza-komorka-ID4lo9s" TargetMode="External"/><Relationship Id="rId259" Type="http://schemas.openxmlformats.org/officeDocument/2006/relationships/hyperlink" Target="https://otodom.pl/pl/oferta/mieszkanie-przy-parku-3pokoje-i-taras-ID4lYzi" TargetMode="External"/><Relationship Id="rId466" Type="http://schemas.openxmlformats.org/officeDocument/2006/relationships/hyperlink" Target="https://otodom.pl/pl/oferta/apartament-premium-64m-mielno-nad-morzem-ID4a1iZ" TargetMode="External"/><Relationship Id="rId673" Type="http://schemas.openxmlformats.org/officeDocument/2006/relationships/hyperlink" Target="https://www.otodom.pl/pl/oferta/4-pokojowe-mieszkanie-2-pietro-ul-saperow-65m2-ID4mfDU" TargetMode="External"/><Relationship Id="rId880" Type="http://schemas.openxmlformats.org/officeDocument/2006/relationships/hyperlink" Target="https://www.otodom.pl/pl/oferta/mieszkanie-w-tylicach-ID4nJVn" TargetMode="External"/><Relationship Id="rId23" Type="http://schemas.openxmlformats.org/officeDocument/2006/relationships/hyperlink" Target="https://www.otodom.pl/pl/oferta/ostatnia-szeregowka-ogrod-odbierz-klucze-zobacz-ID4oCVs" TargetMode="External"/><Relationship Id="rId119" Type="http://schemas.openxmlformats.org/officeDocument/2006/relationships/hyperlink" Target="https://www.otodom.pl/pl/oferta/myslowice-ustawne-m3-umeblowane-do-negocjacji-ID4o3VN" TargetMode="External"/><Relationship Id="rId326" Type="http://schemas.openxmlformats.org/officeDocument/2006/relationships/hyperlink" Target="https://otodom.pl/pl/oferta/apartament-4-pokojowy-rataje-dwa-balkony-ID4kPWB" TargetMode="External"/><Relationship Id="rId533" Type="http://schemas.openxmlformats.org/officeDocument/2006/relationships/hyperlink" Target="https://www.otodom.pl/pl/oferta/40m2-wysokie-rabaty-duzy-balon-super-miejsce-ID4oxmR" TargetMode="External"/><Relationship Id="rId978" Type="http://schemas.openxmlformats.org/officeDocument/2006/relationships/hyperlink" Target="https://otodom.pl/pl/oferta/dwupoziomowe-5-pokoi-2-lazienki-wirtualny-spacer-ID4fTdJ" TargetMode="External"/><Relationship Id="rId740" Type="http://schemas.openxmlformats.org/officeDocument/2006/relationships/hyperlink" Target="https://www.otodom.pl/pl/oferta/gotowe-apartamenty-przy-plazy-miedzywodzie-ID4ixF9" TargetMode="External"/><Relationship Id="rId838" Type="http://schemas.openxmlformats.org/officeDocument/2006/relationships/hyperlink" Target="https://otodom.pl/pl/oferta/nowe-41-m2-2-pok-ostatni-ogrod-84-m2-piatkowo-ID4misA" TargetMode="External"/><Relationship Id="rId172" Type="http://schemas.openxmlformats.org/officeDocument/2006/relationships/hyperlink" Target="https://www.otodom.pl/pl/oferta/mieszkanie-80-m2-kojace-widoki-ID4ortR" TargetMode="External"/><Relationship Id="rId477" Type="http://schemas.openxmlformats.org/officeDocument/2006/relationships/hyperlink" Target="https://www.otodom.pl/pl/oferta/mieszkanie-44m2-w-centrum-bez-posrednikow-ID4oyKA" TargetMode="External"/><Relationship Id="rId600" Type="http://schemas.openxmlformats.org/officeDocument/2006/relationships/hyperlink" Target="https://www.otodom.pl/pl/oferta/bezposrednio-blizniak-nowoczesny-duzy-ogrod-560-ID4nNja" TargetMode="External"/><Relationship Id="rId684" Type="http://schemas.openxmlformats.org/officeDocument/2006/relationships/hyperlink" Target="https://www.otodom.pl/pl/oferta/2-pokojowe-mieszkanie-z-potencjalem-do-remontu-ID4ofOJ" TargetMode="External"/><Relationship Id="rId337" Type="http://schemas.openxmlformats.org/officeDocument/2006/relationships/hyperlink" Target="https://otodom.pl/pl/oferta/apartament-3-pokojowy-oko-karkonoszy-ID4g5ZM" TargetMode="External"/><Relationship Id="rId891" Type="http://schemas.openxmlformats.org/officeDocument/2006/relationships/hyperlink" Target="https://www.otodom.pl/pl/oferta/rakow-3-pokoje-po-generalnym-remoncie-ID4oaBk" TargetMode="External"/><Relationship Id="rId905" Type="http://schemas.openxmlformats.org/officeDocument/2006/relationships/hyperlink" Target="https://www.otodom.pl/pl/oferta/przestronne-mieszkanie-na-zoliborzu-artystycznym-ID4oHSq" TargetMode="External"/><Relationship Id="rId989" Type="http://schemas.openxmlformats.org/officeDocument/2006/relationships/hyperlink" Target="https://otodom.pl/pl/oferta/ostatnie-wolne-mieszkanie-2-pokoje-odbior-2023-ID4lIvw" TargetMode="External"/><Relationship Id="rId34" Type="http://schemas.openxmlformats.org/officeDocument/2006/relationships/hyperlink" Target="https://www.otodom.pl/pl/oferta/ustawne-46m2-3-pokoje-niski-czynsz-ID4ozB3" TargetMode="External"/><Relationship Id="rId544" Type="http://schemas.openxmlformats.org/officeDocument/2006/relationships/hyperlink" Target="https://www.otodom.pl/pl/oferta/funkcjonalne-szeregowce-bezczynszowe-ogrod-kominek-ID4jAV8" TargetMode="External"/><Relationship Id="rId751" Type="http://schemas.openxmlformats.org/officeDocument/2006/relationships/hyperlink" Target="https://www.otodom.pl/pl/oferta/samo-centrum-wszystko-blisko-spodek-ktw-dworzec-ID4ohxm" TargetMode="External"/><Relationship Id="rId849" Type="http://schemas.openxmlformats.org/officeDocument/2006/relationships/hyperlink" Target="https://otodom.pl/pl/oferta/nowy-reden-apartament-premium-z-tarasem-na-dachu-ID4m3Qo" TargetMode="External"/><Relationship Id="rId183" Type="http://schemas.openxmlformats.org/officeDocument/2006/relationships/hyperlink" Target="https://www.otodom.pl/pl/oferta/3-pokojowe-mieszkanie-2-garaze-piwnica-ID4lpjE" TargetMode="External"/><Relationship Id="rId390" Type="http://schemas.openxmlformats.org/officeDocument/2006/relationships/hyperlink" Target="https://otodom.pl/pl/oferta/apartament-przy-samych-szlakach-trasach-rowerowych-ID4i9uM" TargetMode="External"/><Relationship Id="rId404" Type="http://schemas.openxmlformats.org/officeDocument/2006/relationships/hyperlink" Target="https://otodom.pl/pl/oferta/apartament-podgorze-34m2-ul-turka-ID4lNjb" TargetMode="External"/><Relationship Id="rId611" Type="http://schemas.openxmlformats.org/officeDocument/2006/relationships/hyperlink" Target="https://www.otodom.pl/pl/oferta/dom-126m2-z-widokiem-na-tatry-zakopane-olcza-ID4n28h" TargetMode="External"/><Relationship Id="rId250" Type="http://schemas.openxmlformats.org/officeDocument/2006/relationships/hyperlink" Target="https://www.otodom.pl/pl/oferta/mieszkanie-d17-osiedle-srebrniki-62-00m2-ID4mxA4" TargetMode="External"/><Relationship Id="rId488" Type="http://schemas.openxmlformats.org/officeDocument/2006/relationships/hyperlink" Target="https://www.otodom.pl/pl/oferta/przestronna-kawalerka-z-wanna-ID4oI2L" TargetMode="External"/><Relationship Id="rId695" Type="http://schemas.openxmlformats.org/officeDocument/2006/relationships/hyperlink" Target="https://www.otodom.pl/pl/oferta/kredyt-2-wysoki-rabat-okazja-cenowa-ID4opCj" TargetMode="External"/><Relationship Id="rId709" Type="http://schemas.openxmlformats.org/officeDocument/2006/relationships/hyperlink" Target="https://www.otodom.pl/pl/oferta/szczecin-centrum-kawalerka-na-sprzedaz-ID4olI6" TargetMode="External"/><Relationship Id="rId916" Type="http://schemas.openxmlformats.org/officeDocument/2006/relationships/hyperlink" Target="https://www.otodom.pl/pl/oferta/piekne-mieszkanie-przy-galerii-posnania-ID4ozFY" TargetMode="External"/><Relationship Id="rId45" Type="http://schemas.openxmlformats.org/officeDocument/2006/relationships/hyperlink" Target="https://www.otodom.pl/pl/oferta/uniqlo-szklarska-poreba-mieszkanie-a-0-6-ID4otHg" TargetMode="External"/><Relationship Id="rId110" Type="http://schemas.openxmlformats.org/officeDocument/2006/relationships/hyperlink" Target="https://www.otodom.pl/pl/oferta/kawalerka-spoldzielcze-wlasnosciowe-centrum-ID4olgG" TargetMode="External"/><Relationship Id="rId348" Type="http://schemas.openxmlformats.org/officeDocument/2006/relationships/hyperlink" Target="https://otodom.pl/pl/oferta/perfekcyjna-mikrokawalerka-z-widokiem-na-wode-ID4lYKR" TargetMode="External"/><Relationship Id="rId555" Type="http://schemas.openxmlformats.org/officeDocument/2006/relationships/hyperlink" Target="https://www.otodom.pl/pl/oferta/nowe-mieszkanie-skorzewo-3-pok-ogrodek-ID4heTd" TargetMode="External"/><Relationship Id="rId762" Type="http://schemas.openxmlformats.org/officeDocument/2006/relationships/hyperlink" Target="https://www.otodom.pl/pl/oferta/komfortowe-2balkony-parter-zamkniety-teren-centrum-ID4oG21" TargetMode="External"/><Relationship Id="rId194" Type="http://schemas.openxmlformats.org/officeDocument/2006/relationships/hyperlink" Target="https://www.otodom.pl/pl/oferta/2-pokojowe-38m2-os-hutnicze-balkon-winda-ID4otSU" TargetMode="External"/><Relationship Id="rId208" Type="http://schemas.openxmlformats.org/officeDocument/2006/relationships/hyperlink" Target="https://www.otodom.pl/pl/oferta/trzypokojowe-mieszkanie-64-mkw-w-centrum-lodzi-ID4nhfq" TargetMode="External"/><Relationship Id="rId415" Type="http://schemas.openxmlformats.org/officeDocument/2006/relationships/hyperlink" Target="https://otodom.pl/pl/oferta/piekne-mieszkanie-w-myslowicach-bezposrednio-ID4mlr0" TargetMode="External"/><Relationship Id="rId622" Type="http://schemas.openxmlformats.org/officeDocument/2006/relationships/hyperlink" Target="https://www.otodom.pl/pl/oferta/dwupokojowe-mieszkanie-do-wlasnej-aranzacji-ID4ozbb" TargetMode="External"/><Relationship Id="rId261" Type="http://schemas.openxmlformats.org/officeDocument/2006/relationships/hyperlink" Target="https://otodom.pl/pl/oferta/4-pokoje-aneks-15-minut-do-ch-wroclavia-gotowe-ID4lIO7" TargetMode="External"/><Relationship Id="rId499" Type="http://schemas.openxmlformats.org/officeDocument/2006/relationships/hyperlink" Target="https://www.otodom.pl/pl/oferta/przy-belwederskiej-bezposrednio-ID4oqkR" TargetMode="External"/><Relationship Id="rId927" Type="http://schemas.openxmlformats.org/officeDocument/2006/relationships/hyperlink" Target="https://www.otodom.pl/pl/oferta/kolobrzeg-apartament-w-villa-tarsis-ID4oAag" TargetMode="External"/><Relationship Id="rId56" Type="http://schemas.openxmlformats.org/officeDocument/2006/relationships/hyperlink" Target="https://www.otodom.pl/pl/oferta/nowe-mieszkanie-z-tarasem-bez-pcc-i-prowizji-ID4nLd0" TargetMode="External"/><Relationship Id="rId359" Type="http://schemas.openxmlformats.org/officeDocument/2006/relationships/hyperlink" Target="https://otodom.pl/pl/oferta/apartament-oko-karkonoszy-ii-etap-przedsprzedaz-ID4kIbZ" TargetMode="External"/><Relationship Id="rId566" Type="http://schemas.openxmlformats.org/officeDocument/2006/relationships/hyperlink" Target="https://www.otodom.pl/pl/oferta/2-pokojowe-do-remontu-nowa-huta-os-teatralne-ID4nXXt" TargetMode="External"/><Relationship Id="rId773" Type="http://schemas.openxmlformats.org/officeDocument/2006/relationships/hyperlink" Target="https://www.otodom.pl/pl/oferta/nowe-pawia-55-49-m2-2024-ID4nPFK" TargetMode="External"/><Relationship Id="rId121" Type="http://schemas.openxmlformats.org/officeDocument/2006/relationships/hyperlink" Target="https://www.otodom.pl/pl/oferta/mieszkanie-w-super-lokalizacji-ID4o5uT" TargetMode="External"/><Relationship Id="rId219" Type="http://schemas.openxmlformats.org/officeDocument/2006/relationships/hyperlink" Target="https://www.otodom.pl/pl/oferta/najnowsza-oferta-swietne-domy-w-czekanowie-ID4ormP" TargetMode="External"/><Relationship Id="rId426" Type="http://schemas.openxmlformats.org/officeDocument/2006/relationships/hyperlink" Target="https://otodom.pl/pl/oferta/82-4mk2-bezczynszowe-lok-c1-skrajny-ID4lGRE" TargetMode="External"/><Relationship Id="rId633" Type="http://schemas.openxmlformats.org/officeDocument/2006/relationships/hyperlink" Target="https://www.otodom.pl/pl/oferta/dwupokojowe-mieszkanie-w-okolicy-kanalu-i-centrum-ID4ieS0" TargetMode="External"/><Relationship Id="rId980" Type="http://schemas.openxmlformats.org/officeDocument/2006/relationships/hyperlink" Target="https://otodom.pl/pl/oferta/przytulna-kawalerka-29m2-taras-park-mieszczanski-ID4mfTV" TargetMode="External"/><Relationship Id="rId840" Type="http://schemas.openxmlformats.org/officeDocument/2006/relationships/hyperlink" Target="https://otodom.pl/pl/oferta/nowe-mieszkanie-z-ogrodem-os-niepodleglosci-ID4a04H" TargetMode="External"/><Relationship Id="rId938" Type="http://schemas.openxmlformats.org/officeDocument/2006/relationships/hyperlink" Target="https://otodom.pl/pl/oferta/warszawa-targowek-os-wilno-idealne-dla-rodziny-ID4lVZ7" TargetMode="External"/><Relationship Id="rId67" Type="http://schemas.openxmlformats.org/officeDocument/2006/relationships/hyperlink" Target="https://www.otodom.pl/pl/oferta/nowy-apartament-70m-nad-zalewem-polna-droga-ID4o9qw" TargetMode="External"/><Relationship Id="rId272" Type="http://schemas.openxmlformats.org/officeDocument/2006/relationships/hyperlink" Target="https://otodom.pl/pl/oferta/apartamenty-nad-bobrem-w-nowogrodzie-bobrzanskim-ID4kO0Q" TargetMode="External"/><Relationship Id="rId577" Type="http://schemas.openxmlformats.org/officeDocument/2006/relationships/hyperlink" Target="https://www.otodom.pl/pl/oferta/mieszkanie-w-stanie-deweloperskim-ID4jLKY" TargetMode="External"/><Relationship Id="rId700" Type="http://schemas.openxmlformats.org/officeDocument/2006/relationships/hyperlink" Target="https://www.otodom.pl/pl/oferta/pakiet-5-apartamenow-w-sopocie-dolnym-ID4o8ke" TargetMode="External"/><Relationship Id="rId132" Type="http://schemas.openxmlformats.org/officeDocument/2006/relationships/hyperlink" Target="https://www.otodom.pl/pl/oferta/luksusowe-mieszkanie-z-garazem-ID4myox" TargetMode="External"/><Relationship Id="rId784" Type="http://schemas.openxmlformats.org/officeDocument/2006/relationships/hyperlink" Target="https://www.otodom.pl/pl/oferta/piekny-lokal-w-wyremontowanej-kamienicy-ID4emB6" TargetMode="External"/><Relationship Id="rId991" Type="http://schemas.openxmlformats.org/officeDocument/2006/relationships/hyperlink" Target="https://otodom.pl/pl/oferta/przytulne-mieszkanie-2-pokojowe-mozliwa-zamiana-ID4kNym" TargetMode="External"/><Relationship Id="rId437" Type="http://schemas.openxmlformats.org/officeDocument/2006/relationships/hyperlink" Target="https://otodom.pl/pl/oferta/po-remoncie-3-pok-15-min-od-centrum-ID4l4BU" TargetMode="External"/><Relationship Id="rId644" Type="http://schemas.openxmlformats.org/officeDocument/2006/relationships/hyperlink" Target="https://www.otodom.pl/pl/oferta/nowy-apartament-150m-od-morza-ustronie-morskie-ID4dv0m" TargetMode="External"/><Relationship Id="rId851" Type="http://schemas.openxmlformats.org/officeDocument/2006/relationships/hyperlink" Target="https://otodom.pl/pl/oferta/nowe-mieszkanie-na-pomorzanach-ID4iKwQ" TargetMode="External"/><Relationship Id="rId283" Type="http://schemas.openxmlformats.org/officeDocument/2006/relationships/hyperlink" Target="https://otodom.pl/pl/oferta/na-sprzedaz-mieszkanie-do-remontu-ID4geB5" TargetMode="External"/><Relationship Id="rId490" Type="http://schemas.openxmlformats.org/officeDocument/2006/relationships/hyperlink" Target="https://www.otodom.pl/pl/oferta/mieszkanie-na-parterze-kawalerka-w-kredycie-2-ID4nCWE" TargetMode="External"/><Relationship Id="rId504" Type="http://schemas.openxmlformats.org/officeDocument/2006/relationships/hyperlink" Target="https://www.otodom.pl/pl/oferta/okazja-bardzo-niski-czynsz-w-centrum-3-pokoje-ID4nwhN" TargetMode="External"/><Relationship Id="rId711" Type="http://schemas.openxmlformats.org/officeDocument/2006/relationships/hyperlink" Target="https://www.otodom.pl/pl/oferta/apartament-z-pieknym-widokiem-ogrodkiem-i-tarasem-ID4bopH" TargetMode="External"/><Relationship Id="rId949" Type="http://schemas.openxmlformats.org/officeDocument/2006/relationships/hyperlink" Target="https://otodom.pl/pl/oferta/ok-sierakowa-mieszkania-deweloperskie-od-52m-81m-ID4m62T" TargetMode="External"/><Relationship Id="rId78" Type="http://schemas.openxmlformats.org/officeDocument/2006/relationships/hyperlink" Target="https://www.otodom.pl/pl/oferta/mieszkanie-w-nowym-bloku-przy-ul-dlugiej-ID4oCVA" TargetMode="External"/><Relationship Id="rId143" Type="http://schemas.openxmlformats.org/officeDocument/2006/relationships/hyperlink" Target="https://www.otodom.pl/pl/oferta/inwestycyjne-4-pokoje-przy-strefy-ekonomicznej-ID4lFWb" TargetMode="External"/><Relationship Id="rId350" Type="http://schemas.openxmlformats.org/officeDocument/2006/relationships/hyperlink" Target="https://otodom.pl/pl/oferta/pinea-zainwestuj-nad-morzem-ID4jRcZ" TargetMode="External"/><Relationship Id="rId588" Type="http://schemas.openxmlformats.org/officeDocument/2006/relationships/hyperlink" Target="https://www.otodom.pl/pl/oferta/mieszkanie-nr-12-1-pietro-59-01-m2-3-pokoje-ID4gnpV" TargetMode="External"/><Relationship Id="rId795" Type="http://schemas.openxmlformats.org/officeDocument/2006/relationships/hyperlink" Target="https://www.otodom.pl/pl/oferta/pod-klucz-apartament-sunday-ustronie-morskie-ID4jrOS" TargetMode="External"/><Relationship Id="rId809" Type="http://schemas.openxmlformats.org/officeDocument/2006/relationships/hyperlink" Target="https://otodom.pl/pl/oferta/nowe-mieszkania-na-granicy-leszna-i-swieciechowy-ID4jwDQ" TargetMode="External"/><Relationship Id="rId9" Type="http://schemas.openxmlformats.org/officeDocument/2006/relationships/hyperlink" Target="https://www.otodom.pl/pl/oferta/nowe-3-pokoje-70-76-m2-doskonaly-uklad-balkon-ID4ocqO" TargetMode="External"/><Relationship Id="rId210" Type="http://schemas.openxmlformats.org/officeDocument/2006/relationships/hyperlink" Target="https://www.otodom.pl/pl/oferta/komfortowe-3-pokoje-dwa-balkony-iq2024-ID4oyF9" TargetMode="External"/><Relationship Id="rId448" Type="http://schemas.openxmlformats.org/officeDocument/2006/relationships/hyperlink" Target="https://otodom.pl/pl/oferta/apartament-3pokoje-3balkony-widok-na-kanal-rowy-ID4linN" TargetMode="External"/><Relationship Id="rId655" Type="http://schemas.openxmlformats.org/officeDocument/2006/relationships/hyperlink" Target="https://www.otodom.pl/pl/oferta/sprzedam-kawalerke-we-wroclawiu-bez-posrednikow-ID4omEw" TargetMode="External"/><Relationship Id="rId862" Type="http://schemas.openxmlformats.org/officeDocument/2006/relationships/hyperlink" Target="https://otodom.pl/pl/oferta/nowoczesne-domy-120m2-swoszowice-krakow-ID4htSM" TargetMode="External"/><Relationship Id="rId294" Type="http://schemas.openxmlformats.org/officeDocument/2006/relationships/hyperlink" Target="https://otodom.pl/pl/oferta/3-pokojowe-mieszkanie-z-potencjalem-ID4m3RM" TargetMode="External"/><Relationship Id="rId308" Type="http://schemas.openxmlformats.org/officeDocument/2006/relationships/hyperlink" Target="https://otodom.pl/pl/oferta/atrakcyjne-mieszkanie-na-letnicy-ID4iNEo" TargetMode="External"/><Relationship Id="rId515" Type="http://schemas.openxmlformats.org/officeDocument/2006/relationships/hyperlink" Target="https://www.otodom.pl/pl/oferta/dwa-pokoje-z-ogrodkiem-w-dabiu-do-remontu-ID4onU6" TargetMode="External"/><Relationship Id="rId722" Type="http://schemas.openxmlformats.org/officeDocument/2006/relationships/hyperlink" Target="https://www.otodom.pl/pl/oferta/bezczynszowe-nowa-inwestycja-kochlowice-ID4n4a3" TargetMode="External"/><Relationship Id="rId89" Type="http://schemas.openxmlformats.org/officeDocument/2006/relationships/hyperlink" Target="https://www.otodom.pl/pl/oferta/nowa-cena-3-pokoje-z-balkonem-na-widzewie-62m2-ID4odtp" TargetMode="External"/><Relationship Id="rId154" Type="http://schemas.openxmlformats.org/officeDocument/2006/relationships/hyperlink" Target="https://www.otodom.pl/pl/oferta/ostatnie-2-pokojowe-mieszkanie-granica-poznania-ID4kiWM" TargetMode="External"/><Relationship Id="rId361" Type="http://schemas.openxmlformats.org/officeDocument/2006/relationships/hyperlink" Target="https://otodom.pl/pl/oferta/apartament-z-ogrodkiem-na-osiedlu-zamknietym-ID4lgXG" TargetMode="External"/><Relationship Id="rId599" Type="http://schemas.openxmlformats.org/officeDocument/2006/relationships/hyperlink" Target="https://www.otodom.pl/pl/oferta/2-pokoje-balkon-mieszkanie-bezczynszowe-bezpcc-ID4oxmL" TargetMode="External"/><Relationship Id="rId459" Type="http://schemas.openxmlformats.org/officeDocument/2006/relationships/hyperlink" Target="https://otodom.pl/pl/oferta/lokal-mieszkalny-na-osiedlu-grafitowe-zabrze-2-ID4k6IC" TargetMode="External"/><Relationship Id="rId666" Type="http://schemas.openxmlformats.org/officeDocument/2006/relationships/hyperlink" Target="https://www.otodom.pl/pl/oferta/do-wprowadzenia-piekne-3-pok-2-balkony-strych-ID4oBjS" TargetMode="External"/><Relationship Id="rId873" Type="http://schemas.openxmlformats.org/officeDocument/2006/relationships/hyperlink" Target="https://otodom.pl/pl/oferta/javorova-20b-m47-ID4k2sC" TargetMode="External"/><Relationship Id="rId16" Type="http://schemas.openxmlformats.org/officeDocument/2006/relationships/hyperlink" Target="https://www.otodom.pl/pl/oferta/luksusowy-apartament-po-remoncie-w-pile-ID4nW9q" TargetMode="External"/><Relationship Id="rId221" Type="http://schemas.openxmlformats.org/officeDocument/2006/relationships/hyperlink" Target="https://www.otodom.pl/pl/oferta/kawalerka-po-remoncie-z-klimatyzacja-ID4nH16" TargetMode="External"/><Relationship Id="rId319" Type="http://schemas.openxmlformats.org/officeDocument/2006/relationships/hyperlink" Target="https://otodom.pl/pl/oferta/na-sprzedaz-mieszkanie-65-4-m-m-niwiska-ID4lXz5" TargetMode="External"/><Relationship Id="rId526" Type="http://schemas.openxmlformats.org/officeDocument/2006/relationships/hyperlink" Target="https://www.otodom.pl/pl/oferta/nowy-apartament-w-centrum-gotowy-do-wprowadzenia-ID4oFAF" TargetMode="External"/><Relationship Id="rId733" Type="http://schemas.openxmlformats.org/officeDocument/2006/relationships/hyperlink" Target="https://www.otodom.pl/pl/oferta/2-pokoje-gotowe-pod-klucz-31-40-m2-blisko-galaxy-ID4oClt" TargetMode="External"/><Relationship Id="rId940" Type="http://schemas.openxmlformats.org/officeDocument/2006/relationships/hyperlink" Target="https://otodom.pl/pl/oferta/dwupoziomowy-apartament-pl-unii-lubelskiej-szucha-ID4aE19" TargetMode="External"/><Relationship Id="rId165" Type="http://schemas.openxmlformats.org/officeDocument/2006/relationships/hyperlink" Target="https://www.otodom.pl/pl/oferta/3-pokoje-po-generalnym-remoncie-powisle-ID4oHt5" TargetMode="External"/><Relationship Id="rId372" Type="http://schemas.openxmlformats.org/officeDocument/2006/relationships/hyperlink" Target="https://otodom.pl/pl/oferta/pilska-2-etap-i-a-2-8-rolety-w-cenie-od-reki-ID4e7Tr" TargetMode="External"/><Relationship Id="rId677" Type="http://schemas.openxmlformats.org/officeDocument/2006/relationships/hyperlink" Target="https://www.otodom.pl/pl/oferta/osiedle-sterowcow-mieszkanie-39-s18-ID4f0xJ" TargetMode="External"/><Relationship Id="rId800" Type="http://schemas.openxmlformats.org/officeDocument/2006/relationships/hyperlink" Target="https://www.otodom.pl/pl/oferta/zadbana-kamienica-srodmiescie-ID4nqnJ" TargetMode="External"/><Relationship Id="rId232" Type="http://schemas.openxmlformats.org/officeDocument/2006/relationships/hyperlink" Target="https://www.otodom.pl/pl/oferta/chrobrego-3-pokoje-2-pietro-dwustronne-sloneczne-ID4omm6" TargetMode="External"/><Relationship Id="rId884" Type="http://schemas.openxmlformats.org/officeDocument/2006/relationships/hyperlink" Target="https://www.otodom.pl/pl/oferta/czyzkowko-2-pokoje-w-spokojnej-i-zielonej-okolicy-ID4otAD" TargetMode="External"/><Relationship Id="rId27" Type="http://schemas.openxmlformats.org/officeDocument/2006/relationships/hyperlink" Target="https://www.otodom.pl/pl/oferta/kolobrzeg-przestronny-apartament-2-pok-600m-do-mo-ID4lrbR" TargetMode="External"/><Relationship Id="rId537" Type="http://schemas.openxmlformats.org/officeDocument/2006/relationships/hyperlink" Target="https://www.otodom.pl/pl/oferta/duze-m4-w-centrum-do-wprowadzenia-ID4nx0B" TargetMode="External"/><Relationship Id="rId744" Type="http://schemas.openxmlformats.org/officeDocument/2006/relationships/hyperlink" Target="https://www.otodom.pl/pl/oferta/nowoczesny-apartament-w-poblizu-yacht-park-ID4lREw" TargetMode="External"/><Relationship Id="rId951" Type="http://schemas.openxmlformats.org/officeDocument/2006/relationships/hyperlink" Target="https://www.otodom.pl/pl/oferta/apartamenty-w-trzesaczu-basen-plaza-ID4lx5d" TargetMode="External"/><Relationship Id="rId80" Type="http://schemas.openxmlformats.org/officeDocument/2006/relationships/hyperlink" Target="https://www.otodom.pl/pl/oferta/mieszkanie-m3-centrum-rybnika-rezerwacja-ID4oDLK" TargetMode="External"/><Relationship Id="rId176" Type="http://schemas.openxmlformats.org/officeDocument/2006/relationships/hyperlink" Target="https://www.otodom.pl/pl/oferta/mieszkanie-2-pokoje-osiedle-bamberski-dwor-ID4ousO" TargetMode="External"/><Relationship Id="rId383" Type="http://schemas.openxmlformats.org/officeDocument/2006/relationships/hyperlink" Target="https://otodom.pl/pl/oferta/pogodno-dom-z-ogrodem-i-2-garazami-ID4kXIF" TargetMode="External"/><Relationship Id="rId590" Type="http://schemas.openxmlformats.org/officeDocument/2006/relationships/hyperlink" Target="https://www.otodom.pl/pl/oferta/mieszkanie-tychy-osiedle-w-ID4lVAV" TargetMode="External"/><Relationship Id="rId604" Type="http://schemas.openxmlformats.org/officeDocument/2006/relationships/hyperlink" Target="https://www.otodom.pl/pl/oferta/mieszkanie-polowa-domu-z-pieknym-ogrodem-ID4hX9f" TargetMode="External"/><Relationship Id="rId811" Type="http://schemas.openxmlformats.org/officeDocument/2006/relationships/hyperlink" Target="https://otodom.pl/pl/oferta/nowe-3-pok-wysoki-standard-osiedla-tramwaj-ID4lYsw" TargetMode="External"/><Relationship Id="rId243" Type="http://schemas.openxmlformats.org/officeDocument/2006/relationships/hyperlink" Target="https://www.otodom.pl/pl/oferta/gotowe-2-pokoje-piekny-taras-wysoki-standard-ID4oIqQ" TargetMode="External"/><Relationship Id="rId450" Type="http://schemas.openxmlformats.org/officeDocument/2006/relationships/hyperlink" Target="https://otodom.pl/pl/oferta/4-pokojeidealne-dla-rodzinysuper-inwestycja-ID4h1ZB" TargetMode="External"/><Relationship Id="rId688" Type="http://schemas.openxmlformats.org/officeDocument/2006/relationships/hyperlink" Target="https://www.otodom.pl/pl/oferta/gotowy-apartament-w-kamienicy-obok-nowego-rynku-ID4o6km" TargetMode="External"/><Relationship Id="rId895" Type="http://schemas.openxmlformats.org/officeDocument/2006/relationships/hyperlink" Target="https://otodom.pl/pl/oferta/sprzedam-piekne-mieszkanie-dwupoziomowe-ID4mldK" TargetMode="External"/><Relationship Id="rId909" Type="http://schemas.openxmlformats.org/officeDocument/2006/relationships/hyperlink" Target="https://otodom.pl/pl/oferta/sprzedaz-mieszkania-ulica-podwislocze-ID4ktMl" TargetMode="External"/><Relationship Id="rId38" Type="http://schemas.openxmlformats.org/officeDocument/2006/relationships/hyperlink" Target="https://www.otodom.pl/pl/oferta/duza-dwupoziomowa-kawalerka-ID4mzUo" TargetMode="External"/><Relationship Id="rId103" Type="http://schemas.openxmlformats.org/officeDocument/2006/relationships/hyperlink" Target="https://www.otodom.pl/pl/oferta/bielskie-tarasy-mieszkanie-3-pok-nowa-inwestycja-ID4oyQk" TargetMode="External"/><Relationship Id="rId310" Type="http://schemas.openxmlformats.org/officeDocument/2006/relationships/hyperlink" Target="https://otodom.pl/pl/oferta/3-niezalezne-pokoje-na-srodmiesciu-ID4l0Cz" TargetMode="External"/><Relationship Id="rId548" Type="http://schemas.openxmlformats.org/officeDocument/2006/relationships/hyperlink" Target="https://www.otodom.pl/pl/oferta/2-pokoje-na-zamknietym-osiedlu-tarchomin-ID4ozaI" TargetMode="External"/><Relationship Id="rId755" Type="http://schemas.openxmlformats.org/officeDocument/2006/relationships/hyperlink" Target="https://www.otodom.pl/pl/oferta/energooszczedny-smart-dom-z-ogrodem-i-kominkiem-ID4lCnS" TargetMode="External"/><Relationship Id="rId962" Type="http://schemas.openxmlformats.org/officeDocument/2006/relationships/hyperlink" Target="https://otodom.pl/pl/oferta/przestronny-jasny-apartament-willa-grottgera-ID4fvCW" TargetMode="External"/><Relationship Id="rId91" Type="http://schemas.openxmlformats.org/officeDocument/2006/relationships/hyperlink" Target="https://www.otodom.pl/pl/oferta/mieszkanie-na-start-myslenice-bez-prowizji-ID4oqIq" TargetMode="External"/><Relationship Id="rId187" Type="http://schemas.openxmlformats.org/officeDocument/2006/relationships/hyperlink" Target="https://www.otodom.pl/pl/oferta/nowy-i-funkcjonalny-segment-w-legionowie-ID4nY4K" TargetMode="External"/><Relationship Id="rId394" Type="http://schemas.openxmlformats.org/officeDocument/2006/relationships/hyperlink" Target="https://otodom.pl/pl/oferta/piekny-apartament-gotowy-do-zamieszkania-ID4mfnm" TargetMode="External"/><Relationship Id="rId408" Type="http://schemas.openxmlformats.org/officeDocument/2006/relationships/hyperlink" Target="https://otodom.pl/pl/oferta/apartament-3-pokoje-3-pietro-oddanie-2023-ID4lKhm" TargetMode="External"/><Relationship Id="rId615" Type="http://schemas.openxmlformats.org/officeDocument/2006/relationships/hyperlink" Target="https://www.otodom.pl/pl/oferta/mieszkanie-w-centrum-37m2-288tys-ID4lroB" TargetMode="External"/><Relationship Id="rId822" Type="http://schemas.openxmlformats.org/officeDocument/2006/relationships/hyperlink" Target="https://otodom.pl/pl/oferta/nowa-oferta-czestochowa-parkitka-ID4lBWQ" TargetMode="External"/><Relationship Id="rId254" Type="http://schemas.openxmlformats.org/officeDocument/2006/relationships/hyperlink" Target="https://www.otodom.pl/pl/oferta/dom-energooszczedny-ul-hajduczka-ID4lXHn" TargetMode="External"/><Relationship Id="rId699" Type="http://schemas.openxmlformats.org/officeDocument/2006/relationships/hyperlink" Target="https://www.otodom.pl/pl/oferta/cztery-pokoje-na-oporowie-wszystko-co-trzeba-ID4nZqM" TargetMode="External"/><Relationship Id="rId49" Type="http://schemas.openxmlformats.org/officeDocument/2006/relationships/hyperlink" Target="https://www.otodom.pl/pl/oferta/luksusowy-apartment-2-pokoje-mlyn-maria-ID4jcPV" TargetMode="External"/><Relationship Id="rId114" Type="http://schemas.openxmlformats.org/officeDocument/2006/relationships/hyperlink" Target="https://www.otodom.pl/pl/oferta/apartament-trzypokojowy-w-centrum-miasta-bytom-ID4nEq9" TargetMode="External"/><Relationship Id="rId461" Type="http://schemas.openxmlformats.org/officeDocument/2006/relationships/hyperlink" Target="https://otodom.pl/pl/oferta/apartament-b011-na-sprzedaz-nad-morzem-ID4laEV" TargetMode="External"/><Relationship Id="rId559" Type="http://schemas.openxmlformats.org/officeDocument/2006/relationships/hyperlink" Target="https://www.otodom.pl/pl/oferta/suchy-las-mieszkanie-na-sprzedaz-ID4m6XZ" TargetMode="External"/><Relationship Id="rId766" Type="http://schemas.openxmlformats.org/officeDocument/2006/relationships/hyperlink" Target="https://www.otodom.pl/pl/oferta/2pokojowe-mieszkanie-na-szwederowie-ID4mYzF" TargetMode="External"/><Relationship Id="rId198" Type="http://schemas.openxmlformats.org/officeDocument/2006/relationships/hyperlink" Target="https://www.otodom.pl/pl/oferta/olsza-4-pok-z-ogromnym-potencjalem-ID4num8" TargetMode="External"/><Relationship Id="rId321" Type="http://schemas.openxmlformats.org/officeDocument/2006/relationships/hyperlink" Target="https://otodom.pl/pl/oferta/4-pokoje-na-wysokim-parterze-80-2-m2-ID4lLkO" TargetMode="External"/><Relationship Id="rId419" Type="http://schemas.openxmlformats.org/officeDocument/2006/relationships/hyperlink" Target="https://otodom.pl/pl/oferta/4-pokoje-z-duzym-balkonem-ID4latK" TargetMode="External"/><Relationship Id="rId626" Type="http://schemas.openxmlformats.org/officeDocument/2006/relationships/hyperlink" Target="https://www.otodom.pl/pl/oferta/4-pok-100-mkw-cicha-okolica-w-sercu-szczecina-ID4nUXG" TargetMode="External"/><Relationship Id="rId973" Type="http://schemas.openxmlformats.org/officeDocument/2006/relationships/hyperlink" Target="https://otodom.pl/pl/oferta/ostatnie-pietro-po-remoncie-ID4m9jT" TargetMode="External"/><Relationship Id="rId833" Type="http://schemas.openxmlformats.org/officeDocument/2006/relationships/hyperlink" Target="https://www.otodom.pl/pl/oferta/oferta-premium-ID4nN2v" TargetMode="External"/><Relationship Id="rId265" Type="http://schemas.openxmlformats.org/officeDocument/2006/relationships/hyperlink" Target="https://otodom.pl/pl/oferta/apartament-tuwima-sky-8-pietro-kredyt-2-ID4cQw7" TargetMode="External"/><Relationship Id="rId472" Type="http://schemas.openxmlformats.org/officeDocument/2006/relationships/hyperlink" Target="https://www.otodom.pl/pl/oferta/mieszkanie-gdansk-morena-ID4msOW" TargetMode="External"/><Relationship Id="rId900" Type="http://schemas.openxmlformats.org/officeDocument/2006/relationships/hyperlink" Target="https://www.otodom.pl/pl/oferta/mieszkanie-3-pokojowe-habicha-ID4oyXI" TargetMode="External"/><Relationship Id="rId125" Type="http://schemas.openxmlformats.org/officeDocument/2006/relationships/hyperlink" Target="https://www.otodom.pl/pl/oferta/180-m2-piekny-dom-spokojna-okolica-ID4oh5Z" TargetMode="External"/><Relationship Id="rId332" Type="http://schemas.openxmlformats.org/officeDocument/2006/relationships/hyperlink" Target="https://otodom.pl/pl/oferta/apartament-2-pokoje-umeblowane-becher-ogrody-ID4lQbL" TargetMode="External"/><Relationship Id="rId777" Type="http://schemas.openxmlformats.org/officeDocument/2006/relationships/hyperlink" Target="https://www.otodom.pl/pl/oferta/wilanow-ul-sarmacka-apartament-133-m-parter-ID4nlaF" TargetMode="External"/><Relationship Id="rId984" Type="http://schemas.openxmlformats.org/officeDocument/2006/relationships/hyperlink" Target="https://otodom.pl/pl/oferta/okazja-dom-w-zabudowie-blizniaczej-cielmice-ID4jELq" TargetMode="External"/><Relationship Id="rId637" Type="http://schemas.openxmlformats.org/officeDocument/2006/relationships/hyperlink" Target="https://www.otodom.pl/pl/oferta/villa-burtowa-mieszkanie-2-pok-1a-ID4lt3D" TargetMode="External"/><Relationship Id="rId844" Type="http://schemas.openxmlformats.org/officeDocument/2006/relationships/hyperlink" Target="https://www.otodom.pl/pl/oferta/bestseller-28-50m2-kup-bezposrednio-od-dewelopera-ID4oGKQ" TargetMode="External"/><Relationship Id="rId276" Type="http://schemas.openxmlformats.org/officeDocument/2006/relationships/hyperlink" Target="https://otodom.pl/pl/oferta/m-2-40m2-m2-dabrowa-gornicza-zabkowice-ID4jP6J" TargetMode="External"/><Relationship Id="rId483" Type="http://schemas.openxmlformats.org/officeDocument/2006/relationships/hyperlink" Target="https://www.otodom.pl/pl/oferta/2-pokojowe-przy-parku-szczesliwickim-ogrody-shiraz-ID4oHd6" TargetMode="External"/><Relationship Id="rId690" Type="http://schemas.openxmlformats.org/officeDocument/2006/relationships/hyperlink" Target="https://www.otodom.pl/pl/oferta/apartament-z-sauna-i-klimatyzacja-100-m-do-plazy-ID4hXvm" TargetMode="External"/><Relationship Id="rId704" Type="http://schemas.openxmlformats.org/officeDocument/2006/relationships/hyperlink" Target="https://www.otodom.pl/pl/oferta/61-18-m-3-pietro-0-pcc-3-pokoje-winda-bona-ID4mj96" TargetMode="External"/><Relationship Id="rId911" Type="http://schemas.openxmlformats.org/officeDocument/2006/relationships/hyperlink" Target="https://otodom.pl/pl/oferta/sprzedam-zadbany-dom-w-chelmie-slaskim-ID4mjfk" TargetMode="External"/><Relationship Id="rId40" Type="http://schemas.openxmlformats.org/officeDocument/2006/relationships/hyperlink" Target="https://www.otodom.pl/pl/oferta/mieszkanie-w-najlepszej-lokalizacji-krynica-morska-ID4n5VT" TargetMode="External"/><Relationship Id="rId136" Type="http://schemas.openxmlformats.org/officeDocument/2006/relationships/hyperlink" Target="https://www.otodom.pl/pl/oferta/2-nieduze-pokoje-na-polnocy-z-duzym-balkonem-ID4nuuS" TargetMode="External"/><Relationship Id="rId343" Type="http://schemas.openxmlformats.org/officeDocument/2006/relationships/hyperlink" Target="https://otodom.pl/pl/oferta/pensjonat-po-remoncie-wisla-ID4iGGZ" TargetMode="External"/><Relationship Id="rId550" Type="http://schemas.openxmlformats.org/officeDocument/2006/relationships/hyperlink" Target="https://www.otodom.pl/pl/oferta/jasna-rola-3-pokoje-77-71-m-wysoki-standard-ID4nKL9" TargetMode="External"/><Relationship Id="rId788" Type="http://schemas.openxmlformats.org/officeDocument/2006/relationships/hyperlink" Target="https://www.otodom.pl/pl/oferta/4-pokoje-z-winda-blisko-petli-114-ID4ng25" TargetMode="External"/><Relationship Id="rId995" Type="http://schemas.openxmlformats.org/officeDocument/2006/relationships/hyperlink" Target="https://otodom.pl/pl/oferta/okazja-cenowa-w-super-lokalizacji-ID4lz1T" TargetMode="External"/><Relationship Id="rId203" Type="http://schemas.openxmlformats.org/officeDocument/2006/relationships/hyperlink" Target="https://www.otodom.pl/pl/oferta/wykonczone-klimatyzacja-nowoczesne-osiedle-ID4ow1x" TargetMode="External"/><Relationship Id="rId648" Type="http://schemas.openxmlformats.org/officeDocument/2006/relationships/hyperlink" Target="https://www.otodom.pl/pl/oferta/nowe-m2-pokoje-z-ogrodkiem-bez-pcc-bez-prowizji-ID4m80j" TargetMode="External"/><Relationship Id="rId855" Type="http://schemas.openxmlformats.org/officeDocument/2006/relationships/hyperlink" Target="https://www.otodom.pl/pl/oferta/alfa-park-iii-ostatnie-pietro-wyposazone-ID4msrF" TargetMode="External"/><Relationship Id="rId287" Type="http://schemas.openxmlformats.org/officeDocument/2006/relationships/hyperlink" Target="https://otodom.pl/pl/oferta/3-pok-70-m2-3-m-wysokosci-balkon-piwnica-14m2-ID4mbQB" TargetMode="External"/><Relationship Id="rId410" Type="http://schemas.openxmlformats.org/officeDocument/2006/relationships/hyperlink" Target="https://otodom.pl/pl/oferta/apartament-podzielony-na-2-kawalerki-ID4jwJM" TargetMode="External"/><Relationship Id="rId494" Type="http://schemas.openxmlformats.org/officeDocument/2006/relationships/hyperlink" Target="https://www.otodom.pl/pl/oferta/dom-w-stylu-skandynawskim-dowolny-metraz-ID4osyI" TargetMode="External"/><Relationship Id="rId508" Type="http://schemas.openxmlformats.org/officeDocument/2006/relationships/hyperlink" Target="https://www.otodom.pl/pl/oferta/apartament-na-22-pietrze-zlota-44-ID4oFmR" TargetMode="External"/><Relationship Id="rId715" Type="http://schemas.openxmlformats.org/officeDocument/2006/relationships/hyperlink" Target="https://www.otodom.pl/pl/oferta/apartament-z-sauna-na-wilanowie-ID4kMGq" TargetMode="External"/><Relationship Id="rId922" Type="http://schemas.openxmlformats.org/officeDocument/2006/relationships/hyperlink" Target="https://otodom.pl/pl/oferta/ustron-zawodzie-nowe-apartamenty-51-m2-z-tarasem-ID4hrcC" TargetMode="External"/><Relationship Id="rId147" Type="http://schemas.openxmlformats.org/officeDocument/2006/relationships/hyperlink" Target="https://www.otodom.pl/pl/oferta/nowe-mieszkanie-w-brzozowie-3-pokoje-ID4nQyo" TargetMode="External"/><Relationship Id="rId354" Type="http://schemas.openxmlformats.org/officeDocument/2006/relationships/hyperlink" Target="https://otodom.pl/pl/oferta/po-generalnym-remoncie-za-250-tys-ID4m3g6" TargetMode="External"/><Relationship Id="rId799" Type="http://schemas.openxmlformats.org/officeDocument/2006/relationships/hyperlink" Target="https://www.otodom.pl/pl/oferta/kawalerka-w-nowej-hucie-ID4ozxn" TargetMode="External"/><Relationship Id="rId51" Type="http://schemas.openxmlformats.org/officeDocument/2006/relationships/hyperlink" Target="https://www.otodom.pl/pl/oferta/dom-dzialka-widokowa-zawoja-babia-gora-ID4o3lg" TargetMode="External"/><Relationship Id="rId561" Type="http://schemas.openxmlformats.org/officeDocument/2006/relationships/hyperlink" Target="https://www.otodom.pl/pl/oferta/mieszkanie-po-remoncie-41m2-38m2-roi-10-ID4meX3" TargetMode="External"/><Relationship Id="rId659" Type="http://schemas.openxmlformats.org/officeDocument/2006/relationships/hyperlink" Target="https://www.otodom.pl/pl/oferta/mieszkanie-47-78-m-lublin-ID4fvrz" TargetMode="External"/><Relationship Id="rId866" Type="http://schemas.openxmlformats.org/officeDocument/2006/relationships/hyperlink" Target="https://www.otodom.pl/pl/oferta/bielskie-tarasy-mieszkanie-3-pok-nowa-inwestycja-ID4otzQ" TargetMode="External"/><Relationship Id="rId214" Type="http://schemas.openxmlformats.org/officeDocument/2006/relationships/hyperlink" Target="https://www.otodom.pl/pl/oferta/apartament-na-ostatnim-pietrze-w-centrum-wroclawia-ID4oF81" TargetMode="External"/><Relationship Id="rId298" Type="http://schemas.openxmlformats.org/officeDocument/2006/relationships/hyperlink" Target="https://otodom.pl/pl/oferta/3-pokojowe-mieszkanie-do-remontu-gmina-rokietnica-ID4m5fF" TargetMode="External"/><Relationship Id="rId421" Type="http://schemas.openxmlformats.org/officeDocument/2006/relationships/hyperlink" Target="https://otodom.pl/pl/oferta/piekny-duzy-dom-ossy-powiat-tarnogorski-ID4dImc" TargetMode="External"/><Relationship Id="rId519" Type="http://schemas.openxmlformats.org/officeDocument/2006/relationships/hyperlink" Target="https://www.otodom.pl/pl/oferta/2-pokojowe-warszawa-srodmiescie-ul-zajecza-ID4nPvy" TargetMode="External"/><Relationship Id="rId158" Type="http://schemas.openxmlformats.org/officeDocument/2006/relationships/hyperlink" Target="https://www.otodom.pl/pl/oferta/mieszkanie-na-ursynowie-z-ogrodem-110-metrow-ID4lAau" TargetMode="External"/><Relationship Id="rId726" Type="http://schemas.openxmlformats.org/officeDocument/2006/relationships/hyperlink" Target="https://www.otodom.pl/pl/oferta/uwaga-cena-sprzedam-mieszkanie-gotowe-na-juz-ID4kSQR" TargetMode="External"/><Relationship Id="rId933" Type="http://schemas.openxmlformats.org/officeDocument/2006/relationships/hyperlink" Target="https://otodom.pl/pl/oferta/przestronny-dobrze-zaprojektowany-dom-w-mosinie-ID4ixiE" TargetMode="External"/><Relationship Id="rId62" Type="http://schemas.openxmlformats.org/officeDocument/2006/relationships/hyperlink" Target="https://www.otodom.pl/pl/oferta/2-pokojowe-mieszkanie-w-centrum-ul-jurowiecka-ID4nJM5" TargetMode="External"/><Relationship Id="rId365" Type="http://schemas.openxmlformats.org/officeDocument/2006/relationships/hyperlink" Target="https://otodom.pl/pl/oferta/piekny-dom-z-duza-dzialka-chyby-ID4mg5A" TargetMode="External"/><Relationship Id="rId572" Type="http://schemas.openxmlformats.org/officeDocument/2006/relationships/hyperlink" Target="https://www.otodom.pl/pl/oferta/dwustronne-mieszkanie-w-poblizu-solanek-2-pokoje-ID4otgi" TargetMode="External"/><Relationship Id="rId225" Type="http://schemas.openxmlformats.org/officeDocument/2006/relationships/hyperlink" Target="https://www.otodom.pl/pl/oferta/okazja-apartament-blisko-morza-ul-zdrojowa-ID4nXbi" TargetMode="External"/><Relationship Id="rId432" Type="http://schemas.openxmlformats.org/officeDocument/2006/relationships/hyperlink" Target="https://otodom.pl/pl/oferta/piekny-apartament-z-widokiem-natatry-ID4fxu2" TargetMode="External"/><Relationship Id="rId877" Type="http://schemas.openxmlformats.org/officeDocument/2006/relationships/hyperlink" Target="https://www.otodom.pl/pl/oferta/m2-w-super-lokalizacji-ID4o54V" TargetMode="External"/><Relationship Id="rId737" Type="http://schemas.openxmlformats.org/officeDocument/2006/relationships/hyperlink" Target="https://www.otodom.pl/pl/oferta/na-sprzedaz-luksusowy-apartament-poznan-jezyce-ID4ocN4" TargetMode="External"/><Relationship Id="rId944" Type="http://schemas.openxmlformats.org/officeDocument/2006/relationships/hyperlink" Target="https://otodom.pl/pl/oferta/parter-willi-3-y-pokoje-z-ogrodkiem-i-garazem-ID4lW5B" TargetMode="External"/><Relationship Id="rId73" Type="http://schemas.openxmlformats.org/officeDocument/2006/relationships/hyperlink" Target="https://www.otodom.pl/pl/oferta/2-pok-na-os-sloneczne-tarasy-36-68-m-3-85-ID4nD97" TargetMode="External"/><Relationship Id="rId169" Type="http://schemas.openxmlformats.org/officeDocument/2006/relationships/hyperlink" Target="https://www.otodom.pl/pl/oferta/mieszkanie-4-pok-swietny-rozklad-ID4oogY" TargetMode="External"/><Relationship Id="rId376" Type="http://schemas.openxmlformats.org/officeDocument/2006/relationships/hyperlink" Target="https://otodom.pl/pl/oferta/apartament-z-balkonem-osiedle-pastelowe-ID4g6h8" TargetMode="External"/><Relationship Id="rId583" Type="http://schemas.openxmlformats.org/officeDocument/2006/relationships/hyperlink" Target="https://www.otodom.pl/pl/oferta/duze-2-pokojowe-mieszkanie-z-balkonem-na-plantowej-ID4nKWO" TargetMode="External"/><Relationship Id="rId790" Type="http://schemas.openxmlformats.org/officeDocument/2006/relationships/hyperlink" Target="https://www.otodom.pl/pl/oferta/86-m-rozkladowe-centrum-idealne-pod-inwestycje-ID4o2sf" TargetMode="External"/><Relationship Id="rId804" Type="http://schemas.openxmlformats.org/officeDocument/2006/relationships/hyperlink" Target="https://www.otodom.pl/pl/oferta/kolobrzeg-mieszkanie-wykonczone-po-klucz-ID4oBmB" TargetMode="External"/><Relationship Id="rId4" Type="http://schemas.openxmlformats.org/officeDocument/2006/relationships/hyperlink" Target="https://www.otodom.pl/pl/oferta/parterowy-dom-z-duza-dzialka-ID4na1B" TargetMode="External"/><Relationship Id="rId236" Type="http://schemas.openxmlformats.org/officeDocument/2006/relationships/hyperlink" Target="https://www.otodom.pl/pl/oferta/atrakcyjne-mieszkanie-z-potencjalem-inwestycyjnym-ID4oel4" TargetMode="External"/><Relationship Id="rId443" Type="http://schemas.openxmlformats.org/officeDocument/2006/relationships/hyperlink" Target="https://otodom.pl/pl/oferta/penthouse-z-widokiem-na-miasto-wysoki-standard-ID3S37q" TargetMode="External"/><Relationship Id="rId650" Type="http://schemas.openxmlformats.org/officeDocument/2006/relationships/hyperlink" Target="https://www.otodom.pl/pl/oferta/kredyt-2-gdynia-2-pokoje-ID4nxSj" TargetMode="External"/><Relationship Id="rId888" Type="http://schemas.openxmlformats.org/officeDocument/2006/relationships/hyperlink" Target="https://www.otodom.pl/pl/oferta/ostatnie-dni-rabatow-sylwestrowe-okazje-do-3-01-ID4owx9" TargetMode="External"/><Relationship Id="rId303" Type="http://schemas.openxmlformats.org/officeDocument/2006/relationships/hyperlink" Target="https://otodom.pl/pl/oferta/4-km-od-rynku-w-wieliczce-garaz-ogrod-klima-ID4moky" TargetMode="External"/><Relationship Id="rId748" Type="http://schemas.openxmlformats.org/officeDocument/2006/relationships/hyperlink" Target="https://www.otodom.pl/pl/oferta/m2-dla-rodziny-ogrodek-komorka-garaz-gotowe-ID4nfgf" TargetMode="External"/><Relationship Id="rId955" Type="http://schemas.openxmlformats.org/officeDocument/2006/relationships/hyperlink" Target="https://otodom.pl/pl/oferta/warszawa-mokotow-sluzewiec-al-wyscigowa-3-pokoje-ID4lPCT" TargetMode="External"/><Relationship Id="rId84" Type="http://schemas.openxmlformats.org/officeDocument/2006/relationships/hyperlink" Target="https://www.otodom.pl/pl/oferta/atrakcyjne-3-pokojowe-os-sloneczne-ID4lg1j" TargetMode="External"/><Relationship Id="rId387" Type="http://schemas.openxmlformats.org/officeDocument/2006/relationships/hyperlink" Target="https://otodom.pl/pl/oferta/apartament-w-widokiem-na-motlawe-i-stare-miasto-ID4lOE0" TargetMode="External"/><Relationship Id="rId510" Type="http://schemas.openxmlformats.org/officeDocument/2006/relationships/hyperlink" Target="https://www.otodom.pl/pl/oferta/duzy-dom-w-stargardzie-ID3o5kM" TargetMode="External"/><Relationship Id="rId594" Type="http://schemas.openxmlformats.org/officeDocument/2006/relationships/hyperlink" Target="https://www.otodom.pl/pl/oferta/mieszkanie-w-centrum-okazyjna-cena-ID4jmqk" TargetMode="External"/><Relationship Id="rId608" Type="http://schemas.openxmlformats.org/officeDocument/2006/relationships/hyperlink" Target="https://www.otodom.pl/pl/oferta/centrum-2-pokoje-po-generalnym-zamiana-ID4onTZ" TargetMode="External"/><Relationship Id="rId815" Type="http://schemas.openxmlformats.org/officeDocument/2006/relationships/hyperlink" Target="https://www.otodom.pl/pl/oferta/dom-wolnostojacy-5-pokoi-tczew-sprzedaz-ID4og5G" TargetMode="External"/><Relationship Id="rId247" Type="http://schemas.openxmlformats.org/officeDocument/2006/relationships/hyperlink" Target="https://www.otodom.pl/pl/oferta/30m2-mieszkania-inwestycyjne-wysokie-rabaty-ID4oFwE" TargetMode="External"/><Relationship Id="rId899" Type="http://schemas.openxmlformats.org/officeDocument/2006/relationships/hyperlink" Target="https://otodom.pl/pl/oferta/stala-cena-kostrzynska-42-mieszkanie-kgh-g-m5-ID4fidW" TargetMode="External"/><Relationship Id="rId1000" Type="http://schemas.openxmlformats.org/officeDocument/2006/relationships/hyperlink" Target="https://otodom.pl/pl/oferta/vista-by-kras-dom-mieszkanie-74-91-m2-ID4m8s4" TargetMode="External"/><Relationship Id="rId107" Type="http://schemas.openxmlformats.org/officeDocument/2006/relationships/hyperlink" Target="https://www.otodom.pl/pl/oferta/malbork-2-pokoje-i-pietro-ID4nH88" TargetMode="External"/><Relationship Id="rId454" Type="http://schemas.openxmlformats.org/officeDocument/2006/relationships/hyperlink" Target="https://otodom.pl/pl/oferta/apartament-w-eleganckim-i-bezpiecznym-osiedlu-ID4hSXv" TargetMode="External"/><Relationship Id="rId661" Type="http://schemas.openxmlformats.org/officeDocument/2006/relationships/hyperlink" Target="https://www.otodom.pl/pl/oferta/dom-jednorodzinny-w-spokojnej-okolicy-ID4m0dM" TargetMode="External"/><Relationship Id="rId759" Type="http://schemas.openxmlformats.org/officeDocument/2006/relationships/hyperlink" Target="https://www.otodom.pl/pl/oferta/ecosegmenty-pompa-ciepla-rekuperacja-kredyt-2-ID4kntV" TargetMode="External"/><Relationship Id="rId966" Type="http://schemas.openxmlformats.org/officeDocument/2006/relationships/hyperlink" Target="https://otodom.pl/pl/oferta/ostroda-ryn-250m2-wolnostojacy-dzialka3500m2-ID4mfKd" TargetMode="External"/><Relationship Id="rId11" Type="http://schemas.openxmlformats.org/officeDocument/2006/relationships/hyperlink" Target="https://www.otodom.pl/pl/oferta/gotowe-3-pokoje-64-45-m2-2-miejsca-parkingowe-ID4oxZK" TargetMode="External"/><Relationship Id="rId314" Type="http://schemas.openxmlformats.org/officeDocument/2006/relationships/hyperlink" Target="https://otodom.pl/pl/oferta/mieszkanie-95-03-m-krakow-ID46nZp" TargetMode="External"/><Relationship Id="rId398" Type="http://schemas.openxmlformats.org/officeDocument/2006/relationships/hyperlink" Target="https://otodom.pl/pl/oferta/apartament-3-minuty-od-plazy-ID4lnLa" TargetMode="External"/><Relationship Id="rId521" Type="http://schemas.openxmlformats.org/officeDocument/2006/relationships/hyperlink" Target="https://www.otodom.pl/pl/oferta/okazja-tanio-wroclaw-dolnobrzeska-lesnica-3pok-ID4oEJw" TargetMode="External"/><Relationship Id="rId619" Type="http://schemas.openxmlformats.org/officeDocument/2006/relationships/hyperlink" Target="https://www.otodom.pl/pl/oferta/apartament-do-wprowadzenia-golonog-ID4mni6" TargetMode="External"/><Relationship Id="rId95" Type="http://schemas.openxmlformats.org/officeDocument/2006/relationships/hyperlink" Target="https://www.otodom.pl/pl/oferta/mieszkanie-3-pokoje-z-duzym-balkonem-centrum-ID4nEUX" TargetMode="External"/><Relationship Id="rId160" Type="http://schemas.openxmlformats.org/officeDocument/2006/relationships/hyperlink" Target="https://www.otodom.pl/pl/oferta/foresta-marcelin-3-pokojowe-nowa-inwestycja-ID4o7Xq" TargetMode="External"/><Relationship Id="rId826" Type="http://schemas.openxmlformats.org/officeDocument/2006/relationships/hyperlink" Target="https://otodom.pl/pl/oferta/o-pompa-ciepla-fotowoltaika-ogrod-parking-ID4meWO" TargetMode="External"/><Relationship Id="rId258" Type="http://schemas.openxmlformats.org/officeDocument/2006/relationships/hyperlink" Target="https://otodom.pl/pl/oferta/apartamenty-wladyslawowo-baltyckie-tarasy-ID4js7S" TargetMode="External"/><Relationship Id="rId465" Type="http://schemas.openxmlformats.org/officeDocument/2006/relationships/hyperlink" Target="https://otodom.pl/pl/oferta/po-remoncie-rynek-plac-legionow-grabiszynska-ID4lwZH" TargetMode="External"/><Relationship Id="rId672" Type="http://schemas.openxmlformats.org/officeDocument/2006/relationships/hyperlink" Target="https://www.otodom.pl/pl/oferta/apartament-2-pok-k-taras-mokotow-merliniego-ID49SQQ" TargetMode="External"/><Relationship Id="rId22" Type="http://schemas.openxmlformats.org/officeDocument/2006/relationships/hyperlink" Target="https://www.otodom.pl/pl/oferta/nowa-cena-jasne-przestronne-mieszkanie-trzemeszno-ID4hg2k" TargetMode="External"/><Relationship Id="rId118" Type="http://schemas.openxmlformats.org/officeDocument/2006/relationships/hyperlink" Target="https://www.otodom.pl/pl/oferta/wyremontowane-mieszkanie-w-sosnowcu-ID4ofxQ" TargetMode="External"/><Relationship Id="rId325" Type="http://schemas.openxmlformats.org/officeDocument/2006/relationships/hyperlink" Target="https://otodom.pl/pl/oferta/3-pokojowe-mieszkanie-os-kilinskiego-zamosc-ID4lSo9" TargetMode="External"/><Relationship Id="rId532" Type="http://schemas.openxmlformats.org/officeDocument/2006/relationships/hyperlink" Target="https://www.otodom.pl/pl/oferta/atrakcyjna-oferta-domu-wolnostojacego-ID4oI4q" TargetMode="External"/><Relationship Id="rId977" Type="http://schemas.openxmlformats.org/officeDocument/2006/relationships/hyperlink" Target="https://otodom.pl/pl/oferta/dwupoziomowe-z-garazem-i-ogrodem-zagorze-ID4mrY8" TargetMode="External"/><Relationship Id="rId171" Type="http://schemas.openxmlformats.org/officeDocument/2006/relationships/hyperlink" Target="https://www.otodom.pl/pl/oferta/poniatowskiego-komfortowe-3-pokojowe-z-loggia-ID4oxi2" TargetMode="External"/><Relationship Id="rId837" Type="http://schemas.openxmlformats.org/officeDocument/2006/relationships/hyperlink" Target="https://otodom.pl/pl/oferta/mechelinki-anchoria-apartamenty-wysoki-standard-ID4kuiV" TargetMode="External"/><Relationship Id="rId269" Type="http://schemas.openxmlformats.org/officeDocument/2006/relationships/hyperlink" Target="https://otodom.pl/pl/oferta/3-pokojowe-mieszkanie-z-balkonem-ID4l8bZ" TargetMode="External"/><Relationship Id="rId476" Type="http://schemas.openxmlformats.org/officeDocument/2006/relationships/hyperlink" Target="https://www.otodom.pl/pl/oferta/mieszkanie-3pok-40m2-plac-bankowy-al-solidarnosci-ID4oFvV" TargetMode="External"/><Relationship Id="rId683" Type="http://schemas.openxmlformats.org/officeDocument/2006/relationships/hyperlink" Target="https://www.otodom.pl/pl/oferta/mieszkanie-108-10-m-opole-ID4na9Y" TargetMode="External"/><Relationship Id="rId890" Type="http://schemas.openxmlformats.org/officeDocument/2006/relationships/hyperlink" Target="https://www.otodom.pl/pl/oferta/mieszkanie-2-pokojowe-na-wysokim-parterze-ID4on4L" TargetMode="External"/><Relationship Id="rId904" Type="http://schemas.openxmlformats.org/officeDocument/2006/relationships/hyperlink" Target="https://www.otodom.pl/pl/oferta/nowa-inwestycja-pochyla-37-9-mkw-ID4nXIh" TargetMode="External"/><Relationship Id="rId33" Type="http://schemas.openxmlformats.org/officeDocument/2006/relationships/hyperlink" Target="https://www.otodom.pl/pl/oferta/balkon-okolice-d-pasterza-s-deweloperski-ID4nu5M" TargetMode="External"/><Relationship Id="rId129" Type="http://schemas.openxmlformats.org/officeDocument/2006/relationships/hyperlink" Target="https://www.otodom.pl/pl/oferta/nowoczesne-mieszkanie-w-swietnej-lokalizacji-ID4o8ju" TargetMode="External"/><Relationship Id="rId336" Type="http://schemas.openxmlformats.org/officeDocument/2006/relationships/hyperlink" Target="https://otodom.pl/pl/oferta/apartament-pod-klucz-100-m-do-plazy-iv-etap-ID4byxE" TargetMode="External"/><Relationship Id="rId543" Type="http://schemas.openxmlformats.org/officeDocument/2006/relationships/hyperlink" Target="https://www.otodom.pl/pl/oferta/gorny-sopot-balkon-i-weranda-7-pokoi-ID4i7d6" TargetMode="External"/><Relationship Id="rId988" Type="http://schemas.openxmlformats.org/officeDocument/2006/relationships/hyperlink" Target="https://otodom.pl/pl/oferta/dostepne-od-zaraz-5-pokoje-metro-galeria-mokotow-ID4jPkQ" TargetMode="External"/><Relationship Id="rId182" Type="http://schemas.openxmlformats.org/officeDocument/2006/relationships/hyperlink" Target="https://www.otodom.pl/pl/oferta/rezerwacja3-pokoje-balkonswietna-inwestycja-ID4nbfR" TargetMode="External"/><Relationship Id="rId403" Type="http://schemas.openxmlformats.org/officeDocument/2006/relationships/hyperlink" Target="https://otodom.pl/pl/oferta/pieknie-wykonczone-3-pokoje-z-2023-roku-bez-pcc-ID4lIC0" TargetMode="External"/><Relationship Id="rId750" Type="http://schemas.openxmlformats.org/officeDocument/2006/relationships/hyperlink" Target="https://www.otodom.pl/pl/oferta/studio-w-stylu-wloskich-lat-70-tych-port-praski-ID4nkCZ" TargetMode="External"/><Relationship Id="rId848" Type="http://schemas.openxmlformats.org/officeDocument/2006/relationships/hyperlink" Target="https://otodom.pl/pl/oferta/nowe-mieszkanie-nr-23-i-pietro-ID4mlfo" TargetMode="External"/><Relationship Id="rId487" Type="http://schemas.openxmlformats.org/officeDocument/2006/relationships/hyperlink" Target="https://www.otodom.pl/pl/oferta/3-pokojowe-mieszkania-pod-inwestycje-w-centrum-ID4ofJ2" TargetMode="External"/><Relationship Id="rId610" Type="http://schemas.openxmlformats.org/officeDocument/2006/relationships/hyperlink" Target="https://www.otodom.pl/pl/oferta/po-remoncie-dwa-balkony-ID4o17Y" TargetMode="External"/><Relationship Id="rId694" Type="http://schemas.openxmlformats.org/officeDocument/2006/relationships/hyperlink" Target="https://www.otodom.pl/pl/oferta/apartament-w-centrum-miasta-ID4oAsp" TargetMode="External"/><Relationship Id="rId708" Type="http://schemas.openxmlformats.org/officeDocument/2006/relationships/hyperlink" Target="https://www.otodom.pl/pl/oferta/apartament-36m2-okazja-ursynowduza-stopa-zwrot-ID463Sz" TargetMode="External"/><Relationship Id="rId915" Type="http://schemas.openxmlformats.org/officeDocument/2006/relationships/hyperlink" Target="https://www.otodom.pl/pl/oferta/dwupoziomowe-taras-22-m-kw-2-balkony-ID4mNeo" TargetMode="External"/><Relationship Id="rId347" Type="http://schemas.openxmlformats.org/officeDocument/2006/relationships/hyperlink" Target="https://otodom.pl/pl/oferta/apartament-na-starym-zoliborzu-ID4lmEH" TargetMode="External"/><Relationship Id="rId999" Type="http://schemas.openxmlformats.org/officeDocument/2006/relationships/hyperlink" Target="https://otodom.pl/pl/oferta/wykonczona-lazienka-w-cenie-mieszkania-ID4jXpC" TargetMode="External"/><Relationship Id="rId44" Type="http://schemas.openxmlformats.org/officeDocument/2006/relationships/hyperlink" Target="https://www.otodom.pl/pl/oferta/okazja-2pok-opcja-3-pok-centrum-miejskie-media-i-p-ID4oBm8" TargetMode="External"/><Relationship Id="rId554" Type="http://schemas.openxmlformats.org/officeDocument/2006/relationships/hyperlink" Target="https://www.otodom.pl/pl/oferta/2-pokoje-mieszkanie-na-sprzedaz-ID4mfYW" TargetMode="External"/><Relationship Id="rId761" Type="http://schemas.openxmlformats.org/officeDocument/2006/relationships/hyperlink" Target="https://www.otodom.pl/pl/oferta/dwupoziomowe-mieszkania-z-niezaleznym-wejsciem-ID4opWK" TargetMode="External"/><Relationship Id="rId859" Type="http://schemas.openxmlformats.org/officeDocument/2006/relationships/hyperlink" Target="https://otodom.pl/pl/oferta/nowe-mieszkania-w-stanie-deweloperskim-ID4itNr" TargetMode="External"/><Relationship Id="rId193" Type="http://schemas.openxmlformats.org/officeDocument/2006/relationships/hyperlink" Target="https://www.otodom.pl/pl/oferta/rezerwacja-2-pok-mieszkanie-ul-cypryjska-ID4lYkS" TargetMode="External"/><Relationship Id="rId207" Type="http://schemas.openxmlformats.org/officeDocument/2006/relationships/hyperlink" Target="https://www.otodom.pl/pl/oferta/piekne-mieszkanie-po-generalnym-remoncie-chelm-ID4mB0Y" TargetMode="External"/><Relationship Id="rId414" Type="http://schemas.openxmlformats.org/officeDocument/2006/relationships/hyperlink" Target="https://otodom.pl/pl/oferta/apartament-z-antresola-i-dwoma-tarasami-bud-c-ID4jVrw" TargetMode="External"/><Relationship Id="rId498" Type="http://schemas.openxmlformats.org/officeDocument/2006/relationships/hyperlink" Target="https://www.otodom.pl/pl/oferta/rezerwacja-widok-na-park-slaski-i-staw-2-sypialni-ID4mfXi" TargetMode="External"/><Relationship Id="rId621" Type="http://schemas.openxmlformats.org/officeDocument/2006/relationships/hyperlink" Target="https://www.otodom.pl/pl/oferta/dwa-pokoje-w-cenie-kawalerki-ID4in0S" TargetMode="External"/><Relationship Id="rId260" Type="http://schemas.openxmlformats.org/officeDocument/2006/relationships/hyperlink" Target="https://otodom.pl/pl/oferta/m-4-garderoba-pod-klucz-czestochowa-parkitka-ID4ktOM" TargetMode="External"/><Relationship Id="rId719" Type="http://schemas.openxmlformats.org/officeDocument/2006/relationships/hyperlink" Target="https://www.otodom.pl/pl/oferta/rewelacyjny-beznakladowy-gotowiec-inwestycyjny-ID4osCA" TargetMode="External"/><Relationship Id="rId926" Type="http://schemas.openxmlformats.org/officeDocument/2006/relationships/hyperlink" Target="https://www.otodom.pl/pl/oferta/mieszkanie-39-09-m-gorzow-wielkopolski-ID4osZQ" TargetMode="External"/><Relationship Id="rId55" Type="http://schemas.openxmlformats.org/officeDocument/2006/relationships/hyperlink" Target="https://www.otodom.pl/pl/oferta/tuz-przy-umk-pierwsze-pietro-w-bloku-ID4op9e" TargetMode="External"/><Relationship Id="rId120" Type="http://schemas.openxmlformats.org/officeDocument/2006/relationships/hyperlink" Target="https://www.otodom.pl/pl/oferta/kawalerka-w-swietnej-lokalizacji-20min-do-centrum-ID4oxCQ" TargetMode="External"/><Relationship Id="rId358" Type="http://schemas.openxmlformats.org/officeDocument/2006/relationships/hyperlink" Target="https://otodom.pl/pl/oferta/apartament-z-basenem-i-kortem-tenisowym-ID4f7UN" TargetMode="External"/><Relationship Id="rId565" Type="http://schemas.openxmlformats.org/officeDocument/2006/relationships/hyperlink" Target="https://www.otodom.pl/pl/oferta/mieszkanie-nr-40-4-pietro-57-78-m2-3-pokoje-ID4gny6" TargetMode="External"/><Relationship Id="rId772" Type="http://schemas.openxmlformats.org/officeDocument/2006/relationships/hyperlink" Target="https://www.otodom.pl/pl/oferta/pinea-gotowy-do-odbioru-tuz-przy-plazy-ID4fG2Q" TargetMode="External"/><Relationship Id="rId218" Type="http://schemas.openxmlformats.org/officeDocument/2006/relationships/hyperlink" Target="https://www.otodom.pl/pl/oferta/mieszkanie-dwustronne-z-balkonem-ID4l9Ol" TargetMode="External"/><Relationship Id="rId425" Type="http://schemas.openxmlformats.org/officeDocument/2006/relationships/hyperlink" Target="https://otodom.pl/pl/oferta/piekne-mieszkanie-70-5-m-wysoki-standard-ID4moGI" TargetMode="External"/><Relationship Id="rId632" Type="http://schemas.openxmlformats.org/officeDocument/2006/relationships/hyperlink" Target="https://www.otodom.pl/pl/oferta/duze-mieszkanie-na-oksywiu-92-m2-ID4kU28" TargetMode="External"/><Relationship Id="rId271" Type="http://schemas.openxmlformats.org/officeDocument/2006/relationships/hyperlink" Target="https://otodom.pl/pl/oferta/narozny-apartament-perla-morz-m82-z-antresola-ID4bM0P" TargetMode="External"/><Relationship Id="rId937" Type="http://schemas.openxmlformats.org/officeDocument/2006/relationships/hyperlink" Target="https://otodom.pl/pl/oferta/parkowe-wzgorze-etap-ii-ID4lAmI" TargetMode="External"/><Relationship Id="rId66" Type="http://schemas.openxmlformats.org/officeDocument/2006/relationships/hyperlink" Target="https://www.otodom.pl/pl/oferta/deptak-boguslawa-x-nr-9-8-ID4mXpr" TargetMode="External"/><Relationship Id="rId131" Type="http://schemas.openxmlformats.org/officeDocument/2006/relationships/hyperlink" Target="https://www.otodom.pl/pl/oferta/mieszkanie-gdansk-wrzeszcz-ID4mZHf" TargetMode="External"/><Relationship Id="rId369" Type="http://schemas.openxmlformats.org/officeDocument/2006/relationships/hyperlink" Target="https://otodom.pl/pl/oferta/apartament-w-inwestycji-starter-2-piekny-widok-ID4m4NP" TargetMode="External"/><Relationship Id="rId576" Type="http://schemas.openxmlformats.org/officeDocument/2006/relationships/hyperlink" Target="https://www.otodom.pl/pl/oferta/mieszkanie-rotmanka-ID4lHQW" TargetMode="External"/><Relationship Id="rId783" Type="http://schemas.openxmlformats.org/officeDocument/2006/relationships/hyperlink" Target="https://www.otodom.pl/pl/oferta/podwyzszony-standard-deweloperski-zapraszamy-ID4jJo0" TargetMode="External"/><Relationship Id="rId990" Type="http://schemas.openxmlformats.org/officeDocument/2006/relationships/hyperlink" Target="https://otodom.pl/pl/oferta/w-sam-raz-na-start-lub-pod-wynajem-ID4lI5p" TargetMode="External"/><Relationship Id="rId229" Type="http://schemas.openxmlformats.org/officeDocument/2006/relationships/hyperlink" Target="https://www.otodom.pl/pl/oferta/kawalerka-dobry-standard-mpec-komunikacja-ID4ozj7" TargetMode="External"/><Relationship Id="rId436" Type="http://schemas.openxmlformats.org/officeDocument/2006/relationships/hyperlink" Target="https://otodom.pl/pl/oferta/apartament-dwupoziomowy-z-ogrodkiem-i-balkonem-ID4lod2" TargetMode="External"/><Relationship Id="rId643" Type="http://schemas.openxmlformats.org/officeDocument/2006/relationships/hyperlink" Target="https://www.otodom.pl/pl/oferta/dwa-pokoje-1-pietro-super-cena-ID4lT7Q" TargetMode="External"/><Relationship Id="rId850" Type="http://schemas.openxmlformats.org/officeDocument/2006/relationships/hyperlink" Target="https://otodom.pl/pl/oferta/centrum-apartamenty-41-63-m2-m7-z-ogrodkiem-ID4cFCo" TargetMode="External"/><Relationship Id="rId948" Type="http://schemas.openxmlformats.org/officeDocument/2006/relationships/hyperlink" Target="https://otodom.pl/pl/oferta/wygodne-mieszkanie-na-osiedlu-architektow-b2-3-m81-ID4dzMd" TargetMode="External"/><Relationship Id="rId77" Type="http://schemas.openxmlformats.org/officeDocument/2006/relationships/hyperlink" Target="https://www.otodom.pl/pl/oferta/nowoczesne-apartamenty-bliska-wegierska-ID4ogEz" TargetMode="External"/><Relationship Id="rId282" Type="http://schemas.openxmlformats.org/officeDocument/2006/relationships/hyperlink" Target="https://otodom.pl/pl/oferta/3-pokoje-2-balkony-super-lokalizacja-ID4kLo1" TargetMode="External"/><Relationship Id="rId503" Type="http://schemas.openxmlformats.org/officeDocument/2006/relationships/hyperlink" Target="https://www.otodom.pl/pl/oferta/nowa-cena-gaski-2-apartamenty-900-m-od-morza-ID4nmpq" TargetMode="External"/><Relationship Id="rId587" Type="http://schemas.openxmlformats.org/officeDocument/2006/relationships/hyperlink" Target="https://www.otodom.pl/pl/oferta/mieszkanie-po-generalnym-remoncie-3-pokoje-balkon-ID4lxLz" TargetMode="External"/><Relationship Id="rId710" Type="http://schemas.openxmlformats.org/officeDocument/2006/relationships/hyperlink" Target="https://www.otodom.pl/pl/oferta/dom-w-centrum-chelma-pow-calk-290m2-150m2mieszk-ID4nhOY" TargetMode="External"/><Relationship Id="rId808" Type="http://schemas.openxmlformats.org/officeDocument/2006/relationships/hyperlink" Target="https://www.otodom.pl/pl/oferta/nowy-czteropokojowy-apartament-nowa-cena-ID4kCkJ" TargetMode="External"/><Relationship Id="rId8" Type="http://schemas.openxmlformats.org/officeDocument/2006/relationships/hyperlink" Target="https://www.otodom.pl/pl/oferta/apartament-54m2-3-pok-gwarancja-najnizszej-ceny-ID4os4L" TargetMode="External"/><Relationship Id="rId142" Type="http://schemas.openxmlformats.org/officeDocument/2006/relationships/hyperlink" Target="https://www.otodom.pl/pl/oferta/dom-szeregowy-juszkowo-pruszcz-gdanski-144m2-ID4nLDc" TargetMode="External"/><Relationship Id="rId447" Type="http://schemas.openxmlformats.org/officeDocument/2006/relationships/hyperlink" Target="https://otodom.pl/pl/oferta/apartamenty-kasprowicza-apartament-c509-ID4chTR" TargetMode="External"/><Relationship Id="rId794" Type="http://schemas.openxmlformats.org/officeDocument/2006/relationships/hyperlink" Target="https://www.otodom.pl/pl/oferta/podwyzszony-standard-deweloperski-zapraszamy-ID4iVRg" TargetMode="External"/><Relationship Id="rId654" Type="http://schemas.openxmlformats.org/officeDocument/2006/relationships/hyperlink" Target="https://www.otodom.pl/pl/oferta/ogloszenie-testowe-7-09-2022-5-ID4ikRK" TargetMode="External"/><Relationship Id="rId861" Type="http://schemas.openxmlformats.org/officeDocument/2006/relationships/hyperlink" Target="https://otodom.pl/pl/oferta/nowoczesne-osiedle-dobra-cena-ID4kWll" TargetMode="External"/><Relationship Id="rId959" Type="http://schemas.openxmlformats.org/officeDocument/2006/relationships/hyperlink" Target="https://otodom.pl/pl/oferta/ostatnie-wolne-mieszkanie-2-pokoje-odbior-2023-ID4ma8L" TargetMode="External"/><Relationship Id="rId293" Type="http://schemas.openxmlformats.org/officeDocument/2006/relationships/hyperlink" Target="https://otodom.pl/pl/oferta/nowa-inwestycja-alchemia-3-pokojowe-ID4iDxd" TargetMode="External"/><Relationship Id="rId307" Type="http://schemas.openxmlformats.org/officeDocument/2006/relationships/hyperlink" Target="https://otodom.pl/pl/oferta/m-3-po-remoncie-1-pietro-loggia-wzgorze-wolnosci-ID4lazi" TargetMode="External"/><Relationship Id="rId514" Type="http://schemas.openxmlformats.org/officeDocument/2006/relationships/hyperlink" Target="https://www.otodom.pl/pl/oferta/apartamenty-zdrojowe-w-krasnobrodzie-na-sprzedaz-ID4ntCi" TargetMode="External"/><Relationship Id="rId721" Type="http://schemas.openxmlformats.org/officeDocument/2006/relationships/hyperlink" Target="https://www.otodom.pl/pl/oferta/wladyslawowo-ul-morelowa-24-5-gotowe-ID4nsDR" TargetMode="External"/><Relationship Id="rId88" Type="http://schemas.openxmlformats.org/officeDocument/2006/relationships/hyperlink" Target="https://www.otodom.pl/pl/oferta/dni-otwarte-30-12-ponad-100-tys-rabatu-kredyt-2-ID4otuF" TargetMode="External"/><Relationship Id="rId153" Type="http://schemas.openxmlformats.org/officeDocument/2006/relationships/hyperlink" Target="https://www.otodom.pl/pl/oferta/kawalerka-22-m2-centrum-swidnik-ID4o9cu" TargetMode="External"/><Relationship Id="rId360" Type="http://schemas.openxmlformats.org/officeDocument/2006/relationships/hyperlink" Target="https://otodom.pl/pl/oferta/apartament-dwupoziomowy-133-5-m2-ruczaj-ID4kOfg" TargetMode="External"/><Relationship Id="rId598" Type="http://schemas.openxmlformats.org/officeDocument/2006/relationships/hyperlink" Target="https://www.otodom.pl/pl/oferta/2-pokoje-55-5-m2-w-stanie-deweloperskim-retkinia-ID4oBdN" TargetMode="External"/><Relationship Id="rId819" Type="http://schemas.openxmlformats.org/officeDocument/2006/relationships/hyperlink" Target="https://www.otodom.pl/pl/oferta/4-pokoje-z-widokiem-na-zielen-w-wielu-lokaliza-ch-ID4l0Yg" TargetMode="External"/><Relationship Id="rId220" Type="http://schemas.openxmlformats.org/officeDocument/2006/relationships/hyperlink" Target="https://www.otodom.pl/pl/oferta/69-59-m2-na-granicy-morena-jasien-pietro-3-3-ID4oute" TargetMode="External"/><Relationship Id="rId458" Type="http://schemas.openxmlformats.org/officeDocument/2006/relationships/hyperlink" Target="https://otodom.pl/pl/oferta/a2-miejski-las-kolobrzeg-ID4ikF5" TargetMode="External"/><Relationship Id="rId665" Type="http://schemas.openxmlformats.org/officeDocument/2006/relationships/hyperlink" Target="https://www.otodom.pl/pl/oferta/na-sprzedazy-2-pok-mieszkanie-w-bloku-zlotoryja-ID4o8Cc" TargetMode="External"/><Relationship Id="rId872" Type="http://schemas.openxmlformats.org/officeDocument/2006/relationships/hyperlink" Target="https://otodom.pl/pl/oferta/nowe-3-pokoje-w-gryfinie-ID4jYS3" TargetMode="External"/><Relationship Id="rId15" Type="http://schemas.openxmlformats.org/officeDocument/2006/relationships/hyperlink" Target="https://www.otodom.pl/pl/oferta/dwupokojowe-mieszkanie-z-winda-piaseczno-ID4opYt" TargetMode="External"/><Relationship Id="rId318" Type="http://schemas.openxmlformats.org/officeDocument/2006/relationships/hyperlink" Target="https://otodom.pl/pl/oferta/mieszkanie-willowe-przyziemie-ogrod-wys-std-ID4j7n6" TargetMode="External"/><Relationship Id="rId525" Type="http://schemas.openxmlformats.org/officeDocument/2006/relationships/hyperlink" Target="https://www.otodom.pl/pl/oferta/mieszkanie-dwa-w-jednym-z-antresola-nowy-targ-ID4mA6M" TargetMode="External"/><Relationship Id="rId732" Type="http://schemas.openxmlformats.org/officeDocument/2006/relationships/hyperlink" Target="https://www.otodom.pl/pl/oferta/przestronne-mieszkanie-2-pokojowe-w-dobrej-cenie-ID4lTbE" TargetMode="External"/><Relationship Id="rId99" Type="http://schemas.openxmlformats.org/officeDocument/2006/relationships/hyperlink" Target="https://www.otodom.pl/pl/oferta/grunwald-ul-konfederacka-128m2-4-pokojowe-ID4nkmE" TargetMode="External"/><Relationship Id="rId164" Type="http://schemas.openxmlformats.org/officeDocument/2006/relationships/hyperlink" Target="https://www.otodom.pl/pl/oferta/piekne-konfortowe-mieszkanie-200m-od-morza-ID4oA17" TargetMode="External"/><Relationship Id="rId371" Type="http://schemas.openxmlformats.org/officeDocument/2006/relationships/hyperlink" Target="https://otodom.pl/pl/oferta/apartament-dwupoziomowy-z-balkonem-i-duzym-tarasem-ID4ljFJ" TargetMode="External"/><Relationship Id="rId469" Type="http://schemas.openxmlformats.org/officeDocument/2006/relationships/hyperlink" Target="https://otodom.pl/pl/oferta/apartament-4-pok-taras-w-mierzynie-promocja-ID4jVt7" TargetMode="External"/><Relationship Id="rId676" Type="http://schemas.openxmlformats.org/officeDocument/2006/relationships/hyperlink" Target="https://www.otodom.pl/pl/oferta/agroturystyka-na-pogorzu-izerskim-gotowy-biznes-ID4j2Bt" TargetMode="External"/><Relationship Id="rId883" Type="http://schemas.openxmlformats.org/officeDocument/2006/relationships/hyperlink" Target="https://www.otodom.pl/pl/oferta/3m-zamkniete-osiedle-ogrodek-klima-ID4ongV" TargetMode="External"/><Relationship Id="rId26" Type="http://schemas.openxmlformats.org/officeDocument/2006/relationships/hyperlink" Target="https://www.otodom.pl/pl/oferta/mieszkanie-60-70-m-poznan-ID4oDqE" TargetMode="External"/><Relationship Id="rId231" Type="http://schemas.openxmlformats.org/officeDocument/2006/relationships/hyperlink" Target="https://www.otodom.pl/pl/oferta/mieszkanie-lokal-w-samym-rynku-w-limanowej-ID4ozOK" TargetMode="External"/><Relationship Id="rId329" Type="http://schemas.openxmlformats.org/officeDocument/2006/relationships/hyperlink" Target="https://otodom.pl/pl/oferta/apartament-z-ogrodem-jastrzebia-gora-ID4hIvk" TargetMode="External"/><Relationship Id="rId536" Type="http://schemas.openxmlformats.org/officeDocument/2006/relationships/hyperlink" Target="https://www.otodom.pl/pl/oferta/mieszkanie-2-pokojowe-folwark-jankowice-ID4o3yV" TargetMode="External"/><Relationship Id="rId175" Type="http://schemas.openxmlformats.org/officeDocument/2006/relationships/hyperlink" Target="https://www.otodom.pl/pl/oferta/mieszkanie-3-pokoje-ogrodek-2-miejsca-postojowe-ID4o2KU" TargetMode="External"/><Relationship Id="rId743" Type="http://schemas.openxmlformats.org/officeDocument/2006/relationships/hyperlink" Target="https://www.otodom.pl/pl/oferta/apartament-z-duzym-tarasem-ID4kUSR" TargetMode="External"/><Relationship Id="rId950" Type="http://schemas.openxmlformats.org/officeDocument/2006/relationships/hyperlink" Target="https://otodom.pl/pl/oferta/wygodne-mieszkanie-osiedle-sloneczne-60b-ID4hb5x" TargetMode="External"/><Relationship Id="rId382" Type="http://schemas.openxmlformats.org/officeDocument/2006/relationships/hyperlink" Target="https://otodom.pl/pl/oferta/apartament-500m-od-morza-basen-kort-silownia-ID4mgk1" TargetMode="External"/><Relationship Id="rId603" Type="http://schemas.openxmlformats.org/officeDocument/2006/relationships/hyperlink" Target="https://www.otodom.pl/pl/oferta/mieszkanie-trzy-pokoje-48-m2-na-osiedlu-mokre-ID4lySf" TargetMode="External"/><Relationship Id="rId687" Type="http://schemas.openxmlformats.org/officeDocument/2006/relationships/hyperlink" Target="https://www.otodom.pl/pl/oferta/okazyjne-ceny-rabaty-do-120tys-tylko-do-soboty-ID4oC6Y" TargetMode="External"/><Relationship Id="rId810" Type="http://schemas.openxmlformats.org/officeDocument/2006/relationships/hyperlink" Target="https://otodom.pl/pl/oferta/nowe-mieszkanie-na-sprzedaz-jankowo-k-wagrowca-ID4me6T" TargetMode="External"/><Relationship Id="rId908" Type="http://schemas.openxmlformats.org/officeDocument/2006/relationships/hyperlink" Target="https://otodom.pl/pl/oferta/twoje-nowe-3-pokojowe-w-swiezej-inwestycji-ID4hRdn" TargetMode="External"/><Relationship Id="rId242" Type="http://schemas.openxmlformats.org/officeDocument/2006/relationships/hyperlink" Target="https://www.otodom.pl/pl/oferta/komfortowe-trzypokojowe-mieszkanie-na-goclawiu-ID4nywe" TargetMode="External"/><Relationship Id="rId894" Type="http://schemas.openxmlformats.org/officeDocument/2006/relationships/hyperlink" Target="https://otodom.pl/pl/oferta/loft-park-m-4-deweloperskie-69m2-lukowe-okna-ID4ktvQ" TargetMode="External"/><Relationship Id="rId37" Type="http://schemas.openxmlformats.org/officeDocument/2006/relationships/hyperlink" Target="https://www.otodom.pl/pl/oferta/stara-ochota-plac-narutowicza-ID4onSY" TargetMode="External"/><Relationship Id="rId102" Type="http://schemas.openxmlformats.org/officeDocument/2006/relationships/hyperlink" Target="https://www.otodom.pl/pl/oferta/2-pokoje-garaz-pietro-5-10-mordor-ID4mw0x" TargetMode="External"/><Relationship Id="rId547" Type="http://schemas.openxmlformats.org/officeDocument/2006/relationships/hyperlink" Target="https://www.otodom.pl/pl/oferta/apartament-na-tarninowie-blisko-centrum-parking-ID4nw07" TargetMode="External"/><Relationship Id="rId754" Type="http://schemas.openxmlformats.org/officeDocument/2006/relationships/hyperlink" Target="https://www.otodom.pl/pl/oferta/mieszkanie-z-ogrodkiem-w-ciechocinku-m7-ID4jzjQ" TargetMode="External"/><Relationship Id="rId961" Type="http://schemas.openxmlformats.org/officeDocument/2006/relationships/hyperlink" Target="https://otodom.pl/pl/oferta/domfastywidokowagranica-bialegostoku-ID4k4Vg" TargetMode="External"/><Relationship Id="rId90" Type="http://schemas.openxmlformats.org/officeDocument/2006/relationships/hyperlink" Target="https://www.otodom.pl/pl/oferta/4-pokoje-brak-pcc-bezposrednio-ID4oAAJ" TargetMode="External"/><Relationship Id="rId186" Type="http://schemas.openxmlformats.org/officeDocument/2006/relationships/hyperlink" Target="https://www.otodom.pl/pl/oferta/apartament-przy-ul-mickiewicza-4-pokoje-70-mkw-ID4ewOV" TargetMode="External"/><Relationship Id="rId393" Type="http://schemas.openxmlformats.org/officeDocument/2006/relationships/hyperlink" Target="https://otodom.pl/pl/oferta/apartament-128-17-m2-pradnik-bialy-ID4eQkt" TargetMode="External"/><Relationship Id="rId407" Type="http://schemas.openxmlformats.org/officeDocument/2006/relationships/hyperlink" Target="https://otodom.pl/pl/oferta/apartamenty-inwestycyjne-zwrot-23-vat-ID4keK9" TargetMode="External"/><Relationship Id="rId614" Type="http://schemas.openxmlformats.org/officeDocument/2006/relationships/hyperlink" Target="https://www.otodom.pl/pl/oferta/mieszkanie-w-wojciechowie-ID4jBh7" TargetMode="External"/><Relationship Id="rId821" Type="http://schemas.openxmlformats.org/officeDocument/2006/relationships/hyperlink" Target="https://otodom.pl/pl/oferta/nowe-2-pokoje-z-tarasem-przy-nospr-ID4m9cZ" TargetMode="External"/><Relationship Id="rId253" Type="http://schemas.openxmlformats.org/officeDocument/2006/relationships/hyperlink" Target="https://www.otodom.pl/pl/oferta/4-pokoje-na-osowej-ID4nVFJ" TargetMode="External"/><Relationship Id="rId460" Type="http://schemas.openxmlformats.org/officeDocument/2006/relationships/hyperlink" Target="https://otodom.pl/pl/oferta/apartament-przy-samych-szlakach-trasach-rowerowych-ID4iiVb" TargetMode="External"/><Relationship Id="rId698" Type="http://schemas.openxmlformats.org/officeDocument/2006/relationships/hyperlink" Target="https://www.otodom.pl/pl/oferta/kameralna-zabudowa-zielona-okolica-na-start-ID4oIEU" TargetMode="External"/><Relationship Id="rId919" Type="http://schemas.openxmlformats.org/officeDocument/2006/relationships/hyperlink" Target="https://www.otodom.pl/pl/oferta/stylowe-2-pokoje-z-pralnia-i-garderoba-w-centrum-ID4oJyY" TargetMode="External"/><Relationship Id="rId48" Type="http://schemas.openxmlformats.org/officeDocument/2006/relationships/hyperlink" Target="https://www.otodom.pl/pl/oferta/3-3-m-wysokosci-funkcjonalna-kawalerka-centrum-ID4oyKV" TargetMode="External"/><Relationship Id="rId113" Type="http://schemas.openxmlformats.org/officeDocument/2006/relationships/hyperlink" Target="https://www.otodom.pl/pl/oferta/ladne-komfortowe-m3-na-osiedlu-czarne-ID4oGXw" TargetMode="External"/><Relationship Id="rId320" Type="http://schemas.openxmlformats.org/officeDocument/2006/relationships/hyperlink" Target="https://otodom.pl/pl/oferta/mieszkanie-w-cichej-okolicy-ID4gFEg" TargetMode="External"/><Relationship Id="rId558" Type="http://schemas.openxmlformats.org/officeDocument/2006/relationships/hyperlink" Target="https://www.otodom.pl/pl/oferta/tylko-do-konca-lipca-ID4maOx" TargetMode="External"/><Relationship Id="rId765" Type="http://schemas.openxmlformats.org/officeDocument/2006/relationships/hyperlink" Target="https://www.otodom.pl/pl/oferta/mieszkanie-4-pokojowe-ul-dokerow-1-pietro-ID4o3cq" TargetMode="External"/><Relationship Id="rId972" Type="http://schemas.openxmlformats.org/officeDocument/2006/relationships/hyperlink" Target="https://otodom.pl/pl/oferta/nowoczesne-studio-przy-lesie-kup-i-zainwestuj-ID4gfCu" TargetMode="External"/><Relationship Id="rId197" Type="http://schemas.openxmlformats.org/officeDocument/2006/relationships/hyperlink" Target="https://www.otodom.pl/pl/oferta/dwupak-politechnika-c-o-miejskie-roi-11-ID4oxiE" TargetMode="External"/><Relationship Id="rId418" Type="http://schemas.openxmlformats.org/officeDocument/2006/relationships/hyperlink" Target="https://otodom.pl/pl/oferta/853-14328-oms-ID4mpDR" TargetMode="External"/><Relationship Id="rId625" Type="http://schemas.openxmlformats.org/officeDocument/2006/relationships/hyperlink" Target="https://www.otodom.pl/pl/oferta/niepodgleglosci-47-2m-ID4nDQZ" TargetMode="External"/><Relationship Id="rId832" Type="http://schemas.openxmlformats.org/officeDocument/2006/relationships/hyperlink" Target="https://www.otodom.pl/pl/oferta/3-pok-mieszkanie-z-ogrodkiem-20m-przy-metrze-ID4oqZ6" TargetMode="External"/><Relationship Id="rId264" Type="http://schemas.openxmlformats.org/officeDocument/2006/relationships/hyperlink" Target="https://otodom.pl/pl/oferta/piekny-widok-na-stadion-narodowy-ID4m2gw" TargetMode="External"/><Relationship Id="rId471" Type="http://schemas.openxmlformats.org/officeDocument/2006/relationships/hyperlink" Target="https://www.otodom.pl/pl/oferta/mragowo-wolnosci-mieszkanie-z-ogrodkiem-49-m2-ID4njlI" TargetMode="External"/><Relationship Id="rId59" Type="http://schemas.openxmlformats.org/officeDocument/2006/relationships/hyperlink" Target="https://www.otodom.pl/pl/oferta/mielno-apartament-wykonczony-wyposazony-ID4omjv" TargetMode="External"/><Relationship Id="rId124" Type="http://schemas.openxmlformats.org/officeDocument/2006/relationships/hyperlink" Target="https://www.otodom.pl/pl/oferta/mieszkanie-80-70-m-wejherowo-ID4oBL1" TargetMode="External"/><Relationship Id="rId569" Type="http://schemas.openxmlformats.org/officeDocument/2006/relationships/hyperlink" Target="https://www.otodom.pl/pl/oferta/kubali-ok-2023r-3pok-garaz-balkon-meble-lux-ID4oCmG" TargetMode="External"/><Relationship Id="rId776" Type="http://schemas.openxmlformats.org/officeDocument/2006/relationships/hyperlink" Target="https://www.otodom.pl/pl/oferta/kawalerka-do-wlasnej-aranzacji-bronowice-ID4nDyg" TargetMode="External"/><Relationship Id="rId983" Type="http://schemas.openxmlformats.org/officeDocument/2006/relationships/hyperlink" Target="https://otodom.pl/pl/oferta/w-pelni-wyposazony-mini-apartament-z-parkingiem-ID4maoN" TargetMode="External"/><Relationship Id="rId331" Type="http://schemas.openxmlformats.org/officeDocument/2006/relationships/hyperlink" Target="https://otodom.pl/pl/oferta/piekne-mieszkanie-pod-klucz-bez-pcc-ID4kyAG" TargetMode="External"/><Relationship Id="rId429" Type="http://schemas.openxmlformats.org/officeDocument/2006/relationships/hyperlink" Target="https://otodom.pl/pl/oferta/apartament-300m-od-morza-ID4jJPQ" TargetMode="External"/><Relationship Id="rId636" Type="http://schemas.openxmlformats.org/officeDocument/2006/relationships/hyperlink" Target="https://www.otodom.pl/pl/oferta/piekne-mieszkanie-w-echo-fuzji-top-ID4oa0X" TargetMode="External"/><Relationship Id="rId843" Type="http://schemas.openxmlformats.org/officeDocument/2006/relationships/hyperlink" Target="https://www.otodom.pl/pl/oferta/um-przedwstepna-wyzyny-3-pok-53-m-balkon-ID4o9j0" TargetMode="External"/><Relationship Id="rId275" Type="http://schemas.openxmlformats.org/officeDocument/2006/relationships/hyperlink" Target="https://otodom.pl/pl/oferta/2-poziomy-inwestycyjnie-zielona-okolica-ID4mpYR" TargetMode="External"/><Relationship Id="rId482" Type="http://schemas.openxmlformats.org/officeDocument/2006/relationships/hyperlink" Target="https://www.otodom.pl/pl/oferta/mieszkanie-w-nowoczesnym-stylu-ID4mA04" TargetMode="External"/><Relationship Id="rId703" Type="http://schemas.openxmlformats.org/officeDocument/2006/relationships/hyperlink" Target="https://www.otodom.pl/pl/oferta/apartament-sunday-resort-ustronie-morskie-ID4js5c" TargetMode="External"/><Relationship Id="rId910" Type="http://schemas.openxmlformats.org/officeDocument/2006/relationships/hyperlink" Target="https://otodom.pl/pl/oferta/kawalerka-z-ogrodkiem-gumience-warzymice-przeclaw-ID4k25I" TargetMode="External"/><Relationship Id="rId135" Type="http://schemas.openxmlformats.org/officeDocument/2006/relationships/hyperlink" Target="https://www.otodom.pl/pl/oferta/najwyzsze-pietro-w-zielonym-zakatku-ID4oDbQ" TargetMode="External"/><Relationship Id="rId342" Type="http://schemas.openxmlformats.org/officeDocument/2006/relationships/hyperlink" Target="https://otodom.pl/pl/oferta/piekny-nowy-dom-kredyt-2-mozliwy-osobny-gabinet-ID4mlpe" TargetMode="External"/><Relationship Id="rId787" Type="http://schemas.openxmlformats.org/officeDocument/2006/relationships/hyperlink" Target="https://www.otodom.pl/pl/oferta/3-pokojowe-nad-jeziorem-0-prowizji-dla-kupujacego-ID4oHJ2" TargetMode="External"/><Relationship Id="rId994" Type="http://schemas.openxmlformats.org/officeDocument/2006/relationships/hyperlink" Target="https://otodom.pl/pl/oferta/przestronny-apartament-z-balkonem-nad-morzem-58-2-ID4jUH3" TargetMode="External"/><Relationship Id="rId202" Type="http://schemas.openxmlformats.org/officeDocument/2006/relationships/hyperlink" Target="https://www.otodom.pl/pl/oferta/nowe-kapusciska-cisza-i-pelna-infrastruktura-ID4og2x" TargetMode="External"/><Relationship Id="rId647" Type="http://schemas.openxmlformats.org/officeDocument/2006/relationships/hyperlink" Target="https://www.otodom.pl/pl/oferta/mieszkanie-49-73-m-bielsko-biala-ID4jSrk" TargetMode="External"/><Relationship Id="rId854" Type="http://schemas.openxmlformats.org/officeDocument/2006/relationships/hyperlink" Target="https://www.otodom.pl/pl/oferta/2-pokojebalkonprzy-parku-ID4oErN" TargetMode="External"/><Relationship Id="rId286" Type="http://schemas.openxmlformats.org/officeDocument/2006/relationships/hyperlink" Target="https://otodom.pl/pl/oferta/3-pok-apartament-o-wysokim-standardzie-kolobrzeg-ID4kdHX" TargetMode="External"/><Relationship Id="rId493" Type="http://schemas.openxmlformats.org/officeDocument/2006/relationships/hyperlink" Target="https://www.otodom.pl/pl/oferta/mieszkanie-pruszcz-gdanski-ID4kkyp" TargetMode="External"/><Relationship Id="rId507" Type="http://schemas.openxmlformats.org/officeDocument/2006/relationships/hyperlink" Target="https://www.otodom.pl/pl/oferta/3-pokoje-ogrodek-o-wielosci-80-mkw-ostatnie-ID4oCrX" TargetMode="External"/><Relationship Id="rId714" Type="http://schemas.openxmlformats.org/officeDocument/2006/relationships/hyperlink" Target="https://www.otodom.pl/pl/oferta/4-pokoje-panorama-kwiatkowskiego-ng-development-ID4egCY" TargetMode="External"/><Relationship Id="rId921" Type="http://schemas.openxmlformats.org/officeDocument/2006/relationships/hyperlink" Target="https://otodom.pl/pl/oferta/kamienica-2-8h-2-balkony-widok-parkiet-ID4m6Zu" TargetMode="External"/><Relationship Id="rId50" Type="http://schemas.openxmlformats.org/officeDocument/2006/relationships/hyperlink" Target="https://www.otodom.pl/pl/oferta/mieszkanie-w-nowym-bloku-do-wydania-od-zaraz-ID4oyga" TargetMode="External"/><Relationship Id="rId146" Type="http://schemas.openxmlformats.org/officeDocument/2006/relationships/hyperlink" Target="https://www.otodom.pl/pl/oferta/5-pokoi-nowe-budownictwo-cisza-i-spokoj-ID4mPcH" TargetMode="External"/><Relationship Id="rId353" Type="http://schemas.openxmlformats.org/officeDocument/2006/relationships/hyperlink" Target="https://otodom.pl/pl/oferta/a13-winda-garaz-rolety-podlogowka-klimatyzacja-ID4lunS" TargetMode="External"/><Relationship Id="rId560" Type="http://schemas.openxmlformats.org/officeDocument/2006/relationships/hyperlink" Target="https://www.otodom.pl/pl/oferta/4-pokoje-z-loggia-i-p-wsrod-zieleni-blisko-wkd-ID4mh1P" TargetMode="External"/><Relationship Id="rId798" Type="http://schemas.openxmlformats.org/officeDocument/2006/relationships/hyperlink" Target="https://www.otodom.pl/pl/oferta/ladne-mieszkanie-60m2-dobra-cena-ID4oG1v" TargetMode="External"/><Relationship Id="rId213" Type="http://schemas.openxmlformats.org/officeDocument/2006/relationships/hyperlink" Target="https://www.otodom.pl/pl/oferta/sprzedam-mieszkanie-3pok70m-w-wa-ochota-akademicka-ID4njOk" TargetMode="External"/><Relationship Id="rId420" Type="http://schemas.openxmlformats.org/officeDocument/2006/relationships/hyperlink" Target="https://otodom.pl/pl/oferta/apartament-nad-morzem-23-vat-obsluga-najmu-ID4mfxa" TargetMode="External"/><Relationship Id="rId658" Type="http://schemas.openxmlformats.org/officeDocument/2006/relationships/hyperlink" Target="https://www.otodom.pl/pl/oferta/dom-gotowy-do-odbioru-0-pcc-i-prowizji-ID4l0J6" TargetMode="External"/><Relationship Id="rId865" Type="http://schemas.openxmlformats.org/officeDocument/2006/relationships/hyperlink" Target="https://www.otodom.pl/pl/oferta/inwestycyjne-5-pokoi-praga-poludnie-ID4o0x4" TargetMode="External"/><Relationship Id="rId297" Type="http://schemas.openxmlformats.org/officeDocument/2006/relationships/hyperlink" Target="https://otodom.pl/pl/oferta/nietuzinkowy-apartament-w-kolo-brzegu-ID4fwNk" TargetMode="External"/><Relationship Id="rId518" Type="http://schemas.openxmlformats.org/officeDocument/2006/relationships/hyperlink" Target="https://www.otodom.pl/pl/oferta/mieszkanie-2-pok-z-ogrodkiem-blisko-centrum-ID4onYt" TargetMode="External"/><Relationship Id="rId725" Type="http://schemas.openxmlformats.org/officeDocument/2006/relationships/hyperlink" Target="https://www.otodom.pl/pl/oferta/apartament-w-ciechocinku-gotowiec-inwestycyjny-ID4iOd7" TargetMode="External"/><Relationship Id="rId932" Type="http://schemas.openxmlformats.org/officeDocument/2006/relationships/hyperlink" Target="https://www.otodom.pl/pl/oferta/sasanka-xl-z-garazem-4-pokoje-2-lazienki-ogrod-ID4nNjz" TargetMode="External"/><Relationship Id="rId157" Type="http://schemas.openxmlformats.org/officeDocument/2006/relationships/hyperlink" Target="https://www.otodom.pl/pl/oferta/nowe-juz-wybudowane-3-pok-w-centrum-gliwic-ID4o21t" TargetMode="External"/><Relationship Id="rId364" Type="http://schemas.openxmlformats.org/officeDocument/2006/relationships/hyperlink" Target="https://otodom.pl/pl/oferta/apartament-w-inwestycji-pensjonat-polna-rowy-ID4ldpH" TargetMode="External"/><Relationship Id="rId61" Type="http://schemas.openxmlformats.org/officeDocument/2006/relationships/hyperlink" Target="https://www.otodom.pl/pl/oferta/3-pokoje-balkon-piwnica-ul-egejska-ID4og4I" TargetMode="External"/><Relationship Id="rId571" Type="http://schemas.openxmlformats.org/officeDocument/2006/relationships/hyperlink" Target="https://www.otodom.pl/pl/oferta/mieszkanie-w-nowoczesnym-stylu-52-m2-do-wejscia-ID4nWmu" TargetMode="External"/><Relationship Id="rId669" Type="http://schemas.openxmlformats.org/officeDocument/2006/relationships/hyperlink" Target="https://www.otodom.pl/pl/oferta/mieszkanie-lodz-stoki-ID4ogWp" TargetMode="External"/><Relationship Id="rId876" Type="http://schemas.openxmlformats.org/officeDocument/2006/relationships/hyperlink" Target="https://otodom.pl/pl/oferta/dom-w-cenie-mieszkania-silno-ID4lr4W" TargetMode="External"/><Relationship Id="rId19" Type="http://schemas.openxmlformats.org/officeDocument/2006/relationships/hyperlink" Target="https://www.otodom.pl/pl/oferta/komfortowy-dom-tarnow-ul-jesionowa-ID4mZ2V" TargetMode="External"/><Relationship Id="rId224" Type="http://schemas.openxmlformats.org/officeDocument/2006/relationships/hyperlink" Target="https://www.otodom.pl/pl/oferta/mieszanie-do-remontu-ID4okkg" TargetMode="External"/><Relationship Id="rId431" Type="http://schemas.openxmlformats.org/officeDocument/2006/relationships/hyperlink" Target="https://otodom.pl/pl/oferta/apartament-z-widokiem-na-morze-klimatyzacja-spa-ID4lCvb" TargetMode="External"/><Relationship Id="rId529" Type="http://schemas.openxmlformats.org/officeDocument/2006/relationships/hyperlink" Target="https://www.otodom.pl/pl/oferta/3-pokoje-58-17-m-3-pietro-balkon-5-5-m-ID4ofAZ" TargetMode="External"/><Relationship Id="rId736" Type="http://schemas.openxmlformats.org/officeDocument/2006/relationships/hyperlink" Target="https://www.otodom.pl/pl/oferta/piekny-dom-z-lokalem-na-sprzedaz-tarnowskie-gory-ID4nOcx" TargetMode="External"/><Relationship Id="rId168" Type="http://schemas.openxmlformats.org/officeDocument/2006/relationships/hyperlink" Target="https://www.otodom.pl/pl/oferta/sprzedam-pietro-domu-w-tarnowie-podgornym-ID4nyq5" TargetMode="External"/><Relationship Id="rId943" Type="http://schemas.openxmlformats.org/officeDocument/2006/relationships/hyperlink" Target="https://otodom.pl/pl/oferta/drozki-gmina-rychtal-na-sprzedaz-mieszkanie-43-m-ID4lJLl" TargetMode="External"/><Relationship Id="rId72" Type="http://schemas.openxmlformats.org/officeDocument/2006/relationships/hyperlink" Target="https://www.otodom.pl/pl/oferta/apartament-inwestycyjny-przy-czantorii-ustron-ID4nkzv" TargetMode="External"/><Relationship Id="rId375" Type="http://schemas.openxmlformats.org/officeDocument/2006/relationships/hyperlink" Target="https://otodom.pl/pl/oferta/pentrhouse-390m2-tarasow-303m2-apartamentu-ID4jUOx" TargetMode="External"/><Relationship Id="rId582" Type="http://schemas.openxmlformats.org/officeDocument/2006/relationships/hyperlink" Target="https://www.otodom.pl/pl/oferta/willa-u-podnoza-beskidow-ID4oFxW" TargetMode="External"/><Relationship Id="rId803" Type="http://schemas.openxmlformats.org/officeDocument/2006/relationships/hyperlink" Target="https://www.otodom.pl/pl/oferta/2-pokoje-z-balkonem-tramwaj-zielen-garaz-bk-2-ID4oqPV" TargetMode="External"/><Relationship Id="rId3" Type="http://schemas.openxmlformats.org/officeDocument/2006/relationships/hyperlink" Target="https://www.otodom.pl/pl/oferta/kawalerka-do-remontu-2-pietro-wyzyny-ID4nQZK" TargetMode="External"/><Relationship Id="rId235" Type="http://schemas.openxmlformats.org/officeDocument/2006/relationships/hyperlink" Target="https://www.otodom.pl/pl/oferta/apartament-z-tarasem-na-dachu-0-prowizji-ID4ncfc" TargetMode="External"/><Relationship Id="rId442" Type="http://schemas.openxmlformats.org/officeDocument/2006/relationships/hyperlink" Target="https://otodom.pl/pl/oferta/a1-mieszkanie-bezczynszowe-50m2-wisniowe-sady-ii-ID4gZ0a" TargetMode="External"/><Relationship Id="rId887" Type="http://schemas.openxmlformats.org/officeDocument/2006/relationships/hyperlink" Target="https://www.otodom.pl/pl/oferta/nowe-mieszkanie-b3-a8-3-pokoje-m-dwupoziomowe-ID4mwz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1"/>
  <sheetViews>
    <sheetView tabSelected="1" topLeftCell="M392" workbookViewId="0">
      <selection activeCell="M392" sqref="M1:M1048576"/>
    </sheetView>
  </sheetViews>
  <sheetFormatPr defaultColWidth="12.6640625" defaultRowHeight="15.75" customHeight="1" x14ac:dyDescent="0.25"/>
  <cols>
    <col min="2" max="3" width="47" customWidth="1"/>
    <col min="7" max="7" width="82.21875" customWidth="1"/>
    <col min="8" max="8" width="103" bestFit="1" customWidth="1"/>
    <col min="11" max="11" width="34.6640625" customWidth="1"/>
    <col min="12" max="12" width="6400.109375" customWidth="1"/>
    <col min="15" max="15" width="20.44140625" customWidth="1"/>
  </cols>
  <sheetData>
    <row r="1" spans="1:1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x14ac:dyDescent="0.25">
      <c r="A2" s="2">
        <v>45308</v>
      </c>
      <c r="B2" s="1" t="s">
        <v>18</v>
      </c>
      <c r="C2" s="1" t="str">
        <f ca="1">IFERROR(__xludf.DUMMYFUNCTION("GOOGLETRANSLATE(B2,""pl"",""en"")"),"Rejtana Park: 2 rooms 41.37 m² + balcony + garage")</f>
        <v>Rejtana Park: 2 rooms 41.37 m² + balcony + garage</v>
      </c>
      <c r="D2" s="1">
        <v>405426</v>
      </c>
      <c r="E2" s="1" t="s">
        <v>19</v>
      </c>
      <c r="F2" s="1">
        <v>41.37</v>
      </c>
      <c r="G2" s="1" t="s">
        <v>20</v>
      </c>
      <c r="H2" s="1" t="str">
        <f ca="1">IFERROR(__xludf.DUMMYFUNCTION("GOOGLETRANSLATE(G2,""pl"",""en"")"),"street. Sebastian Felsztyński, Nowe Rokita, Górna, Łódź, Łódź")</f>
        <v>street. Sebastian Felsztyński, Nowe Rokita, Górna, Łódź, Łódź</v>
      </c>
      <c r="I2" s="1" t="b">
        <v>1</v>
      </c>
      <c r="J2" s="1" t="s">
        <v>21</v>
      </c>
      <c r="K2" s="1" t="s">
        <v>22</v>
      </c>
      <c r="L2" s="1" t="s">
        <v>23</v>
      </c>
      <c r="M2" s="1">
        <v>2</v>
      </c>
      <c r="N2" s="1" t="s">
        <v>24</v>
      </c>
      <c r="O2" s="1" t="str">
        <f ca="1">IFERROR(__xludf.DUMMYFUNCTION("GOOGLETRANSLATE(N2,""pl"",""en"")"),"full ownership")</f>
        <v>full ownership</v>
      </c>
      <c r="P2" s="3" t="s">
        <v>25</v>
      </c>
      <c r="Q2" s="1" t="b">
        <v>1</v>
      </c>
      <c r="R2" s="1" t="s">
        <v>26</v>
      </c>
    </row>
    <row r="3" spans="1:18" x14ac:dyDescent="0.25">
      <c r="A3" s="2">
        <v>45308</v>
      </c>
      <c r="B3" s="1" t="s">
        <v>27</v>
      </c>
      <c r="C3" s="1" t="str">
        <f ca="1">IFERROR(__xludf.DUMMYFUNCTION("GOOGLETRANSLATE(B3,""pl"",""en"")"),"Nadolice Wielkie*Twin 139m*Plot 413.55m*")</f>
        <v>Nadolice Wielkie*Twin 139m*Plot 413.55m*</v>
      </c>
      <c r="D3" s="1">
        <v>839000</v>
      </c>
      <c r="E3" s="1" t="s">
        <v>19</v>
      </c>
      <c r="F3" s="1">
        <v>138.94999999999999</v>
      </c>
      <c r="G3" s="1" t="s">
        <v>28</v>
      </c>
      <c r="H3" s="1" t="str">
        <f ca="1">IFERROR(__xludf.DUMMYFUNCTION("GOOGLETRANSLATE(G3,""pl"",""en"")"),"Magnoliowa, Dobrzykowice, Czernica, Wrocław, Lower Silesia")</f>
        <v>Magnoliowa, Dobrzykowice, Czernica, Wrocław, Lower Silesia</v>
      </c>
      <c r="I3" s="1" t="b">
        <v>1</v>
      </c>
      <c r="J3" s="1" t="s">
        <v>21</v>
      </c>
      <c r="K3" s="1" t="s">
        <v>22</v>
      </c>
      <c r="L3" s="1" t="s">
        <v>29</v>
      </c>
      <c r="M3" s="1">
        <v>4</v>
      </c>
      <c r="N3" s="1" t="s">
        <v>21</v>
      </c>
      <c r="O3" s="1" t="str">
        <f ca="1">IFERROR(__xludf.DUMMYFUNCTION("GOOGLETRANSLATE(N3,""pl"",""en"")"),"null")</f>
        <v>null</v>
      </c>
      <c r="P3" s="3" t="s">
        <v>30</v>
      </c>
      <c r="Q3" s="1" t="b">
        <v>1</v>
      </c>
      <c r="R3" s="1" t="s">
        <v>31</v>
      </c>
    </row>
    <row r="4" spans="1:18" x14ac:dyDescent="0.25">
      <c r="A4" s="2">
        <v>45308</v>
      </c>
      <c r="B4" s="1" t="s">
        <v>32</v>
      </c>
      <c r="C4" s="1" t="str">
        <f ca="1">IFERROR(__xludf.DUMMYFUNCTION("GOOGLETRANSLATE(B4,""pl"",""en"")"),"Studio for renovation, 2nd floor of the heights")</f>
        <v>Studio for renovation, 2nd floor of the heights</v>
      </c>
      <c r="D4" s="1">
        <v>240000</v>
      </c>
      <c r="E4" s="1" t="s">
        <v>33</v>
      </c>
      <c r="F4" s="1">
        <v>26</v>
      </c>
      <c r="G4" s="1" t="s">
        <v>34</v>
      </c>
      <c r="H4" s="1" t="str">
        <f ca="1">IFERROR(__xludf.DUMMYFUNCTION("GOOGLETRANSLATE(G4,""pl"",""en"")"),"street. Łomżyńska, Wyżyny, Bydgoszcz, Kujawsko-Pomeranian Voivodeship")</f>
        <v>street. Łomżyńska, Wyżyny, Bydgoszcz, Kujawsko-Pomeranian Voivodeship</v>
      </c>
      <c r="I4" s="1" t="s">
        <v>21</v>
      </c>
      <c r="J4" s="1" t="s">
        <v>21</v>
      </c>
      <c r="K4" s="1" t="s">
        <v>22</v>
      </c>
      <c r="L4" s="1" t="s">
        <v>35</v>
      </c>
      <c r="M4" s="1">
        <v>1</v>
      </c>
      <c r="N4" s="1" t="s">
        <v>24</v>
      </c>
      <c r="O4" s="1" t="str">
        <f ca="1">IFERROR(__xludf.DUMMYFUNCTION("GOOGLETRANSLATE(N4,""pl"",""en"")"),"full ownership")</f>
        <v>full ownership</v>
      </c>
      <c r="P4" s="3" t="s">
        <v>36</v>
      </c>
      <c r="Q4" s="1" t="b">
        <v>1</v>
      </c>
      <c r="R4" s="1" t="s">
        <v>37</v>
      </c>
    </row>
    <row r="5" spans="1:18" x14ac:dyDescent="0.25">
      <c r="A5" s="2">
        <v>45308</v>
      </c>
      <c r="B5" s="1" t="s">
        <v>38</v>
      </c>
      <c r="C5" s="1" t="str">
        <f ca="1">IFERROR(__xludf.DUMMYFUNCTION("GOOGLETRANSLATE(B5,""pl"",""en"")"),"A one -story house with a large plot")</f>
        <v>A one -story house with a large plot</v>
      </c>
      <c r="D5" s="1">
        <v>460000</v>
      </c>
      <c r="E5" s="1" t="s">
        <v>33</v>
      </c>
      <c r="F5" s="1">
        <v>127.18</v>
      </c>
      <c r="G5" s="1" t="s">
        <v>39</v>
      </c>
      <c r="H5" s="1" t="str">
        <f ca="1">IFERROR(__xludf.DUMMYFUNCTION("GOOGLETRANSLATE(G5,""pl"",""en"")"),"Kołaki, Dąbrówka, Wołomiński, Masovian Voivodeship")</f>
        <v>Kołaki, Dąbrówka, Wołomiński, Masovian Voivodeship</v>
      </c>
      <c r="I5" s="1" t="b">
        <v>1</v>
      </c>
      <c r="J5" s="1" t="s">
        <v>21</v>
      </c>
      <c r="K5" s="1" t="s">
        <v>22</v>
      </c>
      <c r="L5" s="1" t="s">
        <v>40</v>
      </c>
      <c r="M5" s="1">
        <v>4</v>
      </c>
      <c r="N5" s="1" t="s">
        <v>21</v>
      </c>
      <c r="O5" s="1" t="str">
        <f ca="1">IFERROR(__xludf.DUMMYFUNCTION("GOOGLETRANSLATE(N5,""pl"",""en"")"),"null")</f>
        <v>null</v>
      </c>
      <c r="P5" s="3" t="s">
        <v>41</v>
      </c>
      <c r="Q5" s="1" t="b">
        <v>1</v>
      </c>
      <c r="R5" s="1" t="s">
        <v>42</v>
      </c>
    </row>
    <row r="6" spans="1:18" x14ac:dyDescent="0.25">
      <c r="A6" s="2">
        <v>45308</v>
      </c>
      <c r="B6" s="1" t="s">
        <v>43</v>
      </c>
      <c r="C6" s="1" t="str">
        <f ca="1">IFERROR(__xludf.DUMMYFUNCTION("GOOGLETRANSLATE(B6,""pl"",""en"")"),"Apartment over Motława after renovation in the center")</f>
        <v>Apartment over Motława after renovation in the center</v>
      </c>
      <c r="D6" s="1">
        <v>780000</v>
      </c>
      <c r="E6" s="1" t="s">
        <v>33</v>
      </c>
      <c r="F6" s="1">
        <v>39</v>
      </c>
      <c r="G6" s="1" t="s">
        <v>44</v>
      </c>
      <c r="H6" s="1" t="str">
        <f ca="1">IFERROR(__xludf.DUMMYFUNCTION("GOOGLETRANSLATE(G6,""pl"",""en"")"),"street. Kamienna Grobla, Śródmieście, Gdańsk, Pomeranian Voivodeship")</f>
        <v>street. Kamienna Grobla, Śródmieście, Gdańsk, Pomeranian Voivodeship</v>
      </c>
      <c r="I6" s="1" t="s">
        <v>21</v>
      </c>
      <c r="J6" s="1" t="s">
        <v>21</v>
      </c>
      <c r="K6" s="1" t="s">
        <v>45</v>
      </c>
      <c r="L6" s="1" t="s">
        <v>46</v>
      </c>
      <c r="M6" s="1">
        <v>2</v>
      </c>
      <c r="N6" s="1" t="s">
        <v>24</v>
      </c>
      <c r="O6" s="1" t="str">
        <f ca="1">IFERROR(__xludf.DUMMYFUNCTION("GOOGLETRANSLATE(N6,""pl"",""en"")"),"full ownership")</f>
        <v>full ownership</v>
      </c>
      <c r="P6" s="3" t="s">
        <v>47</v>
      </c>
      <c r="Q6" s="1" t="b">
        <v>1</v>
      </c>
      <c r="R6" s="1" t="s">
        <v>48</v>
      </c>
    </row>
    <row r="7" spans="1:18" x14ac:dyDescent="0.25">
      <c r="A7" s="2">
        <v>45308</v>
      </c>
      <c r="B7" s="1" t="s">
        <v>49</v>
      </c>
      <c r="C7" s="1" t="str">
        <f ca="1">IFERROR(__xludf.DUMMYFUNCTION("GOOGLETRANSLATE(B7,""pl"",""en"")"),"2x garden_3km old town_17XTRAMWA_RABAT&gt; PLN 100,000")</f>
        <v>2x garden_3km old town_17XTRAMWA_RABAT&gt; PLN 100,000</v>
      </c>
      <c r="D7" s="1">
        <v>744570</v>
      </c>
      <c r="E7" s="1" t="s">
        <v>19</v>
      </c>
      <c r="F7" s="1">
        <v>73.819999999999993</v>
      </c>
      <c r="G7" s="1" t="s">
        <v>4689</v>
      </c>
      <c r="H7" s="1" t="str">
        <f ca="1">IFERROR(__xludf.DUMMYFUNCTION("GOOGLETRANSLATE(G7,""pl"",""en"")"),"Rataje, Nowe Miasto, Poznań, Greater Poland")</f>
        <v>Rataje, Nowe Miasto, Poznań, Greater Poland</v>
      </c>
      <c r="I7" s="1" t="b">
        <v>1</v>
      </c>
      <c r="J7" s="1" t="s">
        <v>21</v>
      </c>
      <c r="K7" s="1" t="s">
        <v>22</v>
      </c>
      <c r="L7" s="1" t="s">
        <v>50</v>
      </c>
      <c r="M7" s="1">
        <v>4</v>
      </c>
      <c r="N7" s="1" t="s">
        <v>24</v>
      </c>
      <c r="O7" s="1" t="str">
        <f ca="1">IFERROR(__xludf.DUMMYFUNCTION("GOOGLETRANSLATE(N7,""pl"",""en"")"),"full ownership")</f>
        <v>full ownership</v>
      </c>
      <c r="P7" s="3" t="s">
        <v>51</v>
      </c>
      <c r="Q7" s="1" t="b">
        <v>1</v>
      </c>
      <c r="R7" s="1" t="s">
        <v>52</v>
      </c>
    </row>
    <row r="8" spans="1:18" x14ac:dyDescent="0.25">
      <c r="A8" s="2">
        <v>45308</v>
      </c>
      <c r="B8" s="1" t="s">
        <v>53</v>
      </c>
      <c r="C8" s="1" t="str">
        <f ca="1">IFERROR(__xludf.DUMMYFUNCTION("GOOGLETRANSLATE(B8,""pl"",""en"")"),"Apartment 55m finished turnkey in beautiful")</f>
        <v>Apartment 55m finished turnkey in beautiful</v>
      </c>
      <c r="D8" s="1">
        <v>624900</v>
      </c>
      <c r="E8" s="1" t="s">
        <v>33</v>
      </c>
      <c r="F8" s="1">
        <v>54.95</v>
      </c>
      <c r="G8" s="1" t="s">
        <v>54</v>
      </c>
      <c r="H8" s="1" t="str">
        <f ca="1">IFERROR(__xludf.DUMMYFUNCTION("GOOGLETRANSLATE(G8,""pl"",""en"")"),"street. Fordońska, Stary Fordon, Bydgoszcz, Kujawsko-Pomeranian Voivodeship")</f>
        <v>street. Fordońska, Stary Fordon, Bydgoszcz, Kujawsko-Pomeranian Voivodeship</v>
      </c>
      <c r="I8" s="1" t="s">
        <v>21</v>
      </c>
      <c r="J8" s="1" t="s">
        <v>21</v>
      </c>
      <c r="K8" s="1" t="s">
        <v>22</v>
      </c>
      <c r="L8" s="1" t="s">
        <v>55</v>
      </c>
      <c r="M8" s="1">
        <v>3</v>
      </c>
      <c r="N8" s="1" t="s">
        <v>24</v>
      </c>
      <c r="O8" s="1" t="str">
        <f ca="1">IFERROR(__xludf.DUMMYFUNCTION("GOOGLETRANSLATE(N8,""pl"",""en"")"),"full ownership")</f>
        <v>full ownership</v>
      </c>
      <c r="P8" s="3" t="s">
        <v>56</v>
      </c>
      <c r="Q8" s="1" t="b">
        <v>1</v>
      </c>
      <c r="R8" s="1" t="s">
        <v>57</v>
      </c>
    </row>
    <row r="9" spans="1:18" x14ac:dyDescent="0.25">
      <c r="A9" s="2">
        <v>45308</v>
      </c>
      <c r="B9" s="1" t="s">
        <v>58</v>
      </c>
      <c r="C9" s="1" t="str">
        <f ca="1">IFERROR(__xludf.DUMMYFUNCTION("GOOGLETRANSLATE(B9,""pl"",""en"")"),"Apartment 54m2, 3 POK, guarantee of the lowest price!")</f>
        <v>Apartment 54m2, 3 POK, guarantee of the lowest price!</v>
      </c>
      <c r="D9" s="1">
        <v>413959</v>
      </c>
      <c r="E9" s="1" t="s">
        <v>19</v>
      </c>
      <c r="F9" s="1">
        <v>54.07</v>
      </c>
      <c r="G9" s="1" t="s">
        <v>59</v>
      </c>
      <c r="H9" s="1" t="str">
        <f ca="1">IFERROR(__xludf.DUMMYFUNCTION("GOOGLETRANSLATE(G9,""pl"",""en"")"),"Sielec, Sosnowiec, Silesian Voivodeship")</f>
        <v>Sielec, Sosnowiec, Silesian Voivodeship</v>
      </c>
      <c r="I9" s="1" t="s">
        <v>21</v>
      </c>
      <c r="J9" s="1" t="s">
        <v>21</v>
      </c>
      <c r="K9" s="1" t="s">
        <v>22</v>
      </c>
      <c r="L9" s="1" t="s">
        <v>60</v>
      </c>
      <c r="M9" s="1">
        <v>3</v>
      </c>
      <c r="N9" s="1" t="s">
        <v>24</v>
      </c>
      <c r="O9" s="1" t="str">
        <f ca="1">IFERROR(__xludf.DUMMYFUNCTION("GOOGLETRANSLATE(N9,""pl"",""en"")"),"full ownership")</f>
        <v>full ownership</v>
      </c>
      <c r="P9" s="3" t="s">
        <v>61</v>
      </c>
      <c r="Q9" s="1" t="b">
        <v>1</v>
      </c>
      <c r="R9" s="1" t="s">
        <v>62</v>
      </c>
    </row>
    <row r="10" spans="1:18" x14ac:dyDescent="0.25">
      <c r="A10" s="2">
        <v>45308</v>
      </c>
      <c r="B10" s="1" t="s">
        <v>63</v>
      </c>
      <c r="C10" s="1" t="str">
        <f ca="1">IFERROR(__xludf.DUMMYFUNCTION("GOOGLETRANSLATE(B10,""pl"",""en"")"),"New 3 rooms 70.76 m2! Excellent arrangement! Balcony!")</f>
        <v>New 3 rooms 70.76 m2! Excellent arrangement! Balcony!</v>
      </c>
      <c r="D10" s="1">
        <v>682000</v>
      </c>
      <c r="E10" s="1" t="s">
        <v>19</v>
      </c>
      <c r="F10" s="1">
        <v>70.760000000000005</v>
      </c>
      <c r="G10" s="1" t="s">
        <v>4690</v>
      </c>
      <c r="H10" s="1" t="str">
        <f ca="1">IFERROR(__xludf.DUMMYFUNCTION("GOOGLETRANSLATE(G10,""pl"",""en"")"),"Starołęka Mała, Nowe Miasto, Poznań, Greater Poland")</f>
        <v>Starołęka Mała, Nowe Miasto, Poznań, Greater Poland</v>
      </c>
      <c r="I10" s="1" t="s">
        <v>21</v>
      </c>
      <c r="J10" s="1" t="s">
        <v>21</v>
      </c>
      <c r="K10" s="1" t="s">
        <v>22</v>
      </c>
      <c r="L10" s="1" t="s">
        <v>64</v>
      </c>
      <c r="M10" s="1">
        <v>3</v>
      </c>
      <c r="N10" s="1" t="s">
        <v>24</v>
      </c>
      <c r="O10" s="1" t="str">
        <f ca="1">IFERROR(__xludf.DUMMYFUNCTION("GOOGLETRANSLATE(N10,""pl"",""en"")"),"full ownership")</f>
        <v>full ownership</v>
      </c>
      <c r="P10" s="3" t="s">
        <v>65</v>
      </c>
      <c r="Q10" s="1" t="b">
        <v>1</v>
      </c>
      <c r="R10" s="1" t="s">
        <v>66</v>
      </c>
    </row>
    <row r="11" spans="1:18" x14ac:dyDescent="0.25">
      <c r="A11" s="2">
        <v>45308</v>
      </c>
      <c r="B11" s="1" t="s">
        <v>67</v>
      </c>
      <c r="C11" s="1" t="str">
        <f ca="1">IFERROR(__xludf.DUMMYFUNCTION("GOOGLETRANSLATE(B11,""pl"",""en"")"),"Spacious 3 rooms in Świdwin!")</f>
        <v>Spacious 3 rooms in Świdwin!</v>
      </c>
      <c r="D11" s="1">
        <v>349000</v>
      </c>
      <c r="E11" s="1" t="s">
        <v>33</v>
      </c>
      <c r="F11" s="1">
        <v>81</v>
      </c>
      <c r="G11" s="1" t="s">
        <v>68</v>
      </c>
      <c r="H11" s="1" t="str">
        <f ca="1">IFERROR(__xludf.DUMMYFUNCTION("GOOGLETRANSLATE(G11,""pl"",""en"")"),"Świdwin, Świdwiński, ZachodnioPomeranian Voivodeship")</f>
        <v>Świdwin, Świdwiński, ZachodnioPomeranian Voivodeship</v>
      </c>
      <c r="I11" s="1" t="s">
        <v>21</v>
      </c>
      <c r="J11" s="1" t="s">
        <v>21</v>
      </c>
      <c r="K11" s="1" t="s">
        <v>45</v>
      </c>
      <c r="L11" s="1" t="s">
        <v>69</v>
      </c>
      <c r="M11" s="1">
        <v>3</v>
      </c>
      <c r="N11" s="1" t="s">
        <v>24</v>
      </c>
      <c r="O11" s="1" t="str">
        <f ca="1">IFERROR(__xludf.DUMMYFUNCTION("GOOGLETRANSLATE(N11,""pl"",""en"")"),"full ownership")</f>
        <v>full ownership</v>
      </c>
      <c r="P11" s="3" t="s">
        <v>70</v>
      </c>
      <c r="Q11" s="1" t="b">
        <v>1</v>
      </c>
      <c r="R11" s="1" t="s">
        <v>71</v>
      </c>
    </row>
    <row r="12" spans="1:18" x14ac:dyDescent="0.25">
      <c r="A12" s="2">
        <v>45308</v>
      </c>
      <c r="B12" s="1" t="s">
        <v>72</v>
      </c>
      <c r="C12" s="1" t="str">
        <f ca="1">IFERROR(__xludf.DUMMYFUNCTION("GOOGLETRANSLATE(B12,""pl"",""en"")"),"Ready 3 rooms 64.45 m2 + 2 parking spaces")</f>
        <v>Ready 3 rooms 64.45 m2 + 2 parking spaces</v>
      </c>
      <c r="D12" s="1">
        <v>1070000</v>
      </c>
      <c r="E12" s="1" t="s">
        <v>33</v>
      </c>
      <c r="F12" s="1">
        <v>64.45</v>
      </c>
      <c r="G12" s="1" t="s">
        <v>73</v>
      </c>
      <c r="H12" s="1" t="str">
        <f ca="1">IFERROR(__xludf.DUMMYFUNCTION("GOOGLETRANSLATE(G12,""pl"",""en"")"),"street. Tadeusz Jasiński, Jasień, Gdańsk, Pomeranian Voivodeship")</f>
        <v>street. Tadeusz Jasiński, Jasień, Gdańsk, Pomeranian Voivodeship</v>
      </c>
      <c r="I12" s="1" t="s">
        <v>21</v>
      </c>
      <c r="J12" s="1" t="s">
        <v>21</v>
      </c>
      <c r="K12" s="1" t="s">
        <v>45</v>
      </c>
      <c r="L12" s="1" t="s">
        <v>74</v>
      </c>
      <c r="M12" s="1">
        <v>3</v>
      </c>
      <c r="N12" s="1" t="s">
        <v>24</v>
      </c>
      <c r="O12" s="1" t="str">
        <f ca="1">IFERROR(__xludf.DUMMYFUNCTION("GOOGLETRANSLATE(N12,""pl"",""en"")"),"full ownership")</f>
        <v>full ownership</v>
      </c>
      <c r="P12" s="3" t="s">
        <v>75</v>
      </c>
      <c r="Q12" s="1" t="b">
        <v>1</v>
      </c>
      <c r="R12" s="1" t="s">
        <v>76</v>
      </c>
    </row>
    <row r="13" spans="1:18" x14ac:dyDescent="0.25">
      <c r="A13" s="2">
        <v>45308</v>
      </c>
      <c r="B13" s="1" t="s">
        <v>77</v>
      </c>
      <c r="C13" s="1" t="str">
        <f ca="1">IFERROR(__xludf.DUMMYFUNCTION("GOOGLETRANSLATE(B13,""pl"",""en"")"),"Scheduled 3 -room apartment with loggia")</f>
        <v>Scheduled 3 -room apartment with loggia</v>
      </c>
      <c r="D13" s="1">
        <v>380000</v>
      </c>
      <c r="E13" s="1" t="s">
        <v>33</v>
      </c>
      <c r="F13" s="1">
        <v>68</v>
      </c>
      <c r="G13" s="1" t="s">
        <v>78</v>
      </c>
      <c r="H13" s="1" t="str">
        <f ca="1">IFERROR(__xludf.DUMMYFUNCTION("GOOGLETRANSLATE(G13,""pl"",""en"")"),"street. Teofila Lenartowicz, Zagórze Południe, Sosnowiec, Silesian Voivodeship")</f>
        <v>street. Teofila Lenartowicz, Zagórze Południe, Sosnowiec, Silesian Voivodeship</v>
      </c>
      <c r="I13" s="1" t="s">
        <v>21</v>
      </c>
      <c r="J13" s="1" t="s">
        <v>21</v>
      </c>
      <c r="K13" s="1" t="s">
        <v>22</v>
      </c>
      <c r="L13" s="1" t="s">
        <v>79</v>
      </c>
      <c r="M13" s="1">
        <v>3</v>
      </c>
      <c r="N13" s="1" t="s">
        <v>24</v>
      </c>
      <c r="O13" s="1" t="str">
        <f ca="1">IFERROR(__xludf.DUMMYFUNCTION("GOOGLETRANSLATE(N13,""pl"",""en"")"),"full ownership")</f>
        <v>full ownership</v>
      </c>
      <c r="P13" s="3" t="s">
        <v>80</v>
      </c>
      <c r="Q13" s="1" t="b">
        <v>1</v>
      </c>
      <c r="R13" s="1" t="s">
        <v>81</v>
      </c>
    </row>
    <row r="14" spans="1:18" x14ac:dyDescent="0.25">
      <c r="A14" s="2">
        <v>45308</v>
      </c>
      <c r="B14" s="1" t="s">
        <v>82</v>
      </c>
      <c r="C14" s="1" t="str">
        <f ca="1">IFERROR(__xludf.DUMMYFUNCTION("GOOGLETRANSLATE(B14,""pl"",""en"")"),"Apartment, 42.78 m², Zabrze")</f>
        <v>Apartment, 42.78 m², Zabrze</v>
      </c>
      <c r="D14" s="1">
        <v>230000</v>
      </c>
      <c r="E14" s="1" t="s">
        <v>33</v>
      </c>
      <c r="F14" s="1">
        <v>42.78</v>
      </c>
      <c r="G14" s="1" t="s">
        <v>83</v>
      </c>
      <c r="H14" s="1" t="str">
        <f ca="1">IFERROR(__xludf.DUMMYFUNCTION("GOOGLETRANSLATE(G14,""pl"",""en"")"),"axis. Janek, Guido, Zabrze, Silesian Voivodeship")</f>
        <v>axis. Janek, Guido, Zabrze, Silesian Voivodeship</v>
      </c>
      <c r="I14" s="1" t="s">
        <v>21</v>
      </c>
      <c r="J14" s="1" t="s">
        <v>21</v>
      </c>
      <c r="K14" s="1" t="s">
        <v>22</v>
      </c>
      <c r="L14" s="1" t="s">
        <v>84</v>
      </c>
      <c r="M14" s="1">
        <v>2</v>
      </c>
      <c r="N14" s="1" t="s">
        <v>85</v>
      </c>
      <c r="O14" s="1" t="str">
        <f ca="1">IFERROR(__xludf.DUMMYFUNCTION("GOOGLETRANSLATE(N14,""pl"",""en"")"),"Cooperative ownership of the right to the premises")</f>
        <v>Cooperative ownership of the right to the premises</v>
      </c>
      <c r="P14" s="3" t="s">
        <v>86</v>
      </c>
      <c r="Q14" s="1" t="b">
        <v>1</v>
      </c>
      <c r="R14" s="1" t="s">
        <v>87</v>
      </c>
    </row>
    <row r="15" spans="1:18" x14ac:dyDescent="0.25">
      <c r="A15" s="2">
        <v>45308</v>
      </c>
      <c r="B15" s="1" t="s">
        <v>88</v>
      </c>
      <c r="C15" s="1" t="str">
        <f ca="1">IFERROR(__xludf.DUMMYFUNCTION("GOOGLETRANSLATE(B15,""pl"",""en"")"),"Center. Beautiful two -room turnkey !!")</f>
        <v>Center. Beautiful two -room turnkey !!</v>
      </c>
      <c r="D15" s="1">
        <v>549010</v>
      </c>
      <c r="E15" s="1" t="s">
        <v>33</v>
      </c>
      <c r="F15" s="1">
        <v>58.22</v>
      </c>
      <c r="G15" s="1" t="s">
        <v>89</v>
      </c>
      <c r="H15" s="1" t="str">
        <f ca="1">IFERROR(__xludf.DUMMYFUNCTION("GOOGLETRANSLATE(G15,""pl"",""en"")"),"Okole, Bydgoszcz, Kujawsko-Pomeranian Voivodeship")</f>
        <v>Okole, Bydgoszcz, Kujawsko-Pomeranian Voivodeship</v>
      </c>
      <c r="I15" s="1" t="s">
        <v>21</v>
      </c>
      <c r="J15" s="1" t="s">
        <v>21</v>
      </c>
      <c r="K15" s="1" t="s">
        <v>22</v>
      </c>
      <c r="L15" s="1" t="s">
        <v>90</v>
      </c>
      <c r="M15" s="1">
        <v>2</v>
      </c>
      <c r="N15" s="1" t="s">
        <v>24</v>
      </c>
      <c r="O15" s="1" t="str">
        <f ca="1">IFERROR(__xludf.DUMMYFUNCTION("GOOGLETRANSLATE(N15,""pl"",""en"")"),"full ownership")</f>
        <v>full ownership</v>
      </c>
      <c r="P15" s="3" t="s">
        <v>91</v>
      </c>
      <c r="Q15" s="1" t="b">
        <v>1</v>
      </c>
      <c r="R15" s="1" t="s">
        <v>92</v>
      </c>
    </row>
    <row r="16" spans="1:18" x14ac:dyDescent="0.25">
      <c r="A16" s="2">
        <v>45308</v>
      </c>
      <c r="B16" s="1" t="s">
        <v>93</v>
      </c>
      <c r="C16" s="1" t="str">
        <f ca="1">IFERROR(__xludf.DUMMYFUNCTION("GOOGLETRANSLATE(B16,""pl"",""en"")"),"A two -room apartment with an elevator - Piaseczno")</f>
        <v>A two -room apartment with an elevator - Piaseczno</v>
      </c>
      <c r="D16" s="1">
        <v>420000</v>
      </c>
      <c r="E16" s="1" t="s">
        <v>33</v>
      </c>
      <c r="F16" s="1">
        <v>34.200000000000003</v>
      </c>
      <c r="G16" s="1" t="s">
        <v>94</v>
      </c>
      <c r="H16" s="1" t="str">
        <f ca="1">IFERROR(__xludf.DUMMYFUNCTION("GOOGLETRANSLATE(G16,""pl"",""en"")"),"Piaseczno, Piaseczno, Piaseczyński, and Masovian Voivodeship")</f>
        <v>Piaseczno, Piaseczno, Piaseczyński, and Masovian Voivodeship</v>
      </c>
      <c r="I16" s="1" t="s">
        <v>21</v>
      </c>
      <c r="J16" s="1" t="s">
        <v>21</v>
      </c>
      <c r="K16" s="1" t="s">
        <v>22</v>
      </c>
      <c r="L16" s="1" t="s">
        <v>95</v>
      </c>
      <c r="M16" s="1">
        <v>2</v>
      </c>
      <c r="N16" s="1" t="s">
        <v>24</v>
      </c>
      <c r="O16" s="1" t="str">
        <f ca="1">IFERROR(__xludf.DUMMYFUNCTION("GOOGLETRANSLATE(N16,""pl"",""en"")"),"full ownership")</f>
        <v>full ownership</v>
      </c>
      <c r="P16" s="3" t="s">
        <v>96</v>
      </c>
      <c r="Q16" s="1" t="b">
        <v>1</v>
      </c>
      <c r="R16" s="1" t="s">
        <v>97</v>
      </c>
    </row>
    <row r="17" spans="1:18" x14ac:dyDescent="0.25">
      <c r="A17" s="2">
        <v>45308</v>
      </c>
      <c r="B17" s="1" t="s">
        <v>98</v>
      </c>
      <c r="C17" s="1" t="str">
        <f ca="1">IFERROR(__xludf.DUMMYFUNCTION("GOOGLETRANSLATE(B17,""pl"",""en"")"),"A luxurious apartment after renovation in Piła")</f>
        <v>A luxurious apartment after renovation in Piła</v>
      </c>
      <c r="D17" s="1">
        <v>269000</v>
      </c>
      <c r="E17" s="1" t="s">
        <v>33</v>
      </c>
      <c r="F17" s="1">
        <v>26.1</v>
      </c>
      <c r="G17" s="1" t="s">
        <v>4691</v>
      </c>
      <c r="H17" s="1" t="str">
        <f ca="1">IFERROR(__xludf.DUMMYFUNCTION("GOOGLETRANSLATE(G17,""pl"",""en"")"),"street. Okólna, Piła, Pilski, Greater Poland")</f>
        <v>street. Okólna, Piła, Pilski, Greater Poland</v>
      </c>
      <c r="I17" s="1" t="b">
        <v>1</v>
      </c>
      <c r="J17" s="1" t="s">
        <v>21</v>
      </c>
      <c r="K17" s="1" t="s">
        <v>22</v>
      </c>
      <c r="L17" s="1" t="s">
        <v>99</v>
      </c>
      <c r="M17" s="1">
        <v>1</v>
      </c>
      <c r="N17" s="1" t="s">
        <v>24</v>
      </c>
      <c r="O17" s="1" t="str">
        <f ca="1">IFERROR(__xludf.DUMMYFUNCTION("GOOGLETRANSLATE(N17,""pl"",""en"")"),"full ownership")</f>
        <v>full ownership</v>
      </c>
      <c r="P17" s="3" t="s">
        <v>100</v>
      </c>
      <c r="Q17" s="1" t="b">
        <v>1</v>
      </c>
      <c r="R17" s="1" t="s">
        <v>101</v>
      </c>
    </row>
    <row r="18" spans="1:18" x14ac:dyDescent="0.25">
      <c r="A18" s="2">
        <v>45308</v>
      </c>
      <c r="B18" s="1" t="s">
        <v>102</v>
      </c>
      <c r="C18" s="1" t="str">
        <f ca="1">IFERROR(__xludf.DUMMYFUNCTION("GOOGLETRANSLATE(B18,""pl"",""en"")"),"Apartment, 53.53 m², Lublin")</f>
        <v>Apartment, 53.53 m², Lublin</v>
      </c>
      <c r="D18" s="1">
        <v>546006</v>
      </c>
      <c r="E18" s="1" t="s">
        <v>19</v>
      </c>
      <c r="F18" s="1">
        <v>53.53</v>
      </c>
      <c r="G18" s="1" t="s">
        <v>103</v>
      </c>
      <c r="H18" s="1" t="str">
        <f ca="1">IFERROR(__xludf.DUMMYFUNCTION("GOOGLETRANSLATE(G18,""pl"",""en"")"),"Bronowice, Lublin, Lublin Voivodeship")</f>
        <v>Bronowice, Lublin, Lublin Voivodeship</v>
      </c>
      <c r="I18" s="1" t="s">
        <v>21</v>
      </c>
      <c r="J18" s="1" t="s">
        <v>21</v>
      </c>
      <c r="K18" s="1" t="s">
        <v>22</v>
      </c>
      <c r="L18" s="1" t="s">
        <v>104</v>
      </c>
      <c r="M18" s="1">
        <v>3</v>
      </c>
      <c r="N18" s="1" t="s">
        <v>24</v>
      </c>
      <c r="O18" s="1" t="str">
        <f ca="1">IFERROR(__xludf.DUMMYFUNCTION("GOOGLETRANSLATE(N18,""pl"",""en"")"),"full ownership")</f>
        <v>full ownership</v>
      </c>
      <c r="P18" s="3" t="s">
        <v>105</v>
      </c>
      <c r="Q18" s="1" t="b">
        <v>1</v>
      </c>
      <c r="R18" s="1" t="s">
        <v>106</v>
      </c>
    </row>
    <row r="19" spans="1:18" x14ac:dyDescent="0.25">
      <c r="A19" s="2">
        <v>45308</v>
      </c>
      <c r="B19" s="1" t="s">
        <v>107</v>
      </c>
      <c r="C19" s="1" t="str">
        <f ca="1">IFERROR(__xludf.DUMMYFUNCTION("GOOGLETRANSLATE(B19,""pl"",""en"")"),"29.31m2 apartment M2 Łódź Centrum ul. Karolewska")</f>
        <v>29.31m2 apartment M2 Łódź Centrum ul. Karolewska</v>
      </c>
      <c r="D19" s="1">
        <v>320000</v>
      </c>
      <c r="E19" s="1" t="s">
        <v>33</v>
      </c>
      <c r="F19" s="1">
        <v>29.31</v>
      </c>
      <c r="G19" s="1" t="s">
        <v>108</v>
      </c>
      <c r="H19" s="1" t="str">
        <f ca="1">IFERROR(__xludf.DUMMYFUNCTION("GOOGLETRANSLATE(G19,""pl"",""en"")"),"street. Karolewska, Stare Polesie, Polesie, Łódź, Łódź")</f>
        <v>street. Karolewska, Stare Polesie, Polesie, Łódź, Łódź</v>
      </c>
      <c r="I19" s="1" t="b">
        <v>1</v>
      </c>
      <c r="J19" s="1" t="s">
        <v>21</v>
      </c>
      <c r="K19" s="1" t="s">
        <v>45</v>
      </c>
      <c r="L19" s="1" t="s">
        <v>109</v>
      </c>
      <c r="M19" s="1">
        <v>2</v>
      </c>
      <c r="N19" s="1" t="s">
        <v>24</v>
      </c>
      <c r="O19" s="1" t="str">
        <f ca="1">IFERROR(__xludf.DUMMYFUNCTION("GOOGLETRANSLATE(N19,""pl"",""en"")"),"full ownership")</f>
        <v>full ownership</v>
      </c>
      <c r="P19" s="3" t="s">
        <v>110</v>
      </c>
      <c r="Q19" s="1" t="b">
        <v>1</v>
      </c>
      <c r="R19" s="1" t="s">
        <v>111</v>
      </c>
    </row>
    <row r="20" spans="1:18" x14ac:dyDescent="0.25">
      <c r="A20" s="2">
        <v>45308</v>
      </c>
      <c r="B20" s="1" t="s">
        <v>112</v>
      </c>
      <c r="C20" s="1" t="str">
        <f ca="1">IFERROR(__xludf.DUMMYFUNCTION("GOOGLETRANSLATE(B20,""pl"",""en"")"),"Comfortable house Tarnów ul. Ash")</f>
        <v>Comfortable house Tarnów ul. Ash</v>
      </c>
      <c r="D20" s="1">
        <v>579000</v>
      </c>
      <c r="E20" s="1" t="s">
        <v>19</v>
      </c>
      <c r="F20" s="1">
        <v>98</v>
      </c>
      <c r="G20" s="1" t="s">
        <v>4692</v>
      </c>
      <c r="H20" s="1" t="str">
        <f ca="1">IFERROR(__xludf.DUMMYFUNCTION("GOOGLETRANSLATE(G20,""pl"",""en"")"),"street. Jesionowa, Tarnów, Lesser Poland")</f>
        <v>street. Jesionowa, Tarnów, Lesser Poland</v>
      </c>
      <c r="I20" s="1" t="b">
        <v>1</v>
      </c>
      <c r="J20" s="1" t="s">
        <v>21</v>
      </c>
      <c r="K20" s="1" t="s">
        <v>45</v>
      </c>
      <c r="L20" s="1" t="s">
        <v>113</v>
      </c>
      <c r="M20" s="1">
        <v>4</v>
      </c>
      <c r="N20" s="1" t="s">
        <v>24</v>
      </c>
      <c r="O20" s="1" t="str">
        <f ca="1">IFERROR(__xludf.DUMMYFUNCTION("GOOGLETRANSLATE(N20,""pl"",""en"")"),"full ownership")</f>
        <v>full ownership</v>
      </c>
      <c r="P20" s="3" t="s">
        <v>114</v>
      </c>
      <c r="Q20" s="1" t="b">
        <v>1</v>
      </c>
      <c r="R20" s="1" t="s">
        <v>115</v>
      </c>
    </row>
    <row r="21" spans="1:18" x14ac:dyDescent="0.25">
      <c r="A21" s="2">
        <v>45308</v>
      </c>
      <c r="B21" s="1" t="s">
        <v>116</v>
      </c>
      <c r="C21" s="1" t="str">
        <f ca="1">IFERROR(__xludf.DUMMYFUNCTION("GOOGLETRANSLATE(B21,""pl"",""en"")"),"3rd apartment, garden-boiler for living")</f>
        <v>3rd apartment, garden-boiler for living</v>
      </c>
      <c r="D21" s="1">
        <v>919000</v>
      </c>
      <c r="E21" s="1" t="s">
        <v>33</v>
      </c>
      <c r="F21" s="1">
        <v>61.1</v>
      </c>
      <c r="G21" s="1" t="s">
        <v>117</v>
      </c>
      <c r="H21" s="1" t="str">
        <f ca="1">IFERROR(__xludf.DUMMYFUNCTION("GOOGLETRANSLATE(G21,""pl"",""en"")"),"street. Królewskie Wzgórze, Piecki-Migowo, Gdańsk, Pomeranian Voivodeship")</f>
        <v>street. Królewskie Wzgórze, Piecki-Migowo, Gdańsk, Pomeranian Voivodeship</v>
      </c>
      <c r="I21" s="1" t="s">
        <v>21</v>
      </c>
      <c r="J21" s="1" t="s">
        <v>21</v>
      </c>
      <c r="K21" s="1" t="s">
        <v>45</v>
      </c>
      <c r="L21" s="1" t="s">
        <v>118</v>
      </c>
      <c r="M21" s="1">
        <v>3</v>
      </c>
      <c r="N21" s="1" t="s">
        <v>24</v>
      </c>
      <c r="O21" s="1" t="str">
        <f ca="1">IFERROR(__xludf.DUMMYFUNCTION("GOOGLETRANSLATE(N21,""pl"",""en"")"),"full ownership")</f>
        <v>full ownership</v>
      </c>
      <c r="P21" s="3" t="s">
        <v>119</v>
      </c>
      <c r="Q21" s="1" t="b">
        <v>1</v>
      </c>
      <c r="R21" s="1" t="s">
        <v>120</v>
      </c>
    </row>
    <row r="22" spans="1:18" x14ac:dyDescent="0.25">
      <c r="A22" s="2">
        <v>45308</v>
      </c>
      <c r="B22" s="1" t="s">
        <v>121</v>
      </c>
      <c r="C22" s="1" t="str">
        <f ca="1">IFERROR(__xludf.DUMMYFUNCTION("GOOGLETRANSLATE(B22,""pl"",""en"")"),"4 room at an excellent price")</f>
        <v>4 room at an excellent price</v>
      </c>
      <c r="D22" s="1">
        <v>652000</v>
      </c>
      <c r="E22" s="1" t="s">
        <v>19</v>
      </c>
      <c r="F22" s="1">
        <v>65</v>
      </c>
      <c r="G22" s="1" t="s">
        <v>4693</v>
      </c>
      <c r="H22" s="1" t="str">
        <f ca="1">IFERROR(__xludf.DUMMYFUNCTION("GOOGLETRANSLATE(G22,""pl"",""en"")"),"street. Sielawy, Naramowice, Stare Miasto, Poznań, Greater Poland")</f>
        <v>street. Sielawy, Naramowice, Stare Miasto, Poznań, Greater Poland</v>
      </c>
      <c r="I22" s="1" t="s">
        <v>21</v>
      </c>
      <c r="J22" s="1" t="s">
        <v>21</v>
      </c>
      <c r="K22" s="1" t="s">
        <v>22</v>
      </c>
      <c r="L22" s="1" t="s">
        <v>122</v>
      </c>
      <c r="M22" s="1">
        <v>4</v>
      </c>
      <c r="N22" s="1" t="s">
        <v>24</v>
      </c>
      <c r="O22" s="1" t="str">
        <f ca="1">IFERROR(__xludf.DUMMYFUNCTION("GOOGLETRANSLATE(N22,""pl"",""en"")"),"full ownership")</f>
        <v>full ownership</v>
      </c>
      <c r="P22" s="3" t="s">
        <v>123</v>
      </c>
      <c r="Q22" s="1" t="b">
        <v>1</v>
      </c>
      <c r="R22" s="1" t="s">
        <v>124</v>
      </c>
    </row>
    <row r="23" spans="1:18" x14ac:dyDescent="0.25">
      <c r="A23" s="2">
        <v>45308</v>
      </c>
      <c r="B23" s="1" t="s">
        <v>125</v>
      </c>
      <c r="C23" s="1" t="str">
        <f ca="1">IFERROR(__xludf.DUMMYFUNCTION("GOOGLETRANSLATE(B23,""pl"",""en"")"),"New price! Sure, spacious Trzemeszno apartment")</f>
        <v>New price! Sure, spacious Trzemeszno apartment</v>
      </c>
      <c r="D23" s="1">
        <v>229000</v>
      </c>
      <c r="E23" s="1" t="s">
        <v>33</v>
      </c>
      <c r="F23" s="1">
        <v>56</v>
      </c>
      <c r="G23" s="1" t="s">
        <v>4694</v>
      </c>
      <c r="H23" s="1" t="str">
        <f ca="1">IFERROR(__xludf.DUMMYFUNCTION("GOOGLETRANSLATE(G23,""pl"",""en"")"),"street. Piastowska, Trzemeszno, Trzemeszno, Gniezno, Greater Poland")</f>
        <v>street. Piastowska, Trzemeszno, Trzemeszno, Gniezno, Greater Poland</v>
      </c>
      <c r="I23" s="1" t="s">
        <v>21</v>
      </c>
      <c r="J23" s="1" t="s">
        <v>21</v>
      </c>
      <c r="K23" s="1" t="s">
        <v>22</v>
      </c>
      <c r="L23" s="1" t="s">
        <v>126</v>
      </c>
      <c r="M23" s="1">
        <v>2</v>
      </c>
      <c r="N23" s="1" t="s">
        <v>24</v>
      </c>
      <c r="O23" s="1" t="str">
        <f ca="1">IFERROR(__xludf.DUMMYFUNCTION("GOOGLETRANSLATE(N23,""pl"",""en"")"),"full ownership")</f>
        <v>full ownership</v>
      </c>
      <c r="P23" s="3" t="s">
        <v>127</v>
      </c>
      <c r="Q23" s="1" t="b">
        <v>1</v>
      </c>
      <c r="R23" s="1" t="s">
        <v>128</v>
      </c>
    </row>
    <row r="24" spans="1:18" x14ac:dyDescent="0.25">
      <c r="A24" s="2">
        <v>45308</v>
      </c>
      <c r="B24" s="1" t="s">
        <v>129</v>
      </c>
      <c r="C24" s="1" t="str">
        <f ca="1">IFERROR(__xludf.DUMMYFUNCTION("GOOGLETRANSLATE(B24,""pl"",""en"")"),"Last Szeregatka +Garden_ Receive Klucze-&gt; SEE")</f>
        <v>Last Szeregatka +Garden_ Receive Klucze-&gt; SEE</v>
      </c>
      <c r="D24" s="1">
        <v>637555</v>
      </c>
      <c r="E24" s="1" t="s">
        <v>19</v>
      </c>
      <c r="F24" s="1">
        <v>73.650000000000006</v>
      </c>
      <c r="G24" s="1" t="s">
        <v>130</v>
      </c>
      <c r="H24" s="1" t="s">
        <v>131</v>
      </c>
      <c r="I24" s="1" t="b">
        <v>1</v>
      </c>
      <c r="J24" s="1" t="s">
        <v>21</v>
      </c>
      <c r="K24" s="1" t="s">
        <v>22</v>
      </c>
      <c r="L24" s="1" t="s">
        <v>132</v>
      </c>
      <c r="M24" s="1">
        <v>4</v>
      </c>
      <c r="N24" s="1" t="s">
        <v>24</v>
      </c>
      <c r="O24" s="1" t="str">
        <f ca="1">IFERROR(__xludf.DUMMYFUNCTION("GOOGLETRANSLATE(N24,""pl"",""en"")"),"full ownership")</f>
        <v>full ownership</v>
      </c>
      <c r="P24" s="3" t="s">
        <v>133</v>
      </c>
      <c r="Q24" s="1" t="b">
        <v>1</v>
      </c>
      <c r="R24" s="1" t="s">
        <v>134</v>
      </c>
    </row>
    <row r="25" spans="1:18" x14ac:dyDescent="0.25">
      <c r="A25" s="2">
        <v>45308</v>
      </c>
      <c r="B25" s="1" t="s">
        <v>135</v>
      </c>
      <c r="C25" s="1" t="str">
        <f ca="1">IFERROR(__xludf.DUMMYFUNCTION("GOOGLETRANSLATE(B25,""pl"",""en"")"),"Getting rooms with wardrobe Promotion PLN 50,000")</f>
        <v>Getting rooms with wardrobe Promotion PLN 50,000</v>
      </c>
      <c r="D25" s="1">
        <v>589000</v>
      </c>
      <c r="E25" s="1" t="s">
        <v>19</v>
      </c>
      <c r="F25" s="1">
        <v>49</v>
      </c>
      <c r="G25" s="1" t="s">
        <v>136</v>
      </c>
      <c r="H25" s="1" t="str">
        <f ca="1">IFERROR(__xludf.DUMMYFUNCTION("GOOGLETRANSLATE(G25,""pl"",""en"")"),"Karłowice, Psie Pole, Wrocław, DolnoSilesian Voivodeship")</f>
        <v>Karłowice, Psie Pole, Wrocław, DolnoSilesian Voivodeship</v>
      </c>
      <c r="I25" s="1" t="b">
        <v>1</v>
      </c>
      <c r="J25" s="1" t="s">
        <v>21</v>
      </c>
      <c r="K25" s="1" t="s">
        <v>22</v>
      </c>
      <c r="L25" s="1" t="s">
        <v>137</v>
      </c>
      <c r="M25" s="1">
        <v>3</v>
      </c>
      <c r="N25" s="1" t="s">
        <v>24</v>
      </c>
      <c r="O25" s="1" t="str">
        <f ca="1">IFERROR(__xludf.DUMMYFUNCTION("GOOGLETRANSLATE(N25,""pl"",""en"")"),"full ownership")</f>
        <v>full ownership</v>
      </c>
      <c r="P25" s="3" t="s">
        <v>138</v>
      </c>
      <c r="Q25" s="1" t="b">
        <v>1</v>
      </c>
      <c r="R25" s="1" t="s">
        <v>139</v>
      </c>
    </row>
    <row r="26" spans="1:18" x14ac:dyDescent="0.25">
      <c r="A26" s="2">
        <v>45308</v>
      </c>
      <c r="B26" s="1" t="s">
        <v>140</v>
      </c>
      <c r="C26" s="1" t="str">
        <f ca="1">IFERROR(__xludf.DUMMYFUNCTION("GOOGLETRANSLATE(B26,""pl"",""en"")"),"Two -level penthouse in Stary Mokotów")</f>
        <v>Two -level penthouse in Stary Mokotów</v>
      </c>
      <c r="D26" s="1">
        <v>10161310</v>
      </c>
      <c r="E26" s="1" t="s">
        <v>19</v>
      </c>
      <c r="F26" s="1">
        <v>350.39</v>
      </c>
      <c r="G26" s="1" t="s">
        <v>141</v>
      </c>
      <c r="H26" s="1" t="str">
        <f ca="1">IFERROR(__xludf.DUMMYFUNCTION("GOOGLETRANSLATE(G26,""pl"",""en"")"),"street. Ksawerów, Ksawerów, Mokotów, Warsaw, Masovian Voivodeship")</f>
        <v>street. Ksawerów, Ksawerów, Mokotów, Warsaw, Masovian Voivodeship</v>
      </c>
      <c r="I26" s="1" t="s">
        <v>21</v>
      </c>
      <c r="J26" s="1" t="s">
        <v>21</v>
      </c>
      <c r="K26" s="1" t="s">
        <v>22</v>
      </c>
      <c r="L26" s="1" t="s">
        <v>142</v>
      </c>
      <c r="M26" s="1">
        <v>7</v>
      </c>
      <c r="N26" s="1" t="s">
        <v>24</v>
      </c>
      <c r="O26" s="1" t="str">
        <f ca="1">IFERROR(__xludf.DUMMYFUNCTION("GOOGLETRANSLATE(N26,""pl"",""en"")"),"full ownership")</f>
        <v>full ownership</v>
      </c>
      <c r="P26" s="3" t="s">
        <v>143</v>
      </c>
      <c r="Q26" s="1" t="b">
        <v>1</v>
      </c>
      <c r="R26" s="1" t="s">
        <v>144</v>
      </c>
    </row>
    <row r="27" spans="1:18" x14ac:dyDescent="0.25">
      <c r="A27" s="2">
        <v>45308</v>
      </c>
      <c r="B27" s="1" t="s">
        <v>145</v>
      </c>
      <c r="C27" s="1" t="str">
        <f ca="1">IFERROR(__xludf.DUMMYFUNCTION("GOOGLETRANSLATE(B27,""pl"",""en"")"),"Apartment, 60.70 m², Poznań")</f>
        <v>Apartment, 60.70 m², Poznań</v>
      </c>
      <c r="D27" s="1">
        <v>459000</v>
      </c>
      <c r="E27" s="1" t="s">
        <v>33</v>
      </c>
      <c r="F27" s="1">
        <v>60.7</v>
      </c>
      <c r="G27" s="1" t="s">
        <v>4695</v>
      </c>
      <c r="H27" s="1" t="str">
        <f ca="1">IFERROR(__xludf.DUMMYFUNCTION("GOOGLETRANSLATE(G27,""pl"",""en"")"),"Centrum, Old Town, Poznań, Greater Poland")</f>
        <v>Centrum, Old Town, Poznań, Greater Poland</v>
      </c>
      <c r="I27" s="1" t="s">
        <v>21</v>
      </c>
      <c r="J27" s="1" t="s">
        <v>21</v>
      </c>
      <c r="K27" s="1" t="s">
        <v>22</v>
      </c>
      <c r="L27" s="1" t="s">
        <v>146</v>
      </c>
      <c r="M27" s="1">
        <v>2</v>
      </c>
      <c r="N27" s="1" t="s">
        <v>24</v>
      </c>
      <c r="O27" s="1" t="str">
        <f ca="1">IFERROR(__xludf.DUMMYFUNCTION("GOOGLETRANSLATE(N27,""pl"",""en"")"),"full ownership")</f>
        <v>full ownership</v>
      </c>
      <c r="P27" s="3" t="s">
        <v>147</v>
      </c>
      <c r="Q27" s="1" t="b">
        <v>1</v>
      </c>
      <c r="R27" s="1" t="s">
        <v>148</v>
      </c>
    </row>
    <row r="28" spans="1:18" x14ac:dyDescent="0.25">
      <c r="A28" s="2">
        <v>45308</v>
      </c>
      <c r="B28" s="1" t="s">
        <v>149</v>
      </c>
      <c r="C28" s="1" t="str">
        <f ca="1">IFERROR(__xludf.DUMMYFUNCTION("GOOGLETRANSLATE(B28,""pl"",""en"")"),"Kołobrzeg spacious apartment 2 room 600m to MO")</f>
        <v>Kołobrzeg spacious apartment 2 room 600m to MO</v>
      </c>
      <c r="D28" s="1">
        <v>799000</v>
      </c>
      <c r="E28" s="1" t="s">
        <v>33</v>
      </c>
      <c r="F28" s="1">
        <v>56.61</v>
      </c>
      <c r="G28" s="1" t="s">
        <v>150</v>
      </c>
      <c r="H28" s="1" t="str">
        <f ca="1">IFERROR(__xludf.DUMMYFUNCTION("GOOGLETRANSLATE(G28,""pl"",""en"")"),"Kołobrzeg, Kołobrzeski, ZachodnioPomeranian Voivodeship")</f>
        <v>Kołobrzeg, Kołobrzeski, ZachodnioPomeranian Voivodeship</v>
      </c>
      <c r="I28" s="1" t="s">
        <v>21</v>
      </c>
      <c r="J28" s="1" t="s">
        <v>21</v>
      </c>
      <c r="K28" s="1" t="s">
        <v>22</v>
      </c>
      <c r="L28" s="1" t="s">
        <v>151</v>
      </c>
      <c r="M28" s="1">
        <v>2</v>
      </c>
      <c r="N28" s="1" t="s">
        <v>24</v>
      </c>
      <c r="O28" s="1" t="str">
        <f ca="1">IFERROR(__xludf.DUMMYFUNCTION("GOOGLETRANSLATE(N28,""pl"",""en"")"),"full ownership")</f>
        <v>full ownership</v>
      </c>
      <c r="P28" s="3" t="s">
        <v>152</v>
      </c>
      <c r="Q28" s="1" t="b">
        <v>1</v>
      </c>
      <c r="R28" s="1" t="s">
        <v>153</v>
      </c>
    </row>
    <row r="29" spans="1:18" x14ac:dyDescent="0.25">
      <c r="A29" s="2">
        <v>45308</v>
      </c>
      <c r="B29" s="1" t="s">
        <v>154</v>
      </c>
      <c r="C29" s="1" t="str">
        <f ca="1">IFERROR(__xludf.DUMMYFUNCTION("GOOGLETRANSLATE(B29,""pl"",""en"")"),"Elegance and comfort!")</f>
        <v>Elegance and comfort!</v>
      </c>
      <c r="D29" s="1">
        <v>869000</v>
      </c>
      <c r="E29" s="1" t="s">
        <v>33</v>
      </c>
      <c r="F29" s="1">
        <v>67.349999999999994</v>
      </c>
      <c r="G29" s="1" t="s">
        <v>155</v>
      </c>
      <c r="H29" s="1" t="str">
        <f ca="1">IFERROR(__xludf.DUMMYFUNCTION("GOOGLETRANSLATE(G29,""pl"",""en"")"),"street. Drewnowska, Old Town, Bałuty, Łódź, Łódź")</f>
        <v>street. Drewnowska, Old Town, Bałuty, Łódź, Łódź</v>
      </c>
      <c r="I29" s="1" t="s">
        <v>21</v>
      </c>
      <c r="J29" s="1" t="s">
        <v>21</v>
      </c>
      <c r="K29" s="1" t="s">
        <v>22</v>
      </c>
      <c r="L29" s="1" t="s">
        <v>156</v>
      </c>
      <c r="M29" s="1">
        <v>3</v>
      </c>
      <c r="N29" s="1" t="s">
        <v>24</v>
      </c>
      <c r="O29" s="1" t="str">
        <f ca="1">IFERROR(__xludf.DUMMYFUNCTION("GOOGLETRANSLATE(N29,""pl"",""en"")"),"full ownership")</f>
        <v>full ownership</v>
      </c>
      <c r="P29" s="3" t="s">
        <v>157</v>
      </c>
      <c r="Q29" s="1" t="b">
        <v>1</v>
      </c>
      <c r="R29" s="1" t="s">
        <v>158</v>
      </c>
    </row>
    <row r="30" spans="1:18" x14ac:dyDescent="0.25">
      <c r="A30" s="2">
        <v>45308</v>
      </c>
      <c r="B30" s="1" t="s">
        <v>159</v>
      </c>
      <c r="C30" s="1" t="str">
        <f ca="1">IFERROR(__xludf.DUMMYFUNCTION("GOOGLETRANSLATE(B30,""pl"",""en"")"),"A building with a reconstruction started with a project.")</f>
        <v>A building with a reconstruction started with a project.</v>
      </c>
      <c r="D30" s="1">
        <v>149000</v>
      </c>
      <c r="E30" s="1" t="s">
        <v>33</v>
      </c>
      <c r="F30" s="1">
        <v>153</v>
      </c>
      <c r="G30" s="1" t="s">
        <v>160</v>
      </c>
      <c r="H30" s="1" t="str">
        <f ca="1">IFERROR(__xludf.DUMMYFUNCTION("GOOGLETRANSLATE(G30,""pl"",""en"")"),"Łąkowo, Świdwin, Świdwiński, ZachodnioPomeranian Voivodeship")</f>
        <v>Łąkowo, Świdwin, Świdwiński, ZachodnioPomeranian Voivodeship</v>
      </c>
      <c r="I30" s="1" t="b">
        <v>1</v>
      </c>
      <c r="J30" s="1" t="s">
        <v>21</v>
      </c>
      <c r="K30" s="1" t="s">
        <v>22</v>
      </c>
      <c r="L30" s="1" t="s">
        <v>161</v>
      </c>
      <c r="M30" s="1">
        <v>4</v>
      </c>
      <c r="N30" s="1" t="s">
        <v>21</v>
      </c>
      <c r="O30" s="1" t="str">
        <f ca="1">IFERROR(__xludf.DUMMYFUNCTION("GOOGLETRANSLATE(N30,""pl"",""en"")"),"null")</f>
        <v>null</v>
      </c>
      <c r="P30" s="3" t="s">
        <v>162</v>
      </c>
      <c r="Q30" s="1" t="b">
        <v>1</v>
      </c>
      <c r="R30" s="1" t="s">
        <v>163</v>
      </c>
    </row>
    <row r="31" spans="1:18" x14ac:dyDescent="0.25">
      <c r="A31" s="2">
        <v>45308</v>
      </c>
      <c r="B31" s="1" t="s">
        <v>164</v>
      </c>
      <c r="C31" s="1" t="str">
        <f ca="1">IFERROR(__xludf.DUMMYFUNCTION("GOOGLETRANSLATE(B31,""pl"",""en"")"),"2-room apartment in the center of Szczecin 449,000")</f>
        <v>2-room apartment in the center of Szczecin 449,000</v>
      </c>
      <c r="D31" s="1">
        <v>449000</v>
      </c>
      <c r="E31" s="1" t="s">
        <v>33</v>
      </c>
      <c r="F31" s="1">
        <v>59</v>
      </c>
      <c r="G31" s="1" t="s">
        <v>165</v>
      </c>
      <c r="H31" s="1" t="str">
        <f ca="1">IFERROR(__xludf.DUMMYFUNCTION("GOOGLETRANSLATE(G31,""pl"",""en"")"),"street. Bohaterów of the Warsaw Ghetto, Śródmieście-Zachód, Śródmieście, Szczecin, ZachodnioPomeranian Voivodeship")</f>
        <v>street. Bohaterów of the Warsaw Ghetto, Śródmieście-Zachód, Śródmieście, Szczecin, ZachodnioPomeranian Voivodeship</v>
      </c>
      <c r="I31" s="1" t="s">
        <v>21</v>
      </c>
      <c r="J31" s="1" t="s">
        <v>21</v>
      </c>
      <c r="K31" s="1" t="s">
        <v>22</v>
      </c>
      <c r="L31" s="1" t="s">
        <v>166</v>
      </c>
      <c r="M31" s="1">
        <v>2</v>
      </c>
      <c r="N31" s="1" t="s">
        <v>24</v>
      </c>
      <c r="O31" s="1" t="str">
        <f ca="1">IFERROR(__xludf.DUMMYFUNCTION("GOOGLETRANSLATE(N31,""pl"",""en"")"),"full ownership")</f>
        <v>full ownership</v>
      </c>
      <c r="P31" s="3" t="s">
        <v>167</v>
      </c>
      <c r="Q31" s="1" t="b">
        <v>1</v>
      </c>
      <c r="R31" s="1" t="s">
        <v>168</v>
      </c>
    </row>
    <row r="32" spans="1:18" x14ac:dyDescent="0.25">
      <c r="A32" s="2">
        <v>45308</v>
      </c>
      <c r="B32" s="1" t="s">
        <v>169</v>
      </c>
      <c r="C32" s="1" t="str">
        <f ca="1">IFERROR(__xludf.DUMMYFUNCTION("GOOGLETRANSLATE(B32,""pl"",""en"")"),"A modern semi -detached house Tychy 147m")</f>
        <v>A modern semi -detached house Tychy 147m</v>
      </c>
      <c r="D32" s="1">
        <v>890000</v>
      </c>
      <c r="E32" s="1" t="s">
        <v>19</v>
      </c>
      <c r="F32" s="1">
        <v>147.4</v>
      </c>
      <c r="G32" s="1" t="s">
        <v>170</v>
      </c>
      <c r="H32" s="1" t="str">
        <f ca="1">IFERROR(__xludf.DUMMYFUNCTION("GOOGLETRANSLATE(G32,""pl"",""en"")"),"street. Miding 11, Tychy, Silesian Voivodeship")</f>
        <v>street. Miding 11, Tychy, Silesian Voivodeship</v>
      </c>
      <c r="I32" s="1" t="b">
        <v>1</v>
      </c>
      <c r="J32" s="1" t="s">
        <v>21</v>
      </c>
      <c r="K32" s="1" t="s">
        <v>45</v>
      </c>
      <c r="L32" s="1" t="s">
        <v>171</v>
      </c>
      <c r="M32" s="1">
        <v>5</v>
      </c>
      <c r="N32" s="1" t="s">
        <v>21</v>
      </c>
      <c r="O32" s="1" t="str">
        <f ca="1">IFERROR(__xludf.DUMMYFUNCTION("GOOGLETRANSLATE(N32,""pl"",""en"")"),"null")</f>
        <v>null</v>
      </c>
      <c r="P32" s="3" t="s">
        <v>172</v>
      </c>
      <c r="Q32" s="1" t="b">
        <v>1</v>
      </c>
      <c r="R32" s="1" t="s">
        <v>173</v>
      </c>
    </row>
    <row r="33" spans="1:18" x14ac:dyDescent="0.25">
      <c r="A33" s="2">
        <v>45308</v>
      </c>
      <c r="B33" s="1" t="s">
        <v>174</v>
      </c>
      <c r="C33" s="1" t="str">
        <f ca="1">IFERROR(__xludf.DUMMYFUNCTION("GOOGLETRANSLATE(B33,""pl"",""en"")"),"3p apartment on Piaskowa Góra Spółdzielcze/PO")</f>
        <v>3p apartment on Piaskowa Góra Spółdzielcze/PO</v>
      </c>
      <c r="D33" s="1">
        <v>315000</v>
      </c>
      <c r="E33" s="1" t="s">
        <v>33</v>
      </c>
      <c r="F33" s="1">
        <v>48</v>
      </c>
      <c r="G33" s="1" t="s">
        <v>175</v>
      </c>
      <c r="H33" s="1" t="str">
        <f ca="1">IFERROR(__xludf.DUMMYFUNCTION("GOOGLETRANSLATE(G33,""pl"",""en"")"),"Piaskowa Góra, Wałbrzych, DolnoSilesian Voivodeship")</f>
        <v>Piaskowa Góra, Wałbrzych, DolnoSilesian Voivodeship</v>
      </c>
      <c r="I33" s="1" t="s">
        <v>21</v>
      </c>
      <c r="J33" s="1" t="s">
        <v>21</v>
      </c>
      <c r="K33" s="1" t="s">
        <v>45</v>
      </c>
      <c r="L33" s="1" t="s">
        <v>176</v>
      </c>
      <c r="M33" s="1">
        <v>3</v>
      </c>
      <c r="N33" s="1" t="s">
        <v>85</v>
      </c>
      <c r="O33" s="1" t="str">
        <f ca="1">IFERROR(__xludf.DUMMYFUNCTION("GOOGLETRANSLATE(N33,""pl"",""en"")"),"Cooperative ownership of the right to the premises")</f>
        <v>Cooperative ownership of the right to the premises</v>
      </c>
      <c r="P33" s="3" t="s">
        <v>177</v>
      </c>
      <c r="Q33" s="1" t="b">
        <v>1</v>
      </c>
      <c r="R33" s="1" t="s">
        <v>178</v>
      </c>
    </row>
    <row r="34" spans="1:18" x14ac:dyDescent="0.25">
      <c r="A34" s="2">
        <v>45308</v>
      </c>
      <c r="B34" s="1" t="s">
        <v>179</v>
      </c>
      <c r="C34" s="1" t="str">
        <f ca="1">IFERROR(__xludf.DUMMYFUNCTION("GOOGLETRANSLATE(B34,""pl"",""en"")"),"balcony around D.Paster s.Deweloperski |")</f>
        <v>balcony around D.Paster s.Deweloperski |</v>
      </c>
      <c r="D34" s="1">
        <v>649999</v>
      </c>
      <c r="E34" s="1" t="s">
        <v>19</v>
      </c>
      <c r="F34" s="1">
        <v>40</v>
      </c>
      <c r="G34" s="1" t="s">
        <v>4696</v>
      </c>
      <c r="H34" s="1" t="str">
        <f ca="1">IFERROR(__xludf.DUMMYFUNCTION("GOOGLETRANSLATE(G34,""pl"",""en"")"),"street. Lublańska, Prądnik Czerwony, Prądnik Czerwony, Kraków, Lesser Poland")</f>
        <v>street. Lublańska, Prądnik Czerwony, Prądnik Czerwony, Kraków, Lesser Poland</v>
      </c>
      <c r="I34" s="1" t="s">
        <v>21</v>
      </c>
      <c r="J34" s="1" t="s">
        <v>21</v>
      </c>
      <c r="K34" s="1" t="s">
        <v>22</v>
      </c>
      <c r="L34" s="1" t="s">
        <v>180</v>
      </c>
      <c r="M34" s="1">
        <v>2</v>
      </c>
      <c r="N34" s="1" t="s">
        <v>24</v>
      </c>
      <c r="O34" s="1" t="str">
        <f ca="1">IFERROR(__xludf.DUMMYFUNCTION("GOOGLETRANSLATE(N34,""pl"",""en"")"),"full ownership")</f>
        <v>full ownership</v>
      </c>
      <c r="P34" s="3" t="s">
        <v>181</v>
      </c>
      <c r="Q34" s="1" t="b">
        <v>1</v>
      </c>
      <c r="R34" s="1" t="s">
        <v>182</v>
      </c>
    </row>
    <row r="35" spans="1:18" x14ac:dyDescent="0.25">
      <c r="A35" s="2">
        <v>45308</v>
      </c>
      <c r="B35" s="1" t="s">
        <v>183</v>
      </c>
      <c r="C35" s="1" t="str">
        <f ca="1">IFERROR(__xludf.DUMMYFUNCTION("GOOGLETRANSLATE(B35,""pl"",""en"")"),"Better 46m2, 3 rooms. Low rent!")</f>
        <v>Better 46m2, 3 rooms. Low rent!</v>
      </c>
      <c r="D35" s="1">
        <v>275000</v>
      </c>
      <c r="E35" s="1" t="s">
        <v>33</v>
      </c>
      <c r="F35" s="1">
        <v>46</v>
      </c>
      <c r="G35" s="1" t="s">
        <v>184</v>
      </c>
      <c r="H35" s="1" t="str">
        <f ca="1">IFERROR(__xludf.DUMMYFUNCTION("GOOGLETRANSLATE(G35,""pl"",""en"")"),"street. General Stefan Grot-Rowecki, Pogoń, Sosnowiec, Silesian Voivodeship")</f>
        <v>street. General Stefan Grot-Rowecki, Pogoń, Sosnowiec, Silesian Voivodeship</v>
      </c>
      <c r="I35" s="1" t="b">
        <v>1</v>
      </c>
      <c r="J35" s="1" t="s">
        <v>21</v>
      </c>
      <c r="K35" s="1" t="s">
        <v>22</v>
      </c>
      <c r="L35" s="1" t="s">
        <v>185</v>
      </c>
      <c r="M35" s="1">
        <v>3</v>
      </c>
      <c r="N35" s="1" t="s">
        <v>24</v>
      </c>
      <c r="O35" s="1" t="str">
        <f ca="1">IFERROR(__xludf.DUMMYFUNCTION("GOOGLETRANSLATE(N35,""pl"",""en"")"),"full ownership")</f>
        <v>full ownership</v>
      </c>
      <c r="P35" s="3" t="s">
        <v>186</v>
      </c>
      <c r="Q35" s="1" t="b">
        <v>1</v>
      </c>
      <c r="R35" s="1" t="s">
        <v>187</v>
      </c>
    </row>
    <row r="36" spans="1:18" x14ac:dyDescent="0.25">
      <c r="A36" s="2">
        <v>45308</v>
      </c>
      <c r="B36" s="1" t="s">
        <v>188</v>
      </c>
      <c r="C36" s="1" t="str">
        <f ca="1">IFERROR(__xludf.DUMMYFUNCTION("GOOGLETRANSLATE(B36,""pl"",""en"")"),"3 rooms 77.28 m2 | Apartment with terrace")</f>
        <v>3 rooms 77.28 m2 | Apartment with terrace</v>
      </c>
      <c r="D36" s="1">
        <v>730713</v>
      </c>
      <c r="E36" s="1" t="s">
        <v>19</v>
      </c>
      <c r="F36" s="1">
        <v>65.83</v>
      </c>
      <c r="G36" s="1" t="s">
        <v>4697</v>
      </c>
      <c r="H36" s="1" t="str">
        <f ca="1">IFERROR(__xludf.DUMMYFUNCTION("GOOGLETRANSLATE(G36,""pl"",""en"")"),"street. Graniczna, Skawina, Skawina, Kraków, Lesser Poland")</f>
        <v>street. Graniczna, Skawina, Skawina, Kraków, Lesser Poland</v>
      </c>
      <c r="I36" s="1" t="s">
        <v>21</v>
      </c>
      <c r="J36" s="1" t="s">
        <v>21</v>
      </c>
      <c r="K36" s="1" t="s">
        <v>22</v>
      </c>
      <c r="L36" s="1" t="s">
        <v>189</v>
      </c>
      <c r="M36" s="1">
        <v>3</v>
      </c>
      <c r="N36" s="1" t="s">
        <v>24</v>
      </c>
      <c r="O36" s="1" t="str">
        <f ca="1">IFERROR(__xludf.DUMMYFUNCTION("GOOGLETRANSLATE(N36,""pl"",""en"")"),"full ownership")</f>
        <v>full ownership</v>
      </c>
      <c r="P36" s="3" t="s">
        <v>190</v>
      </c>
      <c r="Q36" s="1" t="b">
        <v>1</v>
      </c>
      <c r="R36" s="1" t="s">
        <v>191</v>
      </c>
    </row>
    <row r="37" spans="1:18" x14ac:dyDescent="0.25">
      <c r="A37" s="2">
        <v>45308</v>
      </c>
      <c r="B37" s="1" t="s">
        <v>192</v>
      </c>
      <c r="C37" s="1" t="str">
        <f ca="1">IFERROR(__xludf.DUMMYFUNCTION("GOOGLETRANSLATE(B37,""pl"",""en"")"),"L28 - Rubikon - 1st floor Reservation")</f>
        <v>L28 - Rubikon - 1st floor Reservation</v>
      </c>
      <c r="D37" s="1">
        <v>235625</v>
      </c>
      <c r="E37" s="1" t="s">
        <v>19</v>
      </c>
      <c r="F37" s="1">
        <v>19.350000000000001</v>
      </c>
      <c r="G37" s="1" t="s">
        <v>193</v>
      </c>
      <c r="H37" s="1" t="str">
        <f ca="1">IFERROR(__xludf.DUMMYFUNCTION("GOOGLETRANSLATE(G37,""pl"",""en"")"),"street. Leszek Czarny, Wilkowyja, Rzeszów, Podkarpackie")</f>
        <v>street. Leszek Czarny, Wilkowyja, Rzeszów, Podkarpackie</v>
      </c>
      <c r="I37" s="1" t="b">
        <v>1</v>
      </c>
      <c r="J37" s="1" t="s">
        <v>21</v>
      </c>
      <c r="K37" s="1" t="s">
        <v>194</v>
      </c>
      <c r="L37" s="1" t="s">
        <v>195</v>
      </c>
      <c r="M37" s="1">
        <v>1</v>
      </c>
      <c r="N37" s="1" t="s">
        <v>24</v>
      </c>
      <c r="O37" s="1" t="str">
        <f ca="1">IFERROR(__xludf.DUMMYFUNCTION("GOOGLETRANSLATE(N37,""pl"",""en"")"),"full ownership")</f>
        <v>full ownership</v>
      </c>
      <c r="P37" s="3" t="s">
        <v>196</v>
      </c>
      <c r="Q37" s="1" t="b">
        <v>1</v>
      </c>
      <c r="R37" s="1" t="s">
        <v>197</v>
      </c>
    </row>
    <row r="38" spans="1:18" x14ac:dyDescent="0.25">
      <c r="A38" s="2">
        <v>45308</v>
      </c>
      <c r="B38" s="1" t="s">
        <v>198</v>
      </c>
      <c r="C38" s="1" t="str">
        <f ca="1">IFERROR(__xludf.DUMMYFUNCTION("GOOGLETRANSLATE(B38,""pl"",""en"")"),"Old desire Narutowicza Square")</f>
        <v>Old desire Narutowicza Square</v>
      </c>
      <c r="D38" s="1">
        <v>980000</v>
      </c>
      <c r="E38" s="1" t="s">
        <v>33</v>
      </c>
      <c r="F38" s="1">
        <v>55.4</v>
      </c>
      <c r="G38" s="1" t="s">
        <v>199</v>
      </c>
      <c r="H38" s="1" t="str">
        <f ca="1">IFERROR(__xludf.DUMMYFUNCTION("GOOGLETRANSLATE(G38,""pl"",""en"")"),"street. Poniecka, Stara Ochota, Ochota, Warsaw, Masovian Voivodeship")</f>
        <v>street. Poniecka, Stara Ochota, Ochota, Warsaw, Masovian Voivodeship</v>
      </c>
      <c r="I38" s="1" t="s">
        <v>21</v>
      </c>
      <c r="J38" s="1" t="s">
        <v>21</v>
      </c>
      <c r="K38" s="1" t="s">
        <v>45</v>
      </c>
      <c r="L38" s="1" t="s">
        <v>200</v>
      </c>
      <c r="M38" s="1">
        <v>2</v>
      </c>
      <c r="N38" s="1" t="s">
        <v>24</v>
      </c>
      <c r="O38" s="1" t="str">
        <f ca="1">IFERROR(__xludf.DUMMYFUNCTION("GOOGLETRANSLATE(N38,""pl"",""en"")"),"full ownership")</f>
        <v>full ownership</v>
      </c>
      <c r="P38" s="3" t="s">
        <v>201</v>
      </c>
      <c r="Q38" s="1" t="b">
        <v>1</v>
      </c>
      <c r="R38" s="1" t="s">
        <v>202</v>
      </c>
    </row>
    <row r="39" spans="1:18" x14ac:dyDescent="0.25">
      <c r="A39" s="2">
        <v>45308</v>
      </c>
      <c r="B39" s="1" t="s">
        <v>203</v>
      </c>
      <c r="C39" s="1" t="str">
        <f ca="1">IFERROR(__xludf.DUMMYFUNCTION("GOOGLETRANSLATE(B39,""pl"",""en"")"),"Large, two -level studio")</f>
        <v>Large, two -level studio</v>
      </c>
      <c r="D39" s="1">
        <v>320000</v>
      </c>
      <c r="E39" s="1" t="s">
        <v>19</v>
      </c>
      <c r="F39" s="1">
        <v>42.68</v>
      </c>
      <c r="G39" s="1" t="s">
        <v>204</v>
      </c>
      <c r="H39" s="1" t="str">
        <f ca="1">IFERROR(__xludf.DUMMYFUNCTION("GOOGLETRANSLATE(G39,""pl"",""en"")"),"al. Partyzantów, Puławy, Puławski, Lublin Voivodeship")</f>
        <v>al. Partyzantów, Puławy, Puławski, Lublin Voivodeship</v>
      </c>
      <c r="I39" s="1" t="b">
        <v>1</v>
      </c>
      <c r="J39" s="1" t="s">
        <v>21</v>
      </c>
      <c r="K39" s="1" t="s">
        <v>22</v>
      </c>
      <c r="L39" s="1" t="s">
        <v>205</v>
      </c>
      <c r="M39" s="1">
        <v>1</v>
      </c>
      <c r="N39" s="1" t="s">
        <v>24</v>
      </c>
      <c r="O39" s="1" t="str">
        <f ca="1">IFERROR(__xludf.DUMMYFUNCTION("GOOGLETRANSLATE(N39,""pl"",""en"")"),"full ownership")</f>
        <v>full ownership</v>
      </c>
      <c r="P39" s="3" t="s">
        <v>206</v>
      </c>
      <c r="Q39" s="1" t="b">
        <v>1</v>
      </c>
      <c r="R39" s="1" t="s">
        <v>207</v>
      </c>
    </row>
    <row r="40" spans="1:18" x14ac:dyDescent="0.25">
      <c r="A40" s="2">
        <v>45308</v>
      </c>
      <c r="B40" s="1" t="s">
        <v>208</v>
      </c>
      <c r="C40" s="1" t="str">
        <f ca="1">IFERROR(__xludf.DUMMYFUNCTION("GOOGLETRANSLATE(B40,""pl"",""en"")"),"Katowice, Koszutka, Dunikowskiego 3 rooms, balcony")</f>
        <v>Katowice, Koszutka, Dunikowskiego 3 rooms, balcony</v>
      </c>
      <c r="D40" s="1">
        <v>475000</v>
      </c>
      <c r="E40" s="1" t="s">
        <v>33</v>
      </c>
      <c r="F40" s="1">
        <v>55.91</v>
      </c>
      <c r="G40" s="1" t="s">
        <v>209</v>
      </c>
      <c r="H40" s="1" t="str">
        <f ca="1">IFERROR(__xludf.DUMMYFUNCTION("GOOGLETRANSLATE(G40,""pl"",""en"")"),"street. Xawery Dunikowski, Koszutka, Katowice, Silesian Voivodeship")</f>
        <v>street. Xawery Dunikowski, Koszutka, Katowice, Silesian Voivodeship</v>
      </c>
      <c r="I40" s="1" t="s">
        <v>21</v>
      </c>
      <c r="J40" s="1" t="s">
        <v>21</v>
      </c>
      <c r="K40" s="1" t="s">
        <v>22</v>
      </c>
      <c r="L40" s="1" t="s">
        <v>210</v>
      </c>
      <c r="M40" s="1">
        <v>3</v>
      </c>
      <c r="N40" s="1" t="s">
        <v>24</v>
      </c>
      <c r="O40" s="1" t="str">
        <f ca="1">IFERROR(__xludf.DUMMYFUNCTION("GOOGLETRANSLATE(N40,""pl"",""en"")"),"full ownership")</f>
        <v>full ownership</v>
      </c>
      <c r="P40" s="3" t="s">
        <v>211</v>
      </c>
      <c r="Q40" s="1" t="b">
        <v>1</v>
      </c>
      <c r="R40" s="1" t="s">
        <v>212</v>
      </c>
    </row>
    <row r="41" spans="1:18" x14ac:dyDescent="0.25">
      <c r="A41" s="2">
        <v>45308</v>
      </c>
      <c r="B41" s="1" t="s">
        <v>213</v>
      </c>
      <c r="C41" s="1" t="str">
        <f ca="1">IFERROR(__xludf.DUMMYFUNCTION("GOOGLETRANSLATE(B41,""pl"",""en"")"),"Apartment in the best location Krynica Morska")</f>
        <v>Apartment in the best location Krynica Morska</v>
      </c>
      <c r="D41" s="1">
        <v>699000</v>
      </c>
      <c r="E41" s="1" t="s">
        <v>33</v>
      </c>
      <c r="F41" s="1">
        <v>34.880000000000003</v>
      </c>
      <c r="G41" s="1" t="s">
        <v>214</v>
      </c>
      <c r="H41" s="1" t="str">
        <f ca="1">IFERROR(__xludf.DUMMYFUNCTION("GOOGLETRANSLATE(G41,""pl"",""en"")"),"street. Teleexpress, Krynica Morska, Nowodworski, Pomeranian")</f>
        <v>street. Teleexpress, Krynica Morska, Nowodworski, Pomeranian</v>
      </c>
      <c r="I41" s="1" t="s">
        <v>21</v>
      </c>
      <c r="J41" s="1" t="s">
        <v>21</v>
      </c>
      <c r="K41" s="1" t="s">
        <v>22</v>
      </c>
      <c r="L41" s="1" t="s">
        <v>215</v>
      </c>
      <c r="M41" s="1">
        <v>2</v>
      </c>
      <c r="N41" s="1" t="s">
        <v>24</v>
      </c>
      <c r="O41" s="1" t="str">
        <f ca="1">IFERROR(__xludf.DUMMYFUNCTION("GOOGLETRANSLATE(N41,""pl"",""en"")"),"full ownership")</f>
        <v>full ownership</v>
      </c>
      <c r="P41" s="3" t="s">
        <v>216</v>
      </c>
      <c r="Q41" s="1" t="b">
        <v>1</v>
      </c>
      <c r="R41" s="1" t="s">
        <v>217</v>
      </c>
    </row>
    <row r="42" spans="1:18" x14ac:dyDescent="0.25">
      <c r="A42" s="2">
        <v>45308</v>
      </c>
      <c r="B42" s="1" t="s">
        <v>218</v>
      </c>
      <c r="C42" s="1" t="str">
        <f ca="1">IFERROR(__xludf.DUMMYFUNCTION("GOOGLETRANSLATE(B42,""pl"",""en"")"),"Siekierki Wielkie, 100m2! ! !")</f>
        <v>Siekierki Wielkie, 100m2! ! !</v>
      </c>
      <c r="D42" s="1">
        <v>659000</v>
      </c>
      <c r="E42" s="1" t="s">
        <v>19</v>
      </c>
      <c r="F42" s="1">
        <v>100</v>
      </c>
      <c r="G42" s="1" t="s">
        <v>4698</v>
      </c>
      <c r="H42" s="1" t="str">
        <f ca="1">IFERROR(__xludf.DUMMYFUNCTION("GOOGLETRANSLATE(G42,""pl"",""en"")"),"Siekierki Wielkie, Kostrzyn, Poznański, Greater Poland")</f>
        <v>Siekierki Wielkie, Kostrzyn, Poznański, Greater Poland</v>
      </c>
      <c r="I42" s="1" t="b">
        <v>1</v>
      </c>
      <c r="J42" s="1" t="s">
        <v>21</v>
      </c>
      <c r="K42" s="1" t="s">
        <v>45</v>
      </c>
      <c r="L42" s="1" t="s">
        <v>219</v>
      </c>
      <c r="M42" s="1">
        <v>4</v>
      </c>
      <c r="N42" s="1" t="s">
        <v>21</v>
      </c>
      <c r="O42" s="1" t="str">
        <f ca="1">IFERROR(__xludf.DUMMYFUNCTION("GOOGLETRANSLATE(N42,""pl"",""en"")"),"null")</f>
        <v>null</v>
      </c>
      <c r="P42" s="3" t="s">
        <v>220</v>
      </c>
      <c r="Q42" s="1" t="b">
        <v>1</v>
      </c>
      <c r="R42" s="1" t="s">
        <v>221</v>
      </c>
    </row>
    <row r="43" spans="1:18" x14ac:dyDescent="0.25">
      <c r="A43" s="2">
        <v>45308</v>
      </c>
      <c r="B43" s="1" t="s">
        <v>222</v>
      </c>
      <c r="C43" s="1" t="str">
        <f ca="1">IFERROR(__xludf.DUMMYFUNCTION("GOOGLETRANSLATE(B43,""pl"",""en"")"),"The first floor in Zabobrze")</f>
        <v>The first floor in Zabobrze</v>
      </c>
      <c r="D43" s="1">
        <v>399000</v>
      </c>
      <c r="E43" s="1" t="s">
        <v>33</v>
      </c>
      <c r="F43" s="1">
        <v>51.43</v>
      </c>
      <c r="G43" s="1" t="s">
        <v>223</v>
      </c>
      <c r="H43" s="1" t="str">
        <f ca="1">IFERROR(__xludf.DUMMYFUNCTION("GOOGLETRANSLATE(G43,""pl"",""en"")"),"Zabobrze, Jelenia Góra, DolnoSilesian Voivodeship")</f>
        <v>Zabobrze, Jelenia Góra, DolnoSilesian Voivodeship</v>
      </c>
      <c r="I43" s="1" t="s">
        <v>21</v>
      </c>
      <c r="J43" s="1" t="s">
        <v>21</v>
      </c>
      <c r="K43" s="1" t="s">
        <v>22</v>
      </c>
      <c r="L43" s="1" t="s">
        <v>224</v>
      </c>
      <c r="M43" s="1">
        <v>3</v>
      </c>
      <c r="N43" s="1" t="s">
        <v>24</v>
      </c>
      <c r="O43" s="1" t="str">
        <f ca="1">IFERROR(__xludf.DUMMYFUNCTION("GOOGLETRANSLATE(N43,""pl"",""en"")"),"full ownership")</f>
        <v>full ownership</v>
      </c>
      <c r="P43" s="3" t="s">
        <v>225</v>
      </c>
      <c r="Q43" s="1" t="b">
        <v>1</v>
      </c>
      <c r="R43" s="1" t="s">
        <v>226</v>
      </c>
    </row>
    <row r="44" spans="1:18" x14ac:dyDescent="0.25">
      <c r="A44" s="2">
        <v>45308</v>
      </c>
      <c r="B44" s="1" t="s">
        <v>227</v>
      </c>
      <c r="C44" s="1" t="str">
        <f ca="1">IFERROR(__xludf.DUMMYFUNCTION("GOOGLETRANSLATE(B44,""pl"",""en"")"),"Łagiewniki Residence House No. 4a Arturówek")</f>
        <v>Łagiewniki Residence House No. 4a Arturówek</v>
      </c>
      <c r="D44" s="1">
        <v>799000</v>
      </c>
      <c r="E44" s="1" t="s">
        <v>19</v>
      </c>
      <c r="F44" s="1">
        <v>82.83</v>
      </c>
      <c r="G44" s="1" t="s">
        <v>228</v>
      </c>
      <c r="H44" s="1" t="str">
        <f ca="1">IFERROR(__xludf.DUMMYFUNCTION("GOOGLETRANSLATE(G44,""pl"",""en"")"),"street. Łagiewnicka, Łagiewniki, Bałuty, Łódź, Łódź")</f>
        <v>street. Łagiewnicka, Łagiewniki, Bałuty, Łódź, Łódź</v>
      </c>
      <c r="I44" s="1" t="b">
        <v>1</v>
      </c>
      <c r="J44" s="1" t="s">
        <v>21</v>
      </c>
      <c r="K44" s="1" t="s">
        <v>194</v>
      </c>
      <c r="L44" s="1" t="s">
        <v>229</v>
      </c>
      <c r="M44" s="1">
        <v>4</v>
      </c>
      <c r="N44" s="1" t="s">
        <v>21</v>
      </c>
      <c r="O44" s="1" t="str">
        <f ca="1">IFERROR(__xludf.DUMMYFUNCTION("GOOGLETRANSLATE(N44,""pl"",""en"")"),"null")</f>
        <v>null</v>
      </c>
      <c r="P44" s="3" t="s">
        <v>230</v>
      </c>
      <c r="Q44" s="1" t="b">
        <v>1</v>
      </c>
      <c r="R44" s="1" t="s">
        <v>231</v>
      </c>
    </row>
    <row r="45" spans="1:18" x14ac:dyDescent="0.25">
      <c r="A45" s="2">
        <v>45308</v>
      </c>
      <c r="B45" s="1" t="s">
        <v>232</v>
      </c>
      <c r="C45" s="1" t="str">
        <f ca="1">IFERROR(__xludf.DUMMYFUNCTION("GOOGLETRANSLATE(B45,""pl"",""en"")"),"Occasion, 2pok, option 3 POK, Centrum, Miejskie Media, I P")</f>
        <v>Occasion, 2pok, option 3 POK, Centrum, Miejskie Media, I P</v>
      </c>
      <c r="D45" s="1">
        <v>448000</v>
      </c>
      <c r="E45" s="1" t="s">
        <v>33</v>
      </c>
      <c r="F45" s="1">
        <v>38</v>
      </c>
      <c r="G45" s="1" t="s">
        <v>233</v>
      </c>
      <c r="H45" s="1" t="str">
        <f ca="1">IFERROR(__xludf.DUMMYFUNCTION("GOOGLETRANSLATE(G45,""pl"",""en"")"),"street. Lovely, hubs, Krzyki, Wrocław, DolnoSilesian Voivodeship")</f>
        <v>street. Lovely, hubs, Krzyki, Wrocław, DolnoSilesian Voivodeship</v>
      </c>
      <c r="I45" s="1" t="s">
        <v>21</v>
      </c>
      <c r="J45" s="1" t="s">
        <v>21</v>
      </c>
      <c r="K45" s="1" t="s">
        <v>22</v>
      </c>
      <c r="L45" s="1" t="s">
        <v>234</v>
      </c>
      <c r="M45" s="1">
        <v>2</v>
      </c>
      <c r="N45" s="1" t="s">
        <v>24</v>
      </c>
      <c r="O45" s="1" t="str">
        <f ca="1">IFERROR(__xludf.DUMMYFUNCTION("GOOGLETRANSLATE(N45,""pl"",""en"")"),"full ownership")</f>
        <v>full ownership</v>
      </c>
      <c r="P45" s="3" t="s">
        <v>235</v>
      </c>
      <c r="Q45" s="1" t="b">
        <v>1</v>
      </c>
      <c r="R45" s="1" t="s">
        <v>236</v>
      </c>
    </row>
    <row r="46" spans="1:18" x14ac:dyDescent="0.25">
      <c r="A46" s="2">
        <v>45308</v>
      </c>
      <c r="B46" s="1" t="s">
        <v>237</v>
      </c>
      <c r="C46" s="1" t="str">
        <f ca="1">IFERROR(__xludf.DUMMYFUNCTION("GOOGLETRANSLATE(B46,""pl"",""en"")"),"Uniqlo Szklarska Poręba | apartment a/0/6")</f>
        <v>Uniqlo Szklarska Poręba | apartment a/0/6</v>
      </c>
      <c r="D46" s="1">
        <v>406080</v>
      </c>
      <c r="E46" s="1" t="s">
        <v>19</v>
      </c>
      <c r="F46" s="1">
        <v>30.08</v>
      </c>
      <c r="G46" s="1" t="s">
        <v>238</v>
      </c>
      <c r="H46" s="1" t="str">
        <f ca="1">IFERROR(__xludf.DUMMYFUNCTION("GOOGLETRANSLATE(G46,""pl"",""en"")"),"street. Grottgera housing estate, Szklarska Poręba, Karkonoski, DolnoSilesian Voivodeship")</f>
        <v>street. Grottgera housing estate, Szklarska Poręba, Karkonoski, DolnoSilesian Voivodeship</v>
      </c>
      <c r="I46" s="1" t="b">
        <v>1</v>
      </c>
      <c r="J46" s="1" t="s">
        <v>21</v>
      </c>
      <c r="K46" s="1" t="s">
        <v>194</v>
      </c>
      <c r="L46" s="1" t="s">
        <v>239</v>
      </c>
      <c r="M46" s="1">
        <v>2</v>
      </c>
      <c r="N46" s="1" t="s">
        <v>24</v>
      </c>
      <c r="O46" s="1" t="str">
        <f ca="1">IFERROR(__xludf.DUMMYFUNCTION("GOOGLETRANSLATE(N46,""pl"",""en"")"),"full ownership")</f>
        <v>full ownership</v>
      </c>
      <c r="P46" s="3" t="s">
        <v>240</v>
      </c>
      <c r="Q46" s="1" t="b">
        <v>1</v>
      </c>
      <c r="R46" s="1" t="s">
        <v>241</v>
      </c>
    </row>
    <row r="47" spans="1:18" x14ac:dyDescent="0.25">
      <c r="A47" s="2">
        <v>45308</v>
      </c>
      <c r="B47" s="1" t="s">
        <v>242</v>
      </c>
      <c r="C47" s="1" t="str">
        <f ca="1">IFERROR(__xludf.DUMMYFUNCTION("GOOGLETRANSLATE(B47,""pl"",""en"")"),"Apartment in a prestigious investment near the sea")</f>
        <v>Apartment in a prestigious investment near the sea</v>
      </c>
      <c r="D47" s="1">
        <v>3446100</v>
      </c>
      <c r="E47" s="1" t="s">
        <v>33</v>
      </c>
      <c r="F47" s="1">
        <v>109.4</v>
      </c>
      <c r="G47" s="1" t="s">
        <v>243</v>
      </c>
      <c r="H47" s="1" t="str">
        <f ca="1">IFERROR(__xludf.DUMMYFUNCTION("GOOGLETRANSLATE(G47,""pl"",""en"")"),"street. Bursztynów, Jelitkowo, Gdańsk, Pomeranian Voivodeship")</f>
        <v>street. Bursztynów, Jelitkowo, Gdańsk, Pomeranian Voivodeship</v>
      </c>
      <c r="I47" s="1" t="s">
        <v>21</v>
      </c>
      <c r="J47" s="1" t="s">
        <v>21</v>
      </c>
      <c r="K47" s="1" t="s">
        <v>22</v>
      </c>
      <c r="L47" s="1" t="s">
        <v>244</v>
      </c>
      <c r="M47" s="1">
        <v>4</v>
      </c>
      <c r="N47" s="1" t="s">
        <v>24</v>
      </c>
      <c r="O47" s="1" t="str">
        <f ca="1">IFERROR(__xludf.DUMMYFUNCTION("GOOGLETRANSLATE(N47,""pl"",""en"")"),"full ownership")</f>
        <v>full ownership</v>
      </c>
      <c r="P47" s="3" t="s">
        <v>245</v>
      </c>
      <c r="Q47" s="1" t="b">
        <v>1</v>
      </c>
      <c r="R47" s="1" t="s">
        <v>246</v>
      </c>
    </row>
    <row r="48" spans="1:18" x14ac:dyDescent="0.25">
      <c r="A48" s="2">
        <v>45308</v>
      </c>
      <c r="B48" s="1" t="s">
        <v>247</v>
      </c>
      <c r="C48" s="1" t="str">
        <f ca="1">IFERROR(__xludf.DUMMYFUNCTION("GOOGLETRANSLATE(B48,""pl"",""en"")"),"2 rooms with a large balcony for you investment")</f>
        <v>2 rooms with a large balcony for you investment</v>
      </c>
      <c r="D48" s="1">
        <v>681524</v>
      </c>
      <c r="E48" s="1" t="s">
        <v>19</v>
      </c>
      <c r="F48" s="1">
        <v>49.83</v>
      </c>
      <c r="G48" s="1" t="s">
        <v>248</v>
      </c>
      <c r="H48" s="1" t="str">
        <f ca="1">IFERROR(__xludf.DUMMYFUNCTION("GOOGLETRANSLATE(G48,""pl"",""en"")"),"street. Długa, Szczepin, Old Town, Wrocław, DolnoSilesian Voivodeship")</f>
        <v>street. Długa, Szczepin, Old Town, Wrocław, DolnoSilesian Voivodeship</v>
      </c>
      <c r="I48" s="1" t="s">
        <v>21</v>
      </c>
      <c r="J48" s="1" t="s">
        <v>21</v>
      </c>
      <c r="K48" s="1" t="s">
        <v>22</v>
      </c>
      <c r="L48" s="1" t="s">
        <v>249</v>
      </c>
      <c r="M48" s="1">
        <v>2</v>
      </c>
      <c r="N48" s="1" t="s">
        <v>24</v>
      </c>
      <c r="O48" s="1" t="str">
        <f ca="1">IFERROR(__xludf.DUMMYFUNCTION("GOOGLETRANSLATE(N48,""pl"",""en"")"),"full ownership")</f>
        <v>full ownership</v>
      </c>
      <c r="P48" s="3" t="s">
        <v>250</v>
      </c>
      <c r="Q48" s="1" t="b">
        <v>1</v>
      </c>
      <c r="R48" s="1" t="s">
        <v>251</v>
      </c>
    </row>
    <row r="49" spans="1:18" x14ac:dyDescent="0.25">
      <c r="A49" s="2">
        <v>45308</v>
      </c>
      <c r="B49" s="1" t="s">
        <v>252</v>
      </c>
      <c r="C49" s="1" t="str">
        <f ca="1">IFERROR(__xludf.DUMMYFUNCTION("GOOGLETRANSLATE(B49,""pl"",""en"")"),"3.3 m high Functional studio Center")</f>
        <v>3.3 m high Functional studio Center</v>
      </c>
      <c r="D49" s="1">
        <v>187819</v>
      </c>
      <c r="E49" s="1" t="s">
        <v>33</v>
      </c>
      <c r="F49" s="1">
        <v>21.87</v>
      </c>
      <c r="G49" s="1" t="s">
        <v>253</v>
      </c>
      <c r="H49" s="1" t="str">
        <f ca="1">IFERROR(__xludf.DUMMYFUNCTION("GOOGLETRANSLATE(G49,""pl"",""en"")"),"street. Władysław Anders, Koszalin, West Pomeranian Voivodeship")</f>
        <v>street. Władysław Anders, Koszalin, West Pomeranian Voivodeship</v>
      </c>
      <c r="I49" s="1" t="s">
        <v>21</v>
      </c>
      <c r="J49" s="1" t="s">
        <v>21</v>
      </c>
      <c r="K49" s="1" t="s">
        <v>22</v>
      </c>
      <c r="L49" s="1" t="s">
        <v>254</v>
      </c>
      <c r="M49" s="1">
        <v>1</v>
      </c>
      <c r="N49" s="1" t="s">
        <v>24</v>
      </c>
      <c r="O49" s="1" t="str">
        <f ca="1">IFERROR(__xludf.DUMMYFUNCTION("GOOGLETRANSLATE(N49,""pl"",""en"")"),"full ownership")</f>
        <v>full ownership</v>
      </c>
      <c r="P49" s="3" t="s">
        <v>255</v>
      </c>
      <c r="Q49" s="1" t="b">
        <v>1</v>
      </c>
      <c r="R49" s="1" t="s">
        <v>256</v>
      </c>
    </row>
    <row r="50" spans="1:18" x14ac:dyDescent="0.25">
      <c r="A50" s="2">
        <v>45308</v>
      </c>
      <c r="B50" s="1" t="s">
        <v>257</v>
      </c>
      <c r="C50" s="1" t="str">
        <f ca="1">IFERROR(__xludf.DUMMYFUNCTION("GOOGLETRANSLATE(B50,""pl"",""en"")"),"Luxurious apartment, 2 rooms, Młyn Maria")</f>
        <v>Luxurious apartment, 2 rooms, Młyn Maria</v>
      </c>
      <c r="D50" s="1">
        <v>1183248</v>
      </c>
      <c r="E50" s="1" t="s">
        <v>33</v>
      </c>
      <c r="F50" s="1">
        <v>47.52</v>
      </c>
      <c r="G50" s="1" t="s">
        <v>258</v>
      </c>
      <c r="H50" s="1" t="str">
        <f ca="1">IFERROR(__xludf.DUMMYFUNCTION("GOOGLETRANSLATE(G50,""pl"",""en"")"),"street. Staromłyńska, Old Town, Old Town, Wrocław, Lower Silesia")</f>
        <v>street. Staromłyńska, Old Town, Old Town, Wrocław, Lower Silesia</v>
      </c>
      <c r="I50" s="1" t="b">
        <v>1</v>
      </c>
      <c r="J50" s="1" t="s">
        <v>21</v>
      </c>
      <c r="K50" s="1" t="s">
        <v>22</v>
      </c>
      <c r="L50" s="1" t="s">
        <v>259</v>
      </c>
      <c r="M50" s="1">
        <v>2</v>
      </c>
      <c r="N50" s="1" t="s">
        <v>24</v>
      </c>
      <c r="O50" s="1" t="str">
        <f ca="1">IFERROR(__xludf.DUMMYFUNCTION("GOOGLETRANSLATE(N50,""pl"",""en"")"),"full ownership")</f>
        <v>full ownership</v>
      </c>
      <c r="P50" s="3" t="s">
        <v>260</v>
      </c>
      <c r="Q50" s="1" t="b">
        <v>1</v>
      </c>
      <c r="R50" s="1" t="s">
        <v>261</v>
      </c>
    </row>
    <row r="51" spans="1:18" x14ac:dyDescent="0.25">
      <c r="A51" s="2">
        <v>45308</v>
      </c>
      <c r="B51" s="1" t="s">
        <v>262</v>
      </c>
      <c r="C51" s="1" t="str">
        <f ca="1">IFERROR(__xludf.DUMMYFUNCTION("GOOGLETRANSLATE(B51,""pl"",""en"")"),"Apartment in a new block, to be released immediately")</f>
        <v>Apartment in a new block, to be released immediately</v>
      </c>
      <c r="D51" s="1">
        <v>512000</v>
      </c>
      <c r="E51" s="1" t="s">
        <v>19</v>
      </c>
      <c r="F51" s="1">
        <v>58.34</v>
      </c>
      <c r="G51" s="1" t="s">
        <v>263</v>
      </c>
      <c r="H51" s="1" t="str">
        <f ca="1">IFERROR(__xludf.DUMMYFUNCTION("GOOGLETRANSLATE(G51,""pl"",""en"")"),"Koszalin, West Pomeranian Voivodeship")</f>
        <v>Koszalin, West Pomeranian Voivodeship</v>
      </c>
      <c r="I51" s="1" t="s">
        <v>21</v>
      </c>
      <c r="J51" s="1" t="s">
        <v>21</v>
      </c>
      <c r="K51" s="1" t="s">
        <v>45</v>
      </c>
      <c r="L51" s="1" t="s">
        <v>264</v>
      </c>
      <c r="M51" s="1">
        <v>3</v>
      </c>
      <c r="N51" s="1" t="s">
        <v>24</v>
      </c>
      <c r="O51" s="1" t="str">
        <f ca="1">IFERROR(__xludf.DUMMYFUNCTION("GOOGLETRANSLATE(N51,""pl"",""en"")"),"full ownership")</f>
        <v>full ownership</v>
      </c>
      <c r="P51" s="3" t="s">
        <v>265</v>
      </c>
      <c r="Q51" s="1" t="b">
        <v>1</v>
      </c>
      <c r="R51" s="1" t="s">
        <v>266</v>
      </c>
    </row>
    <row r="52" spans="1:18" x14ac:dyDescent="0.25">
      <c r="A52" s="2">
        <v>45308</v>
      </c>
      <c r="B52" s="1" t="s">
        <v>267</v>
      </c>
      <c r="C52" s="1" t="str">
        <f ca="1">IFERROR(__xludf.DUMMYFUNCTION("GOOGLETRANSLATE(B52,""pl"",""en"")"),"House viewing plot Zawoja Babia Góra")</f>
        <v>House viewing plot Zawoja Babia Góra</v>
      </c>
      <c r="D52" s="1">
        <v>769000</v>
      </c>
      <c r="E52" s="1" t="s">
        <v>19</v>
      </c>
      <c r="F52" s="1">
        <v>129</v>
      </c>
      <c r="G52" s="1" t="s">
        <v>4699</v>
      </c>
      <c r="H52" s="1" t="str">
        <f ca="1">IFERROR(__xludf.DUMMYFUNCTION("GOOGLETRANSLATE(G52,""pl"",""en"")"),"Zawoja, Zawoja, Suski, Lesser Poland")</f>
        <v>Zawoja, Zawoja, Suski, Lesser Poland</v>
      </c>
      <c r="I52" s="1" t="b">
        <v>1</v>
      </c>
      <c r="J52" s="1" t="s">
        <v>21</v>
      </c>
      <c r="K52" s="1" t="s">
        <v>45</v>
      </c>
      <c r="L52" s="1" t="s">
        <v>268</v>
      </c>
      <c r="M52" s="1">
        <v>4</v>
      </c>
      <c r="N52" s="1" t="s">
        <v>21</v>
      </c>
      <c r="O52" s="1" t="str">
        <f ca="1">IFERROR(__xludf.DUMMYFUNCTION("GOOGLETRANSLATE(N52,""pl"",""en"")"),"null")</f>
        <v>null</v>
      </c>
      <c r="P52" s="3" t="s">
        <v>269</v>
      </c>
      <c r="Q52" s="1" t="b">
        <v>1</v>
      </c>
      <c r="R52" s="1" t="s">
        <v>270</v>
      </c>
    </row>
    <row r="53" spans="1:18" x14ac:dyDescent="0.25">
      <c r="A53" s="2">
        <v>45308</v>
      </c>
      <c r="B53" s="1" t="s">
        <v>271</v>
      </c>
      <c r="C53" s="1" t="str">
        <f ca="1">IFERROR(__xludf.DUMMYFUNCTION("GOOGLETRANSLATE(B53,""pl"",""en"")"),"3 rooms - SKM, km, directly, without commission")</f>
        <v>3 rooms - SKM, km, directly, without commission</v>
      </c>
      <c r="D53" s="1">
        <v>383000</v>
      </c>
      <c r="E53" s="1" t="s">
        <v>19</v>
      </c>
      <c r="F53" s="1">
        <v>27</v>
      </c>
      <c r="G53" s="1" t="s">
        <v>272</v>
      </c>
      <c r="H53" s="1" t="str">
        <f ca="1">IFERROR(__xludf.DUMMYFUNCTION("GOOGLETRANSLATE(G53,""pl"",""en"")"),"street. Ludwik Waryński, Pruszków, Pruszkowski, Masovian Voivodeship")</f>
        <v>street. Ludwik Waryński, Pruszków, Pruszkowski, Masovian Voivodeship</v>
      </c>
      <c r="I53" s="1" t="b">
        <v>1</v>
      </c>
      <c r="J53" s="1" t="s">
        <v>21</v>
      </c>
      <c r="K53" s="1" t="s">
        <v>22</v>
      </c>
      <c r="L53" s="1" t="s">
        <v>273</v>
      </c>
      <c r="M53" s="1">
        <v>1</v>
      </c>
      <c r="N53" s="1" t="s">
        <v>24</v>
      </c>
      <c r="O53" s="1" t="str">
        <f ca="1">IFERROR(__xludf.DUMMYFUNCTION("GOOGLETRANSLATE(N53,""pl"",""en"")"),"full ownership")</f>
        <v>full ownership</v>
      </c>
      <c r="P53" s="3" t="s">
        <v>274</v>
      </c>
      <c r="Q53" s="1" t="b">
        <v>1</v>
      </c>
      <c r="R53" s="1" t="s">
        <v>275</v>
      </c>
    </row>
    <row r="54" spans="1:18" x14ac:dyDescent="0.25">
      <c r="A54" s="2">
        <v>45308</v>
      </c>
      <c r="B54" s="1" t="s">
        <v>276</v>
      </c>
      <c r="C54" s="1" t="str">
        <f ca="1">IFERROR(__xludf.DUMMYFUNCTION("GOOGLETRANSLATE(B54,""pl"",""en"")"),"4 -room, high standard, PKP")</f>
        <v>4 -room, high standard, PKP</v>
      </c>
      <c r="D54" s="1">
        <v>750000</v>
      </c>
      <c r="E54" s="1" t="s">
        <v>33</v>
      </c>
      <c r="F54" s="1">
        <v>89.7</v>
      </c>
      <c r="G54" s="1" t="s">
        <v>277</v>
      </c>
      <c r="H54" s="1" t="str">
        <f ca="1">IFERROR(__xludf.DUMMYFUNCTION("GOOGLETRANSLATE(G54,""pl"",""en"")"),"street. General Bolesław Roi, Legionowo, Legionowski, Masovian Voivodeship")</f>
        <v>street. General Bolesław Roi, Legionowo, Legionowski, Masovian Voivodeship</v>
      </c>
      <c r="I54" s="1" t="s">
        <v>21</v>
      </c>
      <c r="J54" s="1" t="s">
        <v>21</v>
      </c>
      <c r="K54" s="1" t="s">
        <v>22</v>
      </c>
      <c r="L54" s="1" t="s">
        <v>278</v>
      </c>
      <c r="M54" s="1">
        <v>4</v>
      </c>
      <c r="N54" s="1" t="s">
        <v>24</v>
      </c>
      <c r="O54" s="1" t="str">
        <f ca="1">IFERROR(__xludf.DUMMYFUNCTION("GOOGLETRANSLATE(N54,""pl"",""en"")"),"full ownership")</f>
        <v>full ownership</v>
      </c>
      <c r="P54" s="3" t="s">
        <v>279</v>
      </c>
      <c r="Q54" s="1" t="b">
        <v>1</v>
      </c>
      <c r="R54" s="1" t="s">
        <v>280</v>
      </c>
    </row>
    <row r="55" spans="1:18" x14ac:dyDescent="0.25">
      <c r="A55" s="2">
        <v>45308</v>
      </c>
      <c r="B55" s="1" t="s">
        <v>281</v>
      </c>
      <c r="C55" s="1" t="str">
        <f ca="1">IFERROR(__xludf.DUMMYFUNCTION("GOOGLETRANSLATE(B55,""pl"",""en"")"),"New 4 rooms, 2 % loan - price until the end of the week")</f>
        <v>New 4 rooms, 2 % loan - price until the end of the week</v>
      </c>
      <c r="D55" s="1">
        <v>529329</v>
      </c>
      <c r="E55" s="1" t="s">
        <v>19</v>
      </c>
      <c r="F55" s="1">
        <v>58.2</v>
      </c>
      <c r="G55" s="1" t="s">
        <v>282</v>
      </c>
      <c r="H55" s="1" t="str">
        <f ca="1">IFERROR(__xludf.DUMMYFUNCTION("GOOGLETRANSLATE(G55,""pl"",""en"")"),"Orunia Górna - Gdańsk Południe, Gdańsk, Pomeranian Voivodeship")</f>
        <v>Orunia Górna - Gdańsk Południe, Gdańsk, Pomeranian Voivodeship</v>
      </c>
      <c r="I55" s="1" t="s">
        <v>21</v>
      </c>
      <c r="J55" s="1" t="s">
        <v>21</v>
      </c>
      <c r="K55" s="1" t="s">
        <v>22</v>
      </c>
      <c r="L55" s="1" t="s">
        <v>283</v>
      </c>
      <c r="M55" s="1">
        <v>4</v>
      </c>
      <c r="N55" s="1" t="s">
        <v>24</v>
      </c>
      <c r="O55" s="1" t="str">
        <f ca="1">IFERROR(__xludf.DUMMYFUNCTION("GOOGLETRANSLATE(N55,""pl"",""en"")"),"full ownership")</f>
        <v>full ownership</v>
      </c>
      <c r="P55" s="3" t="s">
        <v>284</v>
      </c>
      <c r="Q55" s="1" t="b">
        <v>1</v>
      </c>
      <c r="R55" s="1" t="s">
        <v>285</v>
      </c>
    </row>
    <row r="56" spans="1:18" x14ac:dyDescent="0.25">
      <c r="A56" s="2">
        <v>45308</v>
      </c>
      <c r="B56" s="1" t="s">
        <v>286</v>
      </c>
      <c r="C56" s="1" t="str">
        <f ca="1">IFERROR(__xludf.DUMMYFUNCTION("GOOGLETRANSLATE(B56,""pl"",""en"")"),"Right at the Nicolaus Copernicus University! The first floor in the block")</f>
        <v>Right at the Nicolaus Copernicus University! The first floor in the block</v>
      </c>
      <c r="D56" s="1">
        <v>470000</v>
      </c>
      <c r="E56" s="1" t="s">
        <v>33</v>
      </c>
      <c r="F56" s="1">
        <v>48</v>
      </c>
      <c r="G56" s="1" t="s">
        <v>287</v>
      </c>
      <c r="H56" s="1" t="str">
        <f ca="1">IFERROR(__xludf.DUMMYFUNCTION("GOOGLETRANSLATE(G56,""pl"",""en"")"),"Bydgoskie Przedmieście, Toruń, Kujawsko-Pomeranian Voivodeship")</f>
        <v>Bydgoskie Przedmieście, Toruń, Kujawsko-Pomeranian Voivodeship</v>
      </c>
      <c r="I56" s="1" t="b">
        <v>1</v>
      </c>
      <c r="J56" s="1" t="s">
        <v>21</v>
      </c>
      <c r="K56" s="1" t="s">
        <v>22</v>
      </c>
      <c r="L56" s="1" t="s">
        <v>288</v>
      </c>
      <c r="M56" s="1">
        <v>2</v>
      </c>
      <c r="N56" s="1" t="s">
        <v>24</v>
      </c>
      <c r="O56" s="1" t="str">
        <f ca="1">IFERROR(__xludf.DUMMYFUNCTION("GOOGLETRANSLATE(N56,""pl"",""en"")"),"full ownership")</f>
        <v>full ownership</v>
      </c>
      <c r="P56" s="3" t="s">
        <v>289</v>
      </c>
      <c r="Q56" s="1" t="b">
        <v>1</v>
      </c>
      <c r="R56" s="1" t="s">
        <v>290</v>
      </c>
    </row>
    <row r="57" spans="1:18" x14ac:dyDescent="0.25">
      <c r="A57" s="2">
        <v>45308</v>
      </c>
      <c r="B57" s="1" t="s">
        <v>291</v>
      </c>
      <c r="C57" s="1" t="str">
        <f ca="1">IFERROR(__xludf.DUMMYFUNCTION("GOOGLETRANSLATE(B57,""pl"",""en"")"),"New apartment with terrace Without PCC and commission")</f>
        <v>New apartment with terrace Without PCC and commission</v>
      </c>
      <c r="D57" s="1">
        <v>949000</v>
      </c>
      <c r="E57" s="1" t="s">
        <v>19</v>
      </c>
      <c r="F57" s="1">
        <v>68.66</v>
      </c>
      <c r="G57" s="1" t="s">
        <v>4700</v>
      </c>
      <c r="H57" s="1" t="str">
        <f ca="1">IFERROR(__xludf.DUMMYFUNCTION("GOOGLETRANSLATE(G57,""pl"",""en"")"),"street. Paweł from Krosno, Klina, Swoszowice, Kraków, Lesser Poland")</f>
        <v>street. Paweł from Krosno, Klina, Swoszowice, Kraków, Lesser Poland</v>
      </c>
      <c r="I57" s="1" t="s">
        <v>21</v>
      </c>
      <c r="J57" s="1" t="s">
        <v>21</v>
      </c>
      <c r="K57" s="1" t="s">
        <v>22</v>
      </c>
      <c r="L57" s="1" t="s">
        <v>292</v>
      </c>
      <c r="M57" s="1">
        <v>3</v>
      </c>
      <c r="N57" s="1" t="s">
        <v>24</v>
      </c>
      <c r="O57" s="1" t="str">
        <f ca="1">IFERROR(__xludf.DUMMYFUNCTION("GOOGLETRANSLATE(N57,""pl"",""en"")"),"full ownership")</f>
        <v>full ownership</v>
      </c>
      <c r="P57" s="3" t="s">
        <v>293</v>
      </c>
      <c r="Q57" s="1" t="b">
        <v>1</v>
      </c>
      <c r="R57" s="1" t="s">
        <v>294</v>
      </c>
    </row>
    <row r="58" spans="1:18" x14ac:dyDescent="0.25">
      <c r="A58" s="2">
        <v>45308</v>
      </c>
      <c r="B58" s="1" t="s">
        <v>295</v>
      </c>
      <c r="C58" s="1" t="str">
        <f ca="1">IFERROR(__xludf.DUMMYFUNCTION("GOOGLETRANSLATE(B58,""pl"",""en"")"),"A beautiful apartment in a historic villa in Orłowo")</f>
        <v>A beautiful apartment in a historic villa in Orłowo</v>
      </c>
      <c r="D58" s="1">
        <v>5500000</v>
      </c>
      <c r="E58" s="1" t="s">
        <v>33</v>
      </c>
      <c r="F58" s="1">
        <v>180</v>
      </c>
      <c r="G58" s="1" t="s">
        <v>296</v>
      </c>
      <c r="H58" s="1" t="str">
        <f ca="1">IFERROR(__xludf.DUMMYFUNCTION("GOOGLETRANSLATE(G58,""pl"",""en"")"),"Orłowo, Gdynia, Pomeranian")</f>
        <v>Orłowo, Gdynia, Pomeranian</v>
      </c>
      <c r="I58" s="1" t="s">
        <v>21</v>
      </c>
      <c r="J58" s="1" t="s">
        <v>21</v>
      </c>
      <c r="K58" s="1" t="s">
        <v>22</v>
      </c>
      <c r="L58" s="1" t="s">
        <v>297</v>
      </c>
      <c r="M58" s="1">
        <v>4</v>
      </c>
      <c r="N58" s="1" t="s">
        <v>24</v>
      </c>
      <c r="O58" s="1" t="str">
        <f ca="1">IFERROR(__xludf.DUMMYFUNCTION("GOOGLETRANSLATE(N58,""pl"",""en"")"),"full ownership")</f>
        <v>full ownership</v>
      </c>
      <c r="P58" s="3" t="s">
        <v>298</v>
      </c>
      <c r="Q58" s="1" t="b">
        <v>1</v>
      </c>
      <c r="R58" s="1" t="s">
        <v>299</v>
      </c>
    </row>
    <row r="59" spans="1:18" x14ac:dyDescent="0.25">
      <c r="A59" s="2">
        <v>45308</v>
      </c>
      <c r="B59" s="1" t="s">
        <v>300</v>
      </c>
      <c r="C59" s="1" t="str">
        <f ca="1">IFERROR(__xludf.DUMMYFUNCTION("GOOGLETRANSLATE(B59,""pl"",""en"")"),"A two -level apartment with a unique view")</f>
        <v>A two -level apartment with a unique view</v>
      </c>
      <c r="D59" s="1">
        <v>3000000</v>
      </c>
      <c r="E59" s="1" t="s">
        <v>19</v>
      </c>
      <c r="F59" s="1">
        <v>200.98</v>
      </c>
      <c r="G59" s="1" t="s">
        <v>4701</v>
      </c>
      <c r="H59" s="1" t="str">
        <f ca="1">IFERROR(__xludf.DUMMYFUNCTION("GOOGLETRANSLATE(G59,""pl"",""en"")"),"street. Gajówka, Przegorzały, Zwierzyniec, Kraków, Lesser Poland")</f>
        <v>street. Gajówka, Przegorzały, Zwierzyniec, Kraków, Lesser Poland</v>
      </c>
      <c r="I59" s="1" t="s">
        <v>21</v>
      </c>
      <c r="J59" s="1" t="s">
        <v>21</v>
      </c>
      <c r="K59" s="1" t="s">
        <v>22</v>
      </c>
      <c r="L59" s="1" t="s">
        <v>301</v>
      </c>
      <c r="M59" s="1">
        <v>6</v>
      </c>
      <c r="N59" s="1" t="s">
        <v>24</v>
      </c>
      <c r="O59" s="1" t="str">
        <f ca="1">IFERROR(__xludf.DUMMYFUNCTION("GOOGLETRANSLATE(N59,""pl"",""en"")"),"full ownership")</f>
        <v>full ownership</v>
      </c>
      <c r="P59" s="3" t="s">
        <v>302</v>
      </c>
      <c r="Q59" s="1" t="b">
        <v>1</v>
      </c>
      <c r="R59" s="1" t="s">
        <v>303</v>
      </c>
    </row>
    <row r="60" spans="1:18" x14ac:dyDescent="0.25">
      <c r="A60" s="2">
        <v>45308</v>
      </c>
      <c r="B60" s="1" t="s">
        <v>304</v>
      </c>
      <c r="C60" s="1" t="str">
        <f ca="1">IFERROR(__xludf.DUMMYFUNCTION("GOOGLETRANSLATE(B60,""pl"",""en"")"),"Mielno finished apartment equipped")</f>
        <v>Mielno finished apartment equipped</v>
      </c>
      <c r="D60" s="1">
        <v>499000</v>
      </c>
      <c r="E60" s="1" t="s">
        <v>19</v>
      </c>
      <c r="F60" s="1">
        <v>31</v>
      </c>
      <c r="G60" s="1" t="s">
        <v>305</v>
      </c>
      <c r="H60" s="1" t="str">
        <f ca="1">IFERROR(__xludf.DUMMYFUNCTION("GOOGLETRANSLATE(G60,""pl"",""en"")"),"Mielno, Mielno, Koszaliński, West Pomeranian Voivodeship")</f>
        <v>Mielno, Mielno, Koszaliński, West Pomeranian Voivodeship</v>
      </c>
      <c r="I60" s="1" t="s">
        <v>21</v>
      </c>
      <c r="J60" s="1" t="s">
        <v>21</v>
      </c>
      <c r="K60" s="1" t="s">
        <v>194</v>
      </c>
      <c r="L60" s="1" t="s">
        <v>306</v>
      </c>
      <c r="M60" s="1">
        <v>2</v>
      </c>
      <c r="N60" s="1" t="s">
        <v>24</v>
      </c>
      <c r="O60" s="1" t="str">
        <f ca="1">IFERROR(__xludf.DUMMYFUNCTION("GOOGLETRANSLATE(N60,""pl"",""en"")"),"full ownership")</f>
        <v>full ownership</v>
      </c>
      <c r="P60" s="3" t="s">
        <v>307</v>
      </c>
      <c r="Q60" s="1" t="b">
        <v>1</v>
      </c>
      <c r="R60" s="1" t="s">
        <v>308</v>
      </c>
    </row>
    <row r="61" spans="1:18" x14ac:dyDescent="0.25">
      <c r="A61" s="2">
        <v>45308</v>
      </c>
      <c r="B61" s="1" t="s">
        <v>309</v>
      </c>
      <c r="C61" s="1" t="str">
        <f ca="1">IFERROR(__xludf.DUMMYFUNCTION("GOOGLETRANSLATE(B61,""pl"",""en"")"),"Jarocin Apartment 53 m2 with balcony 10 m2 bauking")</f>
        <v>Jarocin Apartment 53 m2 with balcony 10 m2 bauking</v>
      </c>
      <c r="D61" s="1">
        <v>350000</v>
      </c>
      <c r="E61" s="1" t="s">
        <v>19</v>
      </c>
      <c r="F61" s="1">
        <v>53.63</v>
      </c>
      <c r="G61" s="1" t="s">
        <v>4702</v>
      </c>
      <c r="H61" s="1" t="str">
        <f ca="1">IFERROR(__xludf.DUMMYFUNCTION("GOOGLETRANSLATE(G61,""pl"",""en"")"),"street. Warciana, Jarocin, Jarocin, Jarociński, Greater Poland")</f>
        <v>street. Warciana, Jarocin, Jarocin, Jarociński, Greater Poland</v>
      </c>
      <c r="I61" s="1" t="b">
        <v>1</v>
      </c>
      <c r="J61" s="1" t="s">
        <v>21</v>
      </c>
      <c r="K61" s="1" t="s">
        <v>194</v>
      </c>
      <c r="L61" s="1" t="s">
        <v>310</v>
      </c>
      <c r="M61" s="1">
        <v>3</v>
      </c>
      <c r="N61" s="1" t="s">
        <v>24</v>
      </c>
      <c r="O61" s="1" t="str">
        <f ca="1">IFERROR(__xludf.DUMMYFUNCTION("GOOGLETRANSLATE(N61,""pl"",""en"")"),"full ownership")</f>
        <v>full ownership</v>
      </c>
      <c r="P61" s="3" t="s">
        <v>311</v>
      </c>
      <c r="Q61" s="1" t="b">
        <v>1</v>
      </c>
      <c r="R61" s="1" t="s">
        <v>312</v>
      </c>
    </row>
    <row r="62" spans="1:18" x14ac:dyDescent="0.25">
      <c r="A62" s="2">
        <v>45308</v>
      </c>
      <c r="B62" s="1" t="s">
        <v>313</v>
      </c>
      <c r="C62" s="1" t="str">
        <f ca="1">IFERROR(__xludf.DUMMYFUNCTION("GOOGLETRANSLATE(B62,""pl"",""en"")"),"3 rooms, balcony, basement, ul. Aegean")</f>
        <v>3 rooms, balcony, basement, ul. Aegean</v>
      </c>
      <c r="D62" s="1">
        <v>795000</v>
      </c>
      <c r="E62" s="1" t="s">
        <v>33</v>
      </c>
      <c r="F62" s="1">
        <v>57</v>
      </c>
      <c r="G62" s="1" t="s">
        <v>314</v>
      </c>
      <c r="H62" s="1" t="str">
        <f ca="1">IFERROR(__xludf.DUMMYFUNCTION("GOOGLETRANSLATE(G62,""pl"",""en"")"),"Stegny, Mokotów, Warsaw, Masovian Voivodeship")</f>
        <v>Stegny, Mokotów, Warsaw, Masovian Voivodeship</v>
      </c>
      <c r="I62" s="1" t="s">
        <v>21</v>
      </c>
      <c r="J62" s="1" t="s">
        <v>21</v>
      </c>
      <c r="K62" s="1" t="s">
        <v>22</v>
      </c>
      <c r="L62" s="1" t="s">
        <v>315</v>
      </c>
      <c r="M62" s="1">
        <v>3</v>
      </c>
      <c r="N62" s="1" t="s">
        <v>24</v>
      </c>
      <c r="O62" s="1" t="str">
        <f ca="1">IFERROR(__xludf.DUMMYFUNCTION("GOOGLETRANSLATE(N62,""pl"",""en"")"),"full ownership")</f>
        <v>full ownership</v>
      </c>
      <c r="P62" s="3" t="s">
        <v>316</v>
      </c>
      <c r="Q62" s="1" t="b">
        <v>1</v>
      </c>
      <c r="R62" s="1" t="s">
        <v>317</v>
      </c>
    </row>
    <row r="63" spans="1:18" x14ac:dyDescent="0.25">
      <c r="A63" s="2">
        <v>45308</v>
      </c>
      <c r="B63" s="1" t="s">
        <v>318</v>
      </c>
      <c r="C63" s="1" t="str">
        <f ca="1">IFERROR(__xludf.DUMMYFUNCTION("GOOGLETRANSLATE(B63,""pl"",""en"")"),"2-room apartment in the center ul. Jurowiecka")</f>
        <v>2-room apartment in the center ul. Jurowiecka</v>
      </c>
      <c r="D63" s="1">
        <v>462553</v>
      </c>
      <c r="E63" s="1" t="s">
        <v>19</v>
      </c>
      <c r="F63" s="1">
        <v>38.869999999999997</v>
      </c>
      <c r="G63" s="1" t="s">
        <v>319</v>
      </c>
      <c r="H63" s="1" t="str">
        <f ca="1">IFERROR(__xludf.DUMMYFUNCTION("GOOGLETRANSLATE(G63,""pl"",""en"")"),"street. Jurowiecka, Sienkiewicza, Białystok, Podlasie")</f>
        <v>street. Jurowiecka, Sienkiewicza, Białystok, Podlasie</v>
      </c>
      <c r="I63" s="1" t="s">
        <v>21</v>
      </c>
      <c r="J63" s="1" t="s">
        <v>21</v>
      </c>
      <c r="K63" s="1" t="s">
        <v>194</v>
      </c>
      <c r="L63" s="1" t="s">
        <v>320</v>
      </c>
      <c r="M63" s="1">
        <v>2</v>
      </c>
      <c r="N63" s="1" t="s">
        <v>24</v>
      </c>
      <c r="O63" s="1" t="str">
        <f ca="1">IFERROR(__xludf.DUMMYFUNCTION("GOOGLETRANSLATE(N63,""pl"",""en"")"),"full ownership")</f>
        <v>full ownership</v>
      </c>
      <c r="P63" s="3" t="s">
        <v>321</v>
      </c>
      <c r="Q63" s="1" t="b">
        <v>1</v>
      </c>
      <c r="R63" s="1" t="s">
        <v>322</v>
      </c>
    </row>
    <row r="64" spans="1:18" x14ac:dyDescent="0.25">
      <c r="A64" s="2">
        <v>45308</v>
      </c>
      <c r="B64" s="1" t="s">
        <v>323</v>
      </c>
      <c r="C64" s="1" t="str">
        <f ca="1">IFERROR(__xludf.DUMMYFUNCTION("GOOGLETRANSLATE(B64,""pl"",""en"")"),"Elegant apartment with a balcony in Zielonyzak")</f>
        <v>Elegant apartment with a balcony in Zielonyzak</v>
      </c>
      <c r="D64" s="1">
        <v>509900</v>
      </c>
      <c r="E64" s="1" t="s">
        <v>33</v>
      </c>
      <c r="F64" s="1">
        <v>35</v>
      </c>
      <c r="G64" s="1" t="s">
        <v>324</v>
      </c>
      <c r="H64" s="1" t="str">
        <f ca="1">IFERROR(__xludf.DUMMYFUNCTION("GOOGLETRANSLATE(G64,""pl"",""en"")"),"street. Jelenia, Popowice North, Fabryczna, Wrocław, DolnoSilesian Voivodeship")</f>
        <v>street. Jelenia, Popowice North, Fabryczna, Wrocław, DolnoSilesian Voivodeship</v>
      </c>
      <c r="I64" s="1" t="s">
        <v>21</v>
      </c>
      <c r="J64" s="1" t="s">
        <v>21</v>
      </c>
      <c r="K64" s="1" t="s">
        <v>22</v>
      </c>
      <c r="L64" s="1" t="s">
        <v>325</v>
      </c>
      <c r="M64" s="1">
        <v>2</v>
      </c>
      <c r="N64" s="1" t="s">
        <v>85</v>
      </c>
      <c r="O64" s="1" t="str">
        <f ca="1">IFERROR(__xludf.DUMMYFUNCTION("GOOGLETRANSLATE(N64,""pl"",""en"")"),"Cooperative ownership of the right to the premises")</f>
        <v>Cooperative ownership of the right to the premises</v>
      </c>
      <c r="P64" s="3" t="s">
        <v>326</v>
      </c>
      <c r="Q64" s="1" t="b">
        <v>1</v>
      </c>
      <c r="R64" s="1" t="s">
        <v>327</v>
      </c>
    </row>
    <row r="65" spans="1:18" x14ac:dyDescent="0.25">
      <c r="A65" s="2">
        <v>45308</v>
      </c>
      <c r="B65" s="1" t="s">
        <v>328</v>
      </c>
      <c r="C65" s="1" t="str">
        <f ca="1">IFERROR(__xludf.DUMMYFUNCTION("GOOGLETRANSLATE(B65,""pl"",""en"")"),"Warm, good location. Only here!")</f>
        <v>Warm, good location. Only here!</v>
      </c>
      <c r="D65" s="1">
        <v>269000</v>
      </c>
      <c r="E65" s="1" t="s">
        <v>33</v>
      </c>
      <c r="F65" s="1">
        <v>48.2</v>
      </c>
      <c r="G65" s="1" t="s">
        <v>329</v>
      </c>
      <c r="H65" s="1" t="str">
        <f ca="1">IFERROR(__xludf.DUMMYFUNCTION("GOOGLETRANSLATE(G65,""pl"",""en"")"),"Tuchola, Tuchola, Tucholski, Kujawsko-Pomeranian Voivodeship")</f>
        <v>Tuchola, Tuchola, Tucholski, Kujawsko-Pomeranian Voivodeship</v>
      </c>
      <c r="I65" s="1" t="s">
        <v>21</v>
      </c>
      <c r="J65" s="1" t="s">
        <v>21</v>
      </c>
      <c r="K65" s="1" t="s">
        <v>22</v>
      </c>
      <c r="L65" s="1" t="s">
        <v>330</v>
      </c>
      <c r="M65" s="1">
        <v>3</v>
      </c>
      <c r="N65" s="1" t="s">
        <v>24</v>
      </c>
      <c r="O65" s="1" t="str">
        <f ca="1">IFERROR(__xludf.DUMMYFUNCTION("GOOGLETRANSLATE(N65,""pl"",""en"")"),"full ownership")</f>
        <v>full ownership</v>
      </c>
      <c r="P65" s="3" t="s">
        <v>331</v>
      </c>
      <c r="Q65" s="1" t="b">
        <v>1</v>
      </c>
      <c r="R65" s="1" t="s">
        <v>332</v>
      </c>
    </row>
    <row r="66" spans="1:18" x14ac:dyDescent="0.25">
      <c r="A66" s="2">
        <v>45308</v>
      </c>
      <c r="B66" s="1" t="s">
        <v>333</v>
      </c>
      <c r="C66" s="1" t="str">
        <f ca="1">IFERROR(__xludf.DUMMYFUNCTION("GOOGLETRANSLATE(B66,""pl"",""en"")"),"—3 rooms - from the garden and basement 40m2 - partner -")</f>
        <v>—3 rooms - from the garden and basement 40m2 - partner -</v>
      </c>
      <c r="D66" s="1">
        <v>390000</v>
      </c>
      <c r="E66" s="1" t="s">
        <v>33</v>
      </c>
      <c r="F66" s="1">
        <v>67.5</v>
      </c>
      <c r="G66" s="1" t="s">
        <v>334</v>
      </c>
      <c r="H66" s="1" t="str">
        <f ca="1">IFERROR(__xludf.DUMMYFUNCTION("GOOGLETRANSLATE(G66,""pl"",""en"")"),"Siemyśl, Siemyśl, Kołobrzeski, West Pomeranian Voivodeship")</f>
        <v>Siemyśl, Siemyśl, Kołobrzeski, West Pomeranian Voivodeship</v>
      </c>
      <c r="I66" s="1" t="b">
        <v>1</v>
      </c>
      <c r="J66" s="1" t="s">
        <v>21</v>
      </c>
      <c r="K66" s="1" t="s">
        <v>22</v>
      </c>
      <c r="L66" s="1" t="s">
        <v>335</v>
      </c>
      <c r="M66" s="1">
        <v>3</v>
      </c>
      <c r="N66" s="1" t="s">
        <v>24</v>
      </c>
      <c r="O66" s="1" t="str">
        <f ca="1">IFERROR(__xludf.DUMMYFUNCTION("GOOGLETRANSLATE(N66,""pl"",""en"")"),"full ownership")</f>
        <v>full ownership</v>
      </c>
      <c r="P66" s="3" t="s">
        <v>336</v>
      </c>
      <c r="Q66" s="1" t="b">
        <v>1</v>
      </c>
      <c r="R66" s="1" t="s">
        <v>337</v>
      </c>
    </row>
    <row r="67" spans="1:18" x14ac:dyDescent="0.25">
      <c r="A67" s="2">
        <v>45308</v>
      </c>
      <c r="B67" s="1" t="s">
        <v>338</v>
      </c>
      <c r="C67" s="1" t="str">
        <f ca="1">IFERROR(__xludf.DUMMYFUNCTION("GOOGLETRANSLATE(B67,""pl"",""en"")"),"Bogusław X promenade No. 9/8")</f>
        <v>Bogusław X promenade No. 9/8</v>
      </c>
      <c r="D67" s="1">
        <v>352000</v>
      </c>
      <c r="E67" s="1" t="s">
        <v>33</v>
      </c>
      <c r="F67" s="1">
        <v>41.9</v>
      </c>
      <c r="G67" s="1" t="s">
        <v>339</v>
      </c>
      <c r="H67" s="1" t="str">
        <f ca="1">IFERROR(__xludf.DUMMYFUNCTION("GOOGLETRANSLATE(G67,""pl"",""en"")"),"street. Prince Bogusław X 8/9, Centrum, Śródmieście, Szczecin, ZachodnioPomeranian Voivodeship")</f>
        <v>street. Prince Bogusław X 8/9, Centrum, Śródmieście, Szczecin, ZachodnioPomeranian Voivodeship</v>
      </c>
      <c r="I67" s="1" t="s">
        <v>21</v>
      </c>
      <c r="J67" s="1" t="s">
        <v>21</v>
      </c>
      <c r="K67" s="1" t="s">
        <v>45</v>
      </c>
      <c r="L67" s="1" t="s">
        <v>340</v>
      </c>
      <c r="M67" s="1">
        <v>2</v>
      </c>
      <c r="N67" s="1" t="s">
        <v>24</v>
      </c>
      <c r="O67" s="1" t="str">
        <f ca="1">IFERROR(__xludf.DUMMYFUNCTION("GOOGLETRANSLATE(N67,""pl"",""en"")"),"full ownership")</f>
        <v>full ownership</v>
      </c>
      <c r="P67" s="3" t="s">
        <v>341</v>
      </c>
      <c r="Q67" s="1" t="b">
        <v>1</v>
      </c>
      <c r="R67" s="1" t="s">
        <v>342</v>
      </c>
    </row>
    <row r="68" spans="1:18" x14ac:dyDescent="0.25">
      <c r="A68" s="2">
        <v>45308</v>
      </c>
      <c r="B68" s="1" t="s">
        <v>343</v>
      </c>
      <c r="C68" s="1" t="str">
        <f ca="1">IFERROR(__xludf.DUMMYFUNCTION("GOOGLETRANSLATE(B68,""pl"",""en"")"),"New 70m apartment at the lagoon - field road")</f>
        <v>New 70m apartment at the lagoon - field road</v>
      </c>
      <c r="D68" s="1">
        <v>859000</v>
      </c>
      <c r="E68" s="1" t="s">
        <v>19</v>
      </c>
      <c r="F68" s="1">
        <v>70</v>
      </c>
      <c r="G68" s="1" t="s">
        <v>344</v>
      </c>
      <c r="H68" s="1" t="str">
        <f ca="1">IFERROR(__xludf.DUMMYFUNCTION("GOOGLETRANSLATE(G68,""pl"",""en"")"),"street. Polna Road, Świdnica, Świdnicki, DolnoSilesian Voivodeship")</f>
        <v>street. Polna Road, Świdnica, Świdnicki, DolnoSilesian Voivodeship</v>
      </c>
      <c r="I68" s="1" t="s">
        <v>21</v>
      </c>
      <c r="J68" s="1" t="s">
        <v>21</v>
      </c>
      <c r="K68" s="1" t="s">
        <v>45</v>
      </c>
      <c r="L68" s="1" t="s">
        <v>345</v>
      </c>
      <c r="M68" s="1">
        <v>3</v>
      </c>
      <c r="N68" s="1" t="s">
        <v>24</v>
      </c>
      <c r="O68" s="1" t="str">
        <f ca="1">IFERROR(__xludf.DUMMYFUNCTION("GOOGLETRANSLATE(N68,""pl"",""en"")"),"full ownership")</f>
        <v>full ownership</v>
      </c>
      <c r="P68" s="3" t="s">
        <v>346</v>
      </c>
      <c r="Q68" s="1" t="b">
        <v>1</v>
      </c>
      <c r="R68" s="1" t="s">
        <v>347</v>
      </c>
    </row>
    <row r="69" spans="1:18" x14ac:dyDescent="0.25">
      <c r="A69" s="2">
        <v>45308</v>
      </c>
      <c r="B69" s="1" t="s">
        <v>348</v>
      </c>
      <c r="C69" s="1" t="str">
        <f ca="1">IFERROR(__xludf.DUMMYFUNCTION("GOOGLETRANSLATE(B69,""pl"",""en"")"),"House floor - M. Konopnicka - Goleniów")</f>
        <v>House floor - M. Konopnicka - Goleniów</v>
      </c>
      <c r="D69" s="1">
        <v>329000</v>
      </c>
      <c r="E69" s="1" t="s">
        <v>33</v>
      </c>
      <c r="F69" s="1">
        <v>81</v>
      </c>
      <c r="G69" s="1" t="s">
        <v>349</v>
      </c>
      <c r="H69" s="1" t="str">
        <f ca="1">IFERROR(__xludf.DUMMYFUNCTION("GOOGLETRANSLATE(G69,""pl"",""en"")"),"street. Maria Konopnicka, Goleniów, Goleniów, Goleniowski, West Pomeranian Voivodeship")</f>
        <v>street. Maria Konopnicka, Goleniów, Goleniów, Goleniowski, West Pomeranian Voivodeship</v>
      </c>
      <c r="I69" s="1" t="s">
        <v>21</v>
      </c>
      <c r="J69" s="1" t="s">
        <v>21</v>
      </c>
      <c r="K69" s="1" t="s">
        <v>22</v>
      </c>
      <c r="L69" s="1" t="s">
        <v>350</v>
      </c>
      <c r="M69" s="1">
        <v>3</v>
      </c>
      <c r="N69" s="1" t="s">
        <v>24</v>
      </c>
      <c r="O69" s="1" t="str">
        <f ca="1">IFERROR(__xludf.DUMMYFUNCTION("GOOGLETRANSLATE(N69,""pl"",""en"")"),"full ownership")</f>
        <v>full ownership</v>
      </c>
      <c r="P69" s="3" t="s">
        <v>351</v>
      </c>
      <c r="Q69" s="1" t="b">
        <v>1</v>
      </c>
      <c r="R69" s="1" t="s">
        <v>352</v>
      </c>
    </row>
    <row r="70" spans="1:18" x14ac:dyDescent="0.25">
      <c r="A70" s="2">
        <v>45308</v>
      </c>
      <c r="B70" s="1" t="s">
        <v>353</v>
      </c>
      <c r="C70" s="1" t="str">
        <f ca="1">IFERROR(__xludf.DUMMYFUNCTION("GOOGLETRANSLATE(B70,""pl"",""en"")"),"New 2023 | Garage Balcony Metro Chrzanów")</f>
        <v>New 2023 | Garage Balcony Metro Chrzanów</v>
      </c>
      <c r="D70" s="1">
        <v>997000</v>
      </c>
      <c r="E70" s="1" t="s">
        <v>33</v>
      </c>
      <c r="F70" s="1">
        <v>52.5</v>
      </c>
      <c r="G70" s="1" t="s">
        <v>354</v>
      </c>
      <c r="H70" s="1" t="str">
        <f ca="1">IFERROR(__xludf.DUMMYFUNCTION("GOOGLETRANSLATE(G70,""pl"",""en"")"),"street. Szeligowska, Chrzanów, Bemowo, Warsaw, Masovian Voivodeship")</f>
        <v>street. Szeligowska, Chrzanów, Bemowo, Warsaw, Masovian Voivodeship</v>
      </c>
      <c r="I70" s="1" t="s">
        <v>21</v>
      </c>
      <c r="J70" s="1" t="s">
        <v>21</v>
      </c>
      <c r="K70" s="1" t="s">
        <v>22</v>
      </c>
      <c r="L70" s="1" t="s">
        <v>355</v>
      </c>
      <c r="M70" s="1">
        <v>3</v>
      </c>
      <c r="N70" s="1" t="s">
        <v>24</v>
      </c>
      <c r="O70" s="1" t="str">
        <f ca="1">IFERROR(__xludf.DUMMYFUNCTION("GOOGLETRANSLATE(N70,""pl"",""en"")"),"full ownership")</f>
        <v>full ownership</v>
      </c>
      <c r="P70" s="3" t="s">
        <v>356</v>
      </c>
      <c r="Q70" s="1" t="b">
        <v>1</v>
      </c>
      <c r="R70" s="1" t="s">
        <v>357</v>
      </c>
    </row>
    <row r="71" spans="1:18" x14ac:dyDescent="0.25">
      <c r="A71" s="2">
        <v>45308</v>
      </c>
      <c r="B71" s="1" t="s">
        <v>358</v>
      </c>
      <c r="C71" s="1" t="str">
        <f ca="1">IFERROR(__xludf.DUMMYFUNCTION("GOOGLETRANSLATE(B71,""pl"",""en"")"),"New M3 in a 2% loan Pattern for your new M.")</f>
        <v>New M3 in a 2% loan Pattern for your new M.</v>
      </c>
      <c r="D71" s="1">
        <v>391904</v>
      </c>
      <c r="E71" s="1" t="s">
        <v>19</v>
      </c>
      <c r="F71" s="1">
        <v>52.96</v>
      </c>
      <c r="G71" s="1" t="s">
        <v>359</v>
      </c>
      <c r="H71" s="1" t="str">
        <f ca="1">IFERROR(__xludf.DUMMYFUNCTION("GOOGLETRANSLATE(G71,""pl"",""en"")"),"street. Promienna, Żory, Silesian Voivodeship")</f>
        <v>street. Promienna, Żory, Silesian Voivodeship</v>
      </c>
      <c r="I71" s="1" t="b">
        <v>1</v>
      </c>
      <c r="J71" s="1" t="s">
        <v>21</v>
      </c>
      <c r="K71" s="1" t="s">
        <v>194</v>
      </c>
      <c r="L71" s="1" t="s">
        <v>360</v>
      </c>
      <c r="M71" s="1">
        <v>3</v>
      </c>
      <c r="N71" s="1" t="s">
        <v>24</v>
      </c>
      <c r="O71" s="1" t="str">
        <f ca="1">IFERROR(__xludf.DUMMYFUNCTION("GOOGLETRANSLATE(N71,""pl"",""en"")"),"full ownership")</f>
        <v>full ownership</v>
      </c>
      <c r="P71" s="3" t="s">
        <v>361</v>
      </c>
      <c r="Q71" s="1" t="b">
        <v>1</v>
      </c>
      <c r="R71" s="1" t="s">
        <v>362</v>
      </c>
    </row>
    <row r="72" spans="1:18" x14ac:dyDescent="0.25">
      <c r="A72" s="2">
        <v>45308</v>
      </c>
      <c r="B72" s="1" t="s">
        <v>363</v>
      </c>
      <c r="C72" s="1" t="str">
        <f ca="1">IFERROR(__xludf.DUMMYFUNCTION("GOOGLETRANSLATE(B72,""pl"",""en"")"),"The perfect apartment for the start")</f>
        <v>The perfect apartment for the start</v>
      </c>
      <c r="D72" s="1">
        <v>451000</v>
      </c>
      <c r="E72" s="1" t="s">
        <v>19</v>
      </c>
      <c r="F72" s="1">
        <v>44</v>
      </c>
      <c r="G72" s="1" t="s">
        <v>364</v>
      </c>
      <c r="H72" s="1" t="str">
        <f ca="1">IFERROR(__xludf.DUMMYFUNCTION("GOOGLETRANSLATE(G72,""pl"",""en"")"),"Siechnice, Siechnice, Wrocław, Lower Silesia")</f>
        <v>Siechnice, Siechnice, Wrocław, Lower Silesia</v>
      </c>
      <c r="I72" s="1" t="s">
        <v>21</v>
      </c>
      <c r="J72" s="1" t="s">
        <v>21</v>
      </c>
      <c r="K72" s="1" t="s">
        <v>22</v>
      </c>
      <c r="L72" s="1" t="s">
        <v>365</v>
      </c>
      <c r="M72" s="1">
        <v>2</v>
      </c>
      <c r="N72" s="1" t="s">
        <v>24</v>
      </c>
      <c r="O72" s="1" t="str">
        <f ca="1">IFERROR(__xludf.DUMMYFUNCTION("GOOGLETRANSLATE(N72,""pl"",""en"")"),"full ownership")</f>
        <v>full ownership</v>
      </c>
      <c r="P72" s="3" t="s">
        <v>366</v>
      </c>
      <c r="Q72" s="1" t="b">
        <v>1</v>
      </c>
      <c r="R72" s="1" t="s">
        <v>367</v>
      </c>
    </row>
    <row r="73" spans="1:18" x14ac:dyDescent="0.25">
      <c r="A73" s="2">
        <v>45308</v>
      </c>
      <c r="B73" s="1" t="s">
        <v>368</v>
      </c>
      <c r="C73" s="1" t="str">
        <f ca="1">IFERROR(__xludf.DUMMYFUNCTION("GOOGLETRANSLATE(B73,""pl"",""en"")"),"Investment Apartment at Czantoria Ustroń")</f>
        <v>Investment Apartment at Czantoria Ustroń</v>
      </c>
      <c r="D73" s="1">
        <v>829540</v>
      </c>
      <c r="E73" s="1" t="s">
        <v>19</v>
      </c>
      <c r="F73" s="1">
        <v>44.84</v>
      </c>
      <c r="G73" s="1" t="s">
        <v>369</v>
      </c>
      <c r="H73" s="1" t="str">
        <f ca="1">IFERROR(__xludf.DUMMYFUNCTION("GOOGLETRANSLATE(G73,""pl"",""en"")"),"Ustroń, Cieszyński, Silesian Voivodeship")</f>
        <v>Ustroń, Cieszyński, Silesian Voivodeship</v>
      </c>
      <c r="I73" s="1" t="s">
        <v>21</v>
      </c>
      <c r="J73" s="1" t="s">
        <v>21</v>
      </c>
      <c r="K73" s="1" t="s">
        <v>22</v>
      </c>
      <c r="L73" s="1" t="s">
        <v>370</v>
      </c>
      <c r="M73" s="1">
        <v>2</v>
      </c>
      <c r="N73" s="1" t="s">
        <v>24</v>
      </c>
      <c r="O73" s="1" t="str">
        <f ca="1">IFERROR(__xludf.DUMMYFUNCTION("GOOGLETRANSLATE(N73,""pl"",""en"")"),"full ownership")</f>
        <v>full ownership</v>
      </c>
      <c r="P73" s="3" t="s">
        <v>371</v>
      </c>
      <c r="Q73" s="1" t="b">
        <v>1</v>
      </c>
      <c r="R73" s="1" t="s">
        <v>372</v>
      </c>
    </row>
    <row r="74" spans="1:18" x14ac:dyDescent="0.25">
      <c r="A74" s="2">
        <v>45308</v>
      </c>
      <c r="B74" s="1" t="s">
        <v>373</v>
      </c>
      <c r="C74" s="1" t="str">
        <f ca="1">IFERROR(__xludf.DUMMYFUNCTION("GOOGLETRANSLATE(B74,""pl"",""en"")"),"2 room On the estate Sunny terraces 36.68 m + 3.85")</f>
        <v>2 room On the estate Sunny terraces 36.68 m + 3.85</v>
      </c>
      <c r="D74" s="1">
        <v>429000</v>
      </c>
      <c r="E74" s="1" t="s">
        <v>33</v>
      </c>
      <c r="F74" s="1">
        <v>40.53</v>
      </c>
      <c r="G74" s="1" t="s">
        <v>374</v>
      </c>
      <c r="H74" s="1" t="str">
        <f ca="1">IFERROR(__xludf.DUMMYFUNCTION("GOOGLETRANSLATE(G74,""pl"",""en"")"),"street. Jana Sobieskiego 16, Jakubskie Przedmieście, Toruń, Kujawsko-Pomeranian Voivodeship")</f>
        <v>street. Jana Sobieskiego 16, Jakubskie Przedmieście, Toruń, Kujawsko-Pomeranian Voivodeship</v>
      </c>
      <c r="I74" s="1" t="s">
        <v>21</v>
      </c>
      <c r="J74" s="1" t="s">
        <v>21</v>
      </c>
      <c r="K74" s="1" t="s">
        <v>45</v>
      </c>
      <c r="L74" s="1" t="s">
        <v>375</v>
      </c>
      <c r="M74" s="1">
        <v>2</v>
      </c>
      <c r="N74" s="1" t="s">
        <v>24</v>
      </c>
      <c r="O74" s="1" t="str">
        <f ca="1">IFERROR(__xludf.DUMMYFUNCTION("GOOGLETRANSLATE(N74,""pl"",""en"")"),"full ownership")</f>
        <v>full ownership</v>
      </c>
      <c r="P74" s="3" t="s">
        <v>376</v>
      </c>
      <c r="Q74" s="1" t="b">
        <v>1</v>
      </c>
      <c r="R74" s="1" t="s">
        <v>377</v>
      </c>
    </row>
    <row r="75" spans="1:18" x14ac:dyDescent="0.25">
      <c r="A75" s="2">
        <v>45308</v>
      </c>
      <c r="B75" s="1" t="s">
        <v>378</v>
      </c>
      <c r="C75" s="1" t="str">
        <f ca="1">IFERROR(__xludf.DUMMYFUNCTION("GOOGLETRANSLATE(B75,""pl"",""en"")"),"Apartment 46.7m2")</f>
        <v>Apartment 46.7m2</v>
      </c>
      <c r="D75" s="1">
        <v>250000</v>
      </c>
      <c r="E75" s="1" t="s">
        <v>33</v>
      </c>
      <c r="F75" s="1">
        <v>46.7</v>
      </c>
      <c r="G75" s="1" t="s">
        <v>4703</v>
      </c>
      <c r="H75" s="1" t="str">
        <f ca="1">IFERROR(__xludf.DUMMYFUNCTION("GOOGLETRANSLATE(G75,""pl"",""en"")"),"street. Jstreetiusz Słowacki, Olesno, Olesno, Oleski, Opole Voivodeship")</f>
        <v>street. Jstreetiusz Słowacki, Olesno, Olesno, Oleski, Opole Voivodeship</v>
      </c>
      <c r="I75" s="1" t="s">
        <v>21</v>
      </c>
      <c r="J75" s="1" t="s">
        <v>21</v>
      </c>
      <c r="K75" s="1" t="s">
        <v>45</v>
      </c>
      <c r="L75" s="1" t="s">
        <v>379</v>
      </c>
      <c r="M75" s="1">
        <v>2</v>
      </c>
      <c r="N75" s="1" t="s">
        <v>85</v>
      </c>
      <c r="O75" s="1" t="str">
        <f ca="1">IFERROR(__xludf.DUMMYFUNCTION("GOOGLETRANSLATE(N75,""pl"",""en"")"),"Cooperative ownership of the right to the premises")</f>
        <v>Cooperative ownership of the right to the premises</v>
      </c>
      <c r="P75" s="3" t="s">
        <v>380</v>
      </c>
      <c r="Q75" s="1" t="b">
        <v>1</v>
      </c>
      <c r="R75" s="1" t="s">
        <v>381</v>
      </c>
    </row>
    <row r="76" spans="1:18" x14ac:dyDescent="0.25">
      <c r="A76" s="2">
        <v>45308</v>
      </c>
      <c r="B76" s="1" t="s">
        <v>382</v>
      </c>
      <c r="C76" s="1" t="str">
        <f ca="1">IFERROR(__xludf.DUMMYFUNCTION("GOOGLETRANSLATE(B76,""pl"",""en"")"),"3 room Little Błonia, Wind, 2020!")</f>
        <v>3 room Little Błonia, Wind, 2020!</v>
      </c>
      <c r="D76" s="1">
        <v>650000</v>
      </c>
      <c r="E76" s="1" t="s">
        <v>33</v>
      </c>
      <c r="F76" s="1">
        <v>61.31</v>
      </c>
      <c r="G76" s="1" t="s">
        <v>383</v>
      </c>
      <c r="H76" s="1" t="str">
        <f ca="1">IFERROR(__xludf.DUMMYFUNCTION("GOOGLETRANSLATE(G76,""pl"",""en"")"),"street. Małe Błonia, Warszewo, North, Szczecin, West Pomeranian Voivodeship")</f>
        <v>street. Małe Błonia, Warszewo, North, Szczecin, West Pomeranian Voivodeship</v>
      </c>
      <c r="I76" s="1" t="s">
        <v>21</v>
      </c>
      <c r="J76" s="1" t="s">
        <v>21</v>
      </c>
      <c r="K76" s="1" t="s">
        <v>22</v>
      </c>
      <c r="L76" s="1" t="s">
        <v>384</v>
      </c>
      <c r="M76" s="1">
        <v>3</v>
      </c>
      <c r="N76" s="1" t="s">
        <v>24</v>
      </c>
      <c r="O76" s="1" t="str">
        <f ca="1">IFERROR(__xludf.DUMMYFUNCTION("GOOGLETRANSLATE(N76,""pl"",""en"")"),"full ownership")</f>
        <v>full ownership</v>
      </c>
      <c r="P76" s="3" t="s">
        <v>385</v>
      </c>
      <c r="Q76" s="1" t="b">
        <v>1</v>
      </c>
      <c r="R76" s="1" t="s">
        <v>386</v>
      </c>
    </row>
    <row r="77" spans="1:18" x14ac:dyDescent="0.25">
      <c r="A77" s="2">
        <v>45308</v>
      </c>
      <c r="B77" s="1" t="s">
        <v>387</v>
      </c>
      <c r="C77" s="1" t="str">
        <f ca="1">IFERROR(__xludf.DUMMYFUNCTION("GOOGLETRANSLATE(B77,""pl"",""en"")"),"Studio apartment ul. Wide with an area 35.34 m2,")</f>
        <v>Studio apartment ul. Wide with an area 35.34 m2,</v>
      </c>
      <c r="D77" s="1">
        <v>255000</v>
      </c>
      <c r="E77" s="1" t="s">
        <v>33</v>
      </c>
      <c r="F77" s="1">
        <v>35.340000000000003</v>
      </c>
      <c r="G77" s="1" t="s">
        <v>388</v>
      </c>
      <c r="H77" s="1" t="str">
        <f ca="1">IFERROR(__xludf.DUMMYFUNCTION("GOOGLETRANSLATE(G77,""pl"",""en"")"),"Tomaszów Mazowiecki, Tomaszowski, Łódź")</f>
        <v>Tomaszów Mazowiecki, Tomaszowski, Łódź</v>
      </c>
      <c r="I77" s="1" t="s">
        <v>21</v>
      </c>
      <c r="J77" s="1" t="s">
        <v>21</v>
      </c>
      <c r="K77" s="1" t="s">
        <v>22</v>
      </c>
      <c r="L77" s="1" t="s">
        <v>389</v>
      </c>
      <c r="M77" s="1">
        <v>1</v>
      </c>
      <c r="N77" s="1" t="s">
        <v>24</v>
      </c>
      <c r="O77" s="1" t="str">
        <f ca="1">IFERROR(__xludf.DUMMYFUNCTION("GOOGLETRANSLATE(N77,""pl"",""en"")"),"full ownership")</f>
        <v>full ownership</v>
      </c>
      <c r="P77" s="3" t="s">
        <v>390</v>
      </c>
      <c r="Q77" s="1" t="b">
        <v>1</v>
      </c>
      <c r="R77" s="1" t="s">
        <v>391</v>
      </c>
    </row>
    <row r="78" spans="1:18" x14ac:dyDescent="0.25">
      <c r="A78" s="2">
        <v>45308</v>
      </c>
      <c r="B78" s="1" t="s">
        <v>392</v>
      </c>
      <c r="C78" s="1" t="str">
        <f ca="1">IFERROR(__xludf.DUMMYFUNCTION("GOOGLETRANSLATE(B78,""pl"",""en"")"),"Modern apartments / close to Hungarian")</f>
        <v>Modern apartments / close to Hungarian</v>
      </c>
      <c r="D78" s="1">
        <v>600000</v>
      </c>
      <c r="E78" s="1" t="s">
        <v>19</v>
      </c>
      <c r="F78" s="1">
        <v>92.81</v>
      </c>
      <c r="G78" s="1" t="s">
        <v>4704</v>
      </c>
      <c r="H78" s="1" t="str">
        <f ca="1">IFERROR(__xludf.DUMMYFUNCTION("GOOGLETRANSLATE(G78,""pl"",""en"")"),"street. Hungarian, Nowy Sącz, Lesser Poland")</f>
        <v>street. Hungarian, Nowy Sącz, Lesser Poland</v>
      </c>
      <c r="I78" s="1" t="s">
        <v>21</v>
      </c>
      <c r="J78" s="1" t="s">
        <v>21</v>
      </c>
      <c r="K78" s="1" t="s">
        <v>22</v>
      </c>
      <c r="L78" s="1" t="s">
        <v>393</v>
      </c>
      <c r="M78" s="1">
        <v>6</v>
      </c>
      <c r="N78" s="1" t="s">
        <v>24</v>
      </c>
      <c r="O78" s="1" t="str">
        <f ca="1">IFERROR(__xludf.DUMMYFUNCTION("GOOGLETRANSLATE(N78,""pl"",""en"")"),"full ownership")</f>
        <v>full ownership</v>
      </c>
      <c r="P78" s="3" t="s">
        <v>394</v>
      </c>
      <c r="Q78" s="1" t="b">
        <v>1</v>
      </c>
      <c r="R78" s="1" t="s">
        <v>395</v>
      </c>
    </row>
    <row r="79" spans="1:18" x14ac:dyDescent="0.25">
      <c r="A79" s="2">
        <v>45308</v>
      </c>
      <c r="B79" s="1" t="s">
        <v>396</v>
      </c>
      <c r="C79" s="1" t="str">
        <f ca="1">IFERROR(__xludf.DUMMYFUNCTION("GOOGLETRANSLATE(B79,""pl"",""en"")"),"A flat in a new block at ul. Long")</f>
        <v>A flat in a new block at ul. Long</v>
      </c>
      <c r="D79" s="1">
        <v>330000</v>
      </c>
      <c r="E79" s="1" t="s">
        <v>33</v>
      </c>
      <c r="F79" s="1">
        <v>47.6</v>
      </c>
      <c r="G79" s="1" t="s">
        <v>397</v>
      </c>
      <c r="H79" s="1" t="str">
        <f ca="1">IFERROR(__xludf.DUMMYFUNCTION("GOOGLETRANSLATE(G79,""pl"",""en"")"),"street. Long, paws, paws, Białystok, Podlasie")</f>
        <v>street. Long, paws, paws, Białystok, Podlasie</v>
      </c>
      <c r="I79" s="1" t="s">
        <v>21</v>
      </c>
      <c r="J79" s="1" t="s">
        <v>21</v>
      </c>
      <c r="K79" s="1" t="s">
        <v>45</v>
      </c>
      <c r="L79" s="1" t="s">
        <v>398</v>
      </c>
      <c r="M79" s="1">
        <v>2</v>
      </c>
      <c r="N79" s="1" t="s">
        <v>24</v>
      </c>
      <c r="O79" s="1" t="str">
        <f ca="1">IFERROR(__xludf.DUMMYFUNCTION("GOOGLETRANSLATE(N79,""pl"",""en"")"),"full ownership")</f>
        <v>full ownership</v>
      </c>
      <c r="P79" s="3" t="s">
        <v>399</v>
      </c>
      <c r="Q79" s="1" t="b">
        <v>1</v>
      </c>
      <c r="R79" s="1" t="s">
        <v>400</v>
      </c>
    </row>
    <row r="80" spans="1:18" x14ac:dyDescent="0.25">
      <c r="A80" s="2">
        <v>45308</v>
      </c>
      <c r="B80" s="1" t="s">
        <v>401</v>
      </c>
      <c r="C80" s="1" t="str">
        <f ca="1">IFERROR(__xludf.DUMMYFUNCTION("GOOGLETRANSLATE(B80,""pl"",""en"")"),"New apartment on the 1st floor 28m2 - cathedral 10")</f>
        <v>New apartment on the 1st floor 28m2 - cathedral 10</v>
      </c>
      <c r="D80" s="1">
        <v>225261</v>
      </c>
      <c r="E80" s="1" t="s">
        <v>19</v>
      </c>
      <c r="F80" s="1">
        <v>27.81</v>
      </c>
      <c r="G80" s="1" t="s">
        <v>402</v>
      </c>
      <c r="H80" s="1" t="str">
        <f ca="1">IFERROR(__xludf.DUMMYFUNCTION("GOOGLETRANSLATE(G80,""pl"",""en"")"),"Wolin, Wolin, Kamieński, ZachodnioPomeranian Voivodeship")</f>
        <v>Wolin, Wolin, Kamieński, ZachodnioPomeranian Voivodeship</v>
      </c>
      <c r="I80" s="1" t="s">
        <v>21</v>
      </c>
      <c r="J80" s="1" t="s">
        <v>21</v>
      </c>
      <c r="K80" s="1" t="s">
        <v>22</v>
      </c>
      <c r="L80" s="1" t="s">
        <v>403</v>
      </c>
      <c r="M80" s="1">
        <v>1</v>
      </c>
      <c r="N80" s="1" t="s">
        <v>24</v>
      </c>
      <c r="O80" s="1" t="str">
        <f ca="1">IFERROR(__xludf.DUMMYFUNCTION("GOOGLETRANSLATE(N80,""pl"",""en"")"),"full ownership")</f>
        <v>full ownership</v>
      </c>
      <c r="P80" s="3" t="s">
        <v>404</v>
      </c>
      <c r="Q80" s="1" t="b">
        <v>1</v>
      </c>
      <c r="R80" s="1" t="s">
        <v>405</v>
      </c>
    </row>
    <row r="81" spans="1:18" x14ac:dyDescent="0.25">
      <c r="A81" s="2">
        <v>45308</v>
      </c>
      <c r="B81" s="1" t="s">
        <v>406</v>
      </c>
      <c r="C81" s="1" t="str">
        <f ca="1">IFERROR(__xludf.DUMMYFUNCTION("GOOGLETRANSLATE(B81,""pl"",""en"")"),"Apartment M3 Centrum Rybnik *** Reservation ***")</f>
        <v>Apartment M3 Centrum Rybnik *** Reservation ***</v>
      </c>
      <c r="D81" s="1">
        <v>280000</v>
      </c>
      <c r="E81" s="1" t="s">
        <v>33</v>
      </c>
      <c r="F81" s="1">
        <v>45.7</v>
      </c>
      <c r="G81" s="1" t="s">
        <v>407</v>
      </c>
      <c r="H81" s="1" t="str">
        <f ca="1">IFERROR(__xludf.DUMMYFUNCTION("GOOGLETRANSLATE(G81,""pl"",""en"")"),"Morocco-Nowiny, Rybnik, Silesian Voivodeship")</f>
        <v>Morocco-Nowiny, Rybnik, Silesian Voivodeship</v>
      </c>
      <c r="I81" s="1" t="s">
        <v>21</v>
      </c>
      <c r="J81" s="1" t="s">
        <v>21</v>
      </c>
      <c r="K81" s="1" t="s">
        <v>45</v>
      </c>
      <c r="L81" s="1" t="s">
        <v>408</v>
      </c>
      <c r="M81" s="1">
        <v>2</v>
      </c>
      <c r="N81" s="1" t="s">
        <v>24</v>
      </c>
      <c r="O81" s="1" t="str">
        <f ca="1">IFERROR(__xludf.DUMMYFUNCTION("GOOGLETRANSLATE(N81,""pl"",""en"")"),"full ownership")</f>
        <v>full ownership</v>
      </c>
      <c r="P81" s="3" t="s">
        <v>409</v>
      </c>
      <c r="Q81" s="1" t="b">
        <v>1</v>
      </c>
      <c r="R81" s="1" t="s">
        <v>410</v>
      </c>
    </row>
    <row r="82" spans="1:18" x14ac:dyDescent="0.25">
      <c r="A82" s="2">
        <v>45308</v>
      </c>
      <c r="B82" s="1" t="s">
        <v>411</v>
      </c>
      <c r="C82" s="1" t="str">
        <f ca="1">IFERROR(__xludf.DUMMYFUNCTION("GOOGLETRANSLATE(B82,""pl"",""en"")"),"2 Sławin rooms put into service")</f>
        <v>2 Sławin rooms put into service</v>
      </c>
      <c r="D82" s="1">
        <v>484208</v>
      </c>
      <c r="E82" s="1" t="s">
        <v>19</v>
      </c>
      <c r="F82" s="1">
        <v>45.68</v>
      </c>
      <c r="G82" s="1" t="s">
        <v>412</v>
      </c>
      <c r="H82" s="1" t="str">
        <f ca="1">IFERROR(__xludf.DUMMYFUNCTION("GOOGLETRANSLATE(G82,""pl"",""en"")"),"Sławin, Lublin, Lublin Voivodeship")</f>
        <v>Sławin, Lublin, Lublin Voivodeship</v>
      </c>
      <c r="I82" s="1" t="s">
        <v>21</v>
      </c>
      <c r="J82" s="1" t="s">
        <v>21</v>
      </c>
      <c r="K82" s="1" t="s">
        <v>22</v>
      </c>
      <c r="L82" s="1" t="s">
        <v>413</v>
      </c>
      <c r="M82" s="1">
        <v>2</v>
      </c>
      <c r="N82" s="1" t="s">
        <v>24</v>
      </c>
      <c r="O82" s="1" t="str">
        <f ca="1">IFERROR(__xludf.DUMMYFUNCTION("GOOGLETRANSLATE(N82,""pl"",""en"")"),"full ownership")</f>
        <v>full ownership</v>
      </c>
      <c r="P82" s="3" t="s">
        <v>414</v>
      </c>
      <c r="Q82" s="1" t="b">
        <v>1</v>
      </c>
      <c r="R82" s="1" t="s">
        <v>415</v>
      </c>
    </row>
    <row r="83" spans="1:18" x14ac:dyDescent="0.25">
      <c r="A83" s="2">
        <v>45308</v>
      </c>
      <c r="B83" s="1" t="s">
        <v>416</v>
      </c>
      <c r="C83" s="1" t="str">
        <f ca="1">IFERROR(__xludf.DUMMYFUNCTION("GOOGLETRANSLATE(B83,""pl"",""en"")"),"Apartment with a garden + 2 months parking")</f>
        <v>Apartment with a garden + 2 months parking</v>
      </c>
      <c r="D83" s="1">
        <v>480000</v>
      </c>
      <c r="E83" s="1" t="s">
        <v>19</v>
      </c>
      <c r="F83" s="1">
        <v>101</v>
      </c>
      <c r="G83" s="1" t="s">
        <v>4705</v>
      </c>
      <c r="H83" s="1" t="str">
        <f ca="1">IFERROR(__xludf.DUMMYFUNCTION("GOOGLETRANSLATE(G83,""pl"",""en"")"),"Krzyszkowo, Rokietnica, Poznań, Greater Poland")</f>
        <v>Krzyszkowo, Rokietnica, Poznań, Greater Poland</v>
      </c>
      <c r="I83" s="1" t="s">
        <v>21</v>
      </c>
      <c r="J83" s="1" t="s">
        <v>21</v>
      </c>
      <c r="K83" s="1" t="s">
        <v>22</v>
      </c>
      <c r="L83" s="1" t="s">
        <v>417</v>
      </c>
      <c r="M83" s="1">
        <v>4</v>
      </c>
      <c r="N83" s="1" t="s">
        <v>24</v>
      </c>
      <c r="O83" s="1" t="str">
        <f ca="1">IFERROR(__xludf.DUMMYFUNCTION("GOOGLETRANSLATE(N83,""pl"",""en"")"),"full ownership")</f>
        <v>full ownership</v>
      </c>
      <c r="P83" s="3" t="s">
        <v>418</v>
      </c>
      <c r="Q83" s="1" t="b">
        <v>1</v>
      </c>
      <c r="R83" s="1" t="s">
        <v>419</v>
      </c>
    </row>
    <row r="84" spans="1:18" x14ac:dyDescent="0.25">
      <c r="A84" s="2">
        <v>45308</v>
      </c>
      <c r="B84" s="1" t="s">
        <v>420</v>
      </c>
      <c r="C84" s="1" t="str">
        <f ca="1">IFERROR(__xludf.DUMMYFUNCTION("GOOGLETRANSLATE(B84,""pl"",""en"")"),"2 rooms in the center of Tarnów")</f>
        <v>2 rooms in the center of Tarnów</v>
      </c>
      <c r="D84" s="1">
        <v>249000</v>
      </c>
      <c r="E84" s="1" t="s">
        <v>33</v>
      </c>
      <c r="F84" s="1">
        <v>41.5</v>
      </c>
      <c r="G84" s="1" t="s">
        <v>4706</v>
      </c>
      <c r="H84" s="1" t="str">
        <f ca="1">IFERROR(__xludf.DUMMYFUNCTION("GOOGLETRANSLATE(G84,""pl"",""en"")"),"Tarnów, Lesser Poland")</f>
        <v>Tarnów, Lesser Poland</v>
      </c>
      <c r="I84" s="1" t="s">
        <v>21</v>
      </c>
      <c r="J84" s="1" t="s">
        <v>21</v>
      </c>
      <c r="K84" s="1" t="s">
        <v>45</v>
      </c>
      <c r="L84" s="1" t="s">
        <v>421</v>
      </c>
      <c r="M84" s="1">
        <v>2</v>
      </c>
      <c r="N84" s="1" t="s">
        <v>85</v>
      </c>
      <c r="O84" s="1" t="str">
        <f ca="1">IFERROR(__xludf.DUMMYFUNCTION("GOOGLETRANSLATE(N84,""pl"",""en"")"),"Cooperative ownership of the right to the premises")</f>
        <v>Cooperative ownership of the right to the premises</v>
      </c>
      <c r="P84" s="3" t="s">
        <v>422</v>
      </c>
      <c r="Q84" s="1" t="b">
        <v>1</v>
      </c>
      <c r="R84" s="1" t="s">
        <v>423</v>
      </c>
    </row>
    <row r="85" spans="1:18" x14ac:dyDescent="0.25">
      <c r="A85" s="2">
        <v>45308</v>
      </c>
      <c r="B85" s="1" t="s">
        <v>424</v>
      </c>
      <c r="C85" s="1" t="str">
        <f ca="1">IFERROR(__xludf.DUMMYFUNCTION("GOOGLETRANSLATE(B85,""pl"",""en"")"),"Attractive 3 -room sunny Os")</f>
        <v>Attractive 3 -room sunny Os</v>
      </c>
      <c r="D85" s="1">
        <v>750000</v>
      </c>
      <c r="E85" s="1" t="s">
        <v>33</v>
      </c>
      <c r="F85" s="1">
        <v>60.4</v>
      </c>
      <c r="G85" s="1" t="s">
        <v>4707</v>
      </c>
      <c r="H85" s="1" t="str">
        <f ca="1">IFERROR(__xludf.DUMMYFUNCTION("GOOGLETRANSLATE(G85,""pl"",""en"")"),"Słoneczne estate, Nowa Huta, Nowa Huta, Kraków, Lesser Poland")</f>
        <v>Słoneczne estate, Nowa Huta, Nowa Huta, Kraków, Lesser Poland</v>
      </c>
      <c r="I85" s="1" t="s">
        <v>21</v>
      </c>
      <c r="J85" s="1" t="s">
        <v>21</v>
      </c>
      <c r="K85" s="1" t="s">
        <v>22</v>
      </c>
      <c r="L85" s="1" t="s">
        <v>425</v>
      </c>
      <c r="M85" s="1">
        <v>3</v>
      </c>
      <c r="N85" s="1" t="s">
        <v>24</v>
      </c>
      <c r="O85" s="1" t="str">
        <f ca="1">IFERROR(__xludf.DUMMYFUNCTION("GOOGLETRANSLATE(N85,""pl"",""en"")"),"full ownership")</f>
        <v>full ownership</v>
      </c>
      <c r="P85" s="3" t="s">
        <v>426</v>
      </c>
      <c r="Q85" s="1" t="b">
        <v>1</v>
      </c>
      <c r="R85" s="1" t="s">
        <v>427</v>
      </c>
    </row>
    <row r="86" spans="1:18" x14ac:dyDescent="0.25">
      <c r="A86" s="2">
        <v>45308</v>
      </c>
      <c r="B86" s="1" t="s">
        <v>428</v>
      </c>
      <c r="C86" s="1" t="str">
        <f ca="1">IFERROR(__xludf.DUMMYFUNCTION("GOOGLETRANSLATE(B86,""pl"",""en"")"),"New apartment approx. 70 m2 rose stream")</f>
        <v>New apartment approx. 70 m2 rose stream</v>
      </c>
      <c r="D86" s="1">
        <v>809600</v>
      </c>
      <c r="E86" s="1" t="s">
        <v>19</v>
      </c>
      <c r="F86" s="1">
        <v>70.400000000000006</v>
      </c>
      <c r="G86" s="1" t="s">
        <v>4708</v>
      </c>
      <c r="H86" s="1" t="str">
        <f ca="1">IFERROR(__xludf.DUMMYFUNCTION("GOOGLETRANSLATE(G86,""pl"",""en"")"),"Różany Potok, Old Town, Poznań, Greater Poland")</f>
        <v>Różany Potok, Old Town, Poznań, Greater Poland</v>
      </c>
      <c r="I86" s="1" t="s">
        <v>21</v>
      </c>
      <c r="J86" s="1" t="s">
        <v>21</v>
      </c>
      <c r="K86" s="1" t="s">
        <v>22</v>
      </c>
      <c r="L86" s="1" t="s">
        <v>429</v>
      </c>
      <c r="M86" s="1">
        <v>3</v>
      </c>
      <c r="N86" s="1" t="s">
        <v>24</v>
      </c>
      <c r="O86" s="1" t="str">
        <f ca="1">IFERROR(__xludf.DUMMYFUNCTION("GOOGLETRANSLATE(N86,""pl"",""en"")"),"full ownership")</f>
        <v>full ownership</v>
      </c>
      <c r="P86" s="3" t="s">
        <v>430</v>
      </c>
      <c r="Q86" s="1" t="b">
        <v>1</v>
      </c>
      <c r="R86" s="1" t="s">
        <v>431</v>
      </c>
    </row>
    <row r="87" spans="1:18" x14ac:dyDescent="0.25">
      <c r="A87" s="2">
        <v>45308</v>
      </c>
      <c r="B87" s="1" t="s">
        <v>432</v>
      </c>
      <c r="C87" s="1" t="str">
        <f ca="1">IFERROR(__xludf.DUMMYFUNCTION("GOOGLETRANSLATE(B87,""pl"",""en"")"),"Apartment with a garden!")</f>
        <v>Apartment with a garden!</v>
      </c>
      <c r="D87" s="1">
        <v>210000</v>
      </c>
      <c r="E87" s="1" t="s">
        <v>33</v>
      </c>
      <c r="F87" s="1">
        <v>40.270000000000003</v>
      </c>
      <c r="G87" s="1" t="s">
        <v>4709</v>
      </c>
      <c r="H87" s="1" t="str">
        <f ca="1">IFERROR(__xludf.DUMMYFUNCTION("GOOGLETRANSLATE(G87,""pl"",""en"")"),"Lewin Brzeski, Lewin Brzeski, Brzeski, Opole Voivodeship")</f>
        <v>Lewin Brzeski, Lewin Brzeski, Brzeski, Opole Voivodeship</v>
      </c>
      <c r="I87" s="1" t="s">
        <v>21</v>
      </c>
      <c r="J87" s="1" t="s">
        <v>21</v>
      </c>
      <c r="K87" s="1" t="s">
        <v>22</v>
      </c>
      <c r="L87" s="1" t="s">
        <v>433</v>
      </c>
      <c r="M87" s="1">
        <v>3</v>
      </c>
      <c r="N87" s="1" t="s">
        <v>24</v>
      </c>
      <c r="O87" s="1" t="str">
        <f ca="1">IFERROR(__xludf.DUMMYFUNCTION("GOOGLETRANSLATE(N87,""pl"",""en"")"),"full ownership")</f>
        <v>full ownership</v>
      </c>
      <c r="P87" s="3" t="s">
        <v>434</v>
      </c>
      <c r="Q87" s="1" t="b">
        <v>1</v>
      </c>
      <c r="R87" s="1" t="s">
        <v>435</v>
      </c>
    </row>
    <row r="88" spans="1:18" x14ac:dyDescent="0.25">
      <c r="A88" s="2">
        <v>45308</v>
      </c>
      <c r="B88" s="1" t="s">
        <v>436</v>
      </c>
      <c r="C88" s="1" t="str">
        <f ca="1">IFERROR(__xludf.DUMMYFUNCTION("GOOGLETRANSLATE(B88,""pl"",""en"")"),"Apartment in Nidzica")</f>
        <v>Apartment in Nidzica</v>
      </c>
      <c r="D88" s="1">
        <v>189000</v>
      </c>
      <c r="E88" s="1" t="s">
        <v>33</v>
      </c>
      <c r="F88" s="1">
        <v>35.6</v>
      </c>
      <c r="G88" s="1" t="s">
        <v>437</v>
      </c>
      <c r="H88" s="1" t="str">
        <f ca="1">IFERROR(__xludf.DUMMYFUNCTION("GOOGLETRANSLATE(G88,""pl"",""en"")"),"Nidzica, Nidzica, Nidzicki, Warmian-Masurian Voivodeship")</f>
        <v>Nidzica, Nidzica, Nidzicki, Warmian-Masurian Voivodeship</v>
      </c>
      <c r="I88" s="1" t="b">
        <v>1</v>
      </c>
      <c r="J88" s="1" t="s">
        <v>21</v>
      </c>
      <c r="K88" s="1" t="s">
        <v>22</v>
      </c>
      <c r="L88" s="1" t="s">
        <v>438</v>
      </c>
      <c r="M88" s="1">
        <v>1</v>
      </c>
      <c r="N88" s="1" t="s">
        <v>24</v>
      </c>
      <c r="O88" s="1" t="str">
        <f ca="1">IFERROR(__xludf.DUMMYFUNCTION("GOOGLETRANSLATE(N88,""pl"",""en"")"),"full ownership")</f>
        <v>full ownership</v>
      </c>
      <c r="P88" s="3" t="s">
        <v>439</v>
      </c>
      <c r="Q88" s="1" t="b">
        <v>1</v>
      </c>
      <c r="R88" s="1" t="s">
        <v>440</v>
      </c>
    </row>
    <row r="89" spans="1:18" x14ac:dyDescent="0.25">
      <c r="A89" s="2">
        <v>45308</v>
      </c>
      <c r="B89" s="1" t="s">
        <v>441</v>
      </c>
      <c r="C89" s="1" t="str">
        <f ca="1">IFERROR(__xludf.DUMMYFUNCTION("GOOGLETRANSLATE(B89,""pl"",""en"")"),"Open days 30.12! over 100,000 discount loan 2%")</f>
        <v>Open days 30.12! over 100,000 discount loan 2%</v>
      </c>
      <c r="D89" s="1">
        <v>477465</v>
      </c>
      <c r="E89" s="1" t="s">
        <v>19</v>
      </c>
      <c r="F89" s="1">
        <v>49.71</v>
      </c>
      <c r="G89" s="1" t="s">
        <v>282</v>
      </c>
      <c r="H89" s="1" t="str">
        <f ca="1">IFERROR(__xludf.DUMMYFUNCTION("GOOGLETRANSLATE(G89,""pl"",""en"")"),"Orunia Górna - Gdańsk Południe, Gdańsk, Pomeranian Voivodeship")</f>
        <v>Orunia Górna - Gdańsk Południe, Gdańsk, Pomeranian Voivodeship</v>
      </c>
      <c r="I89" s="1" t="s">
        <v>21</v>
      </c>
      <c r="J89" s="1" t="s">
        <v>21</v>
      </c>
      <c r="K89" s="1" t="s">
        <v>22</v>
      </c>
      <c r="L89" s="1" t="s">
        <v>442</v>
      </c>
      <c r="M89" s="1">
        <v>2</v>
      </c>
      <c r="N89" s="1" t="s">
        <v>24</v>
      </c>
      <c r="O89" s="1" t="str">
        <f ca="1">IFERROR(__xludf.DUMMYFUNCTION("GOOGLETRANSLATE(N89,""pl"",""en"")"),"full ownership")</f>
        <v>full ownership</v>
      </c>
      <c r="P89" s="3" t="s">
        <v>443</v>
      </c>
      <c r="Q89" s="1" t="b">
        <v>1</v>
      </c>
      <c r="R89" s="1" t="s">
        <v>444</v>
      </c>
    </row>
    <row r="90" spans="1:18" x14ac:dyDescent="0.25">
      <c r="A90" s="2">
        <v>45308</v>
      </c>
      <c r="B90" s="1" t="s">
        <v>445</v>
      </c>
      <c r="C90" s="1" t="str">
        <f ca="1">IFERROR(__xludf.DUMMYFUNCTION("GOOGLETRANSLATE(B90,""pl"",""en"")"),"New price 3 rooms with a balcony in Widzew, 62m2")</f>
        <v>New price 3 rooms with a balcony in Widzew, 62m2</v>
      </c>
      <c r="D90" s="1">
        <v>484000</v>
      </c>
      <c r="E90" s="1" t="s">
        <v>33</v>
      </c>
      <c r="F90" s="1">
        <v>62</v>
      </c>
      <c r="G90" s="1" t="s">
        <v>446</v>
      </c>
      <c r="H90" s="1" t="str">
        <f ca="1">IFERROR(__xludf.DUMMYFUNCTION("GOOGLETRANSLATE(G90,""pl"",""en"")"),"Widzew Wschód, Widzew, Łódź, Łódź")</f>
        <v>Widzew Wschód, Widzew, Łódź, Łódź</v>
      </c>
      <c r="I90" s="1" t="b">
        <v>1</v>
      </c>
      <c r="J90" s="1" t="s">
        <v>21</v>
      </c>
      <c r="K90" s="1" t="s">
        <v>22</v>
      </c>
      <c r="L90" s="1" t="s">
        <v>447</v>
      </c>
      <c r="M90" s="1">
        <v>3</v>
      </c>
      <c r="N90" s="1" t="s">
        <v>24</v>
      </c>
      <c r="O90" s="1" t="str">
        <f ca="1">IFERROR(__xludf.DUMMYFUNCTION("GOOGLETRANSLATE(N90,""pl"",""en"")"),"full ownership")</f>
        <v>full ownership</v>
      </c>
      <c r="P90" s="3" t="s">
        <v>448</v>
      </c>
      <c r="Q90" s="1" t="b">
        <v>1</v>
      </c>
      <c r="R90" s="1" t="s">
        <v>449</v>
      </c>
    </row>
    <row r="91" spans="1:18" x14ac:dyDescent="0.25">
      <c r="A91" s="2">
        <v>45308</v>
      </c>
      <c r="B91" s="1" t="s">
        <v>450</v>
      </c>
      <c r="C91" s="1" t="str">
        <f ca="1">IFERROR(__xludf.DUMMYFUNCTION("GOOGLETRANSLATE(B91,""pl"",""en"")"),"4 rooms/ no PCC/ directly")</f>
        <v>4 rooms/ no PCC/ directly</v>
      </c>
      <c r="D91" s="1">
        <v>461775</v>
      </c>
      <c r="E91" s="1" t="s">
        <v>19</v>
      </c>
      <c r="F91" s="1">
        <v>70.5</v>
      </c>
      <c r="G91" s="1" t="s">
        <v>451</v>
      </c>
      <c r="H91" s="1" t="str">
        <f ca="1">IFERROR(__xludf.DUMMYFUNCTION("GOOGLETRANSLATE(G91,""pl"",""en"")"),"street. Maria Konopnicka, Środstreeta, Sosnowiec, Silesian Voivodeship")</f>
        <v>street. Maria Konopnicka, Środstreeta, Sosnowiec, Silesian Voivodeship</v>
      </c>
      <c r="I91" s="1" t="b">
        <v>1</v>
      </c>
      <c r="J91" s="1" t="s">
        <v>21</v>
      </c>
      <c r="K91" s="1" t="s">
        <v>194</v>
      </c>
      <c r="L91" s="1" t="s">
        <v>452</v>
      </c>
      <c r="M91" s="1">
        <v>4</v>
      </c>
      <c r="N91" s="1" t="s">
        <v>24</v>
      </c>
      <c r="O91" s="1" t="str">
        <f ca="1">IFERROR(__xludf.DUMMYFUNCTION("GOOGLETRANSLATE(N91,""pl"",""en"")"),"full ownership")</f>
        <v>full ownership</v>
      </c>
      <c r="P91" s="3" t="s">
        <v>453</v>
      </c>
      <c r="Q91" s="1" t="b">
        <v>1</v>
      </c>
      <c r="R91" s="1" t="s">
        <v>454</v>
      </c>
    </row>
    <row r="92" spans="1:18" x14ac:dyDescent="0.25">
      <c r="A92" s="2">
        <v>45308</v>
      </c>
      <c r="B92" s="1" t="s">
        <v>455</v>
      </c>
      <c r="C92" s="1" t="str">
        <f ca="1">IFERROR(__xludf.DUMMYFUNCTION("GOOGLETRANSLATE(B92,""pl"",""en"")"),"Apartment for start, Myślenice - no commission!")</f>
        <v>Apartment for start, Myślenice - no commission!</v>
      </c>
      <c r="D92" s="1">
        <v>330000</v>
      </c>
      <c r="E92" s="1" t="s">
        <v>19</v>
      </c>
      <c r="F92" s="1">
        <v>25</v>
      </c>
      <c r="G92" s="1" t="s">
        <v>4710</v>
      </c>
      <c r="H92" s="1" t="str">
        <f ca="1">IFERROR(__xludf.DUMMYFUNCTION("GOOGLETRANSLATE(G92,""pl"",""en"")"),"Myślenice, Myślenice, Myślenicki, Lesser Poland")</f>
        <v>Myślenice, Myślenice, Myślenicki, Lesser Poland</v>
      </c>
      <c r="I92" s="1" t="b">
        <v>1</v>
      </c>
      <c r="J92" s="1" t="s">
        <v>21</v>
      </c>
      <c r="K92" s="1" t="s">
        <v>45</v>
      </c>
      <c r="L92" s="1" t="s">
        <v>456</v>
      </c>
      <c r="M92" s="1">
        <v>2</v>
      </c>
      <c r="N92" s="1" t="s">
        <v>24</v>
      </c>
      <c r="O92" s="1" t="str">
        <f ca="1">IFERROR(__xludf.DUMMYFUNCTION("GOOGLETRANSLATE(N92,""pl"",""en"")"),"full ownership")</f>
        <v>full ownership</v>
      </c>
      <c r="P92" s="3" t="s">
        <v>457</v>
      </c>
      <c r="Q92" s="1" t="b">
        <v>1</v>
      </c>
      <c r="R92" s="1" t="s">
        <v>458</v>
      </c>
    </row>
    <row r="93" spans="1:18" x14ac:dyDescent="0.25">
      <c r="A93" s="2">
        <v>45308</v>
      </c>
      <c r="B93" s="1" t="s">
        <v>459</v>
      </c>
      <c r="C93" s="1" t="str">
        <f ca="1">IFERROR(__xludf.DUMMYFUNCTION("GOOGLETRANSLATE(B93,""pl"",""en"")"),"Historical Krakow Square! M3 immediately!")</f>
        <v>Historical Krakow Square! M3 immediately!</v>
      </c>
      <c r="D93" s="1">
        <v>170000</v>
      </c>
      <c r="E93" s="1" t="s">
        <v>33</v>
      </c>
      <c r="F93" s="1">
        <v>41.56</v>
      </c>
      <c r="G93" s="1" t="s">
        <v>460</v>
      </c>
      <c r="H93" s="1" t="str">
        <f ca="1">IFERROR(__xludf.DUMMYFUNCTION("GOOGLETRANSLATE(G93,""pl"",""en"")"),"pl. Krakow Plac, Śródmieście, Zabrze, Silesian Voivodeship")</f>
        <v>pl. Krakow Plac, Śródmieście, Zabrze, Silesian Voivodeship</v>
      </c>
      <c r="I93" s="1" t="s">
        <v>21</v>
      </c>
      <c r="J93" s="1" t="s">
        <v>21</v>
      </c>
      <c r="K93" s="1" t="s">
        <v>22</v>
      </c>
      <c r="L93" s="1" t="s">
        <v>461</v>
      </c>
      <c r="M93" s="1">
        <v>2</v>
      </c>
      <c r="N93" s="1" t="s">
        <v>24</v>
      </c>
      <c r="O93" s="1" t="str">
        <f ca="1">IFERROR(__xludf.DUMMYFUNCTION("GOOGLETRANSLATE(N93,""pl"",""en"")"),"full ownership")</f>
        <v>full ownership</v>
      </c>
      <c r="P93" s="3" t="s">
        <v>462</v>
      </c>
      <c r="Q93" s="1" t="b">
        <v>1</v>
      </c>
      <c r="R93" s="1" t="s">
        <v>463</v>
      </c>
    </row>
    <row r="94" spans="1:18" x14ac:dyDescent="0.25">
      <c r="A94" s="2">
        <v>45308</v>
      </c>
      <c r="B94" s="1" t="s">
        <v>464</v>
      </c>
      <c r="C94" s="1" t="str">
        <f ca="1">IFERROR(__xludf.DUMMYFUNCTION("GOOGLETRANSLATE(B94,""pl"",""en"")"),"Extreme house for sale, 4 rooms, 141m2, Rudak")</f>
        <v>Extreme house for sale, 4 rooms, 141m2, Rudak</v>
      </c>
      <c r="D94" s="1">
        <v>850000</v>
      </c>
      <c r="E94" s="1" t="s">
        <v>33</v>
      </c>
      <c r="F94" s="1">
        <v>141.62</v>
      </c>
      <c r="G94" s="1" t="s">
        <v>465</v>
      </c>
      <c r="H94" s="1" t="str">
        <f ca="1">IFERROR(__xludf.DUMMYFUNCTION("GOOGLETRANSLATE(G94,""pl"",""en"")"),"street. Rypińska, Rudak, Toruń, Kujawsko-Pomeranian Voivodeship")</f>
        <v>street. Rypińska, Rudak, Toruń, Kujawsko-Pomeranian Voivodeship</v>
      </c>
      <c r="I94" s="1" t="b">
        <v>1</v>
      </c>
      <c r="J94" s="1" t="s">
        <v>21</v>
      </c>
      <c r="K94" s="1" t="s">
        <v>22</v>
      </c>
      <c r="L94" s="1" t="s">
        <v>466</v>
      </c>
      <c r="M94" s="1">
        <v>4</v>
      </c>
      <c r="N94" s="1" t="s">
        <v>21</v>
      </c>
      <c r="O94" s="1" t="str">
        <f ca="1">IFERROR(__xludf.DUMMYFUNCTION("GOOGLETRANSLATE(N94,""pl"",""en"")"),"null")</f>
        <v>null</v>
      </c>
      <c r="P94" s="3" t="s">
        <v>467</v>
      </c>
      <c r="Q94" s="1" t="b">
        <v>1</v>
      </c>
      <c r="R94" s="1" t="s">
        <v>468</v>
      </c>
    </row>
    <row r="95" spans="1:18" x14ac:dyDescent="0.25">
      <c r="A95" s="2">
        <v>45308</v>
      </c>
      <c r="B95" s="1" t="s">
        <v>469</v>
      </c>
      <c r="C95" s="1" t="str">
        <f ca="1">IFERROR(__xludf.DUMMYFUNCTION("GOOGLETRANSLATE(B95,""pl"",""en"")"),"Around ul. Wool lux/balcony/distribution")</f>
        <v>Around ul. Wool lux/balcony/distribution</v>
      </c>
      <c r="D95" s="1">
        <v>599000</v>
      </c>
      <c r="E95" s="1" t="s">
        <v>33</v>
      </c>
      <c r="F95" s="1">
        <v>52.8</v>
      </c>
      <c r="G95" s="1" t="s">
        <v>470</v>
      </c>
      <c r="H95" s="1" t="str">
        <f ca="1">IFERROR(__xludf.DUMMYFUNCTION("GOOGLETRANSLATE(G95,""pl"",""en"")"),"Leśnica, Fabryczna, Wrocław, DolnoSilesian Voivodeship")</f>
        <v>Leśnica, Fabryczna, Wrocław, DolnoSilesian Voivodeship</v>
      </c>
      <c r="I95" s="1" t="s">
        <v>21</v>
      </c>
      <c r="J95" s="1" t="s">
        <v>21</v>
      </c>
      <c r="K95" s="1" t="s">
        <v>22</v>
      </c>
      <c r="L95" s="1" t="s">
        <v>471</v>
      </c>
      <c r="M95" s="1">
        <v>2</v>
      </c>
      <c r="N95" s="1" t="s">
        <v>24</v>
      </c>
      <c r="O95" s="1" t="str">
        <f ca="1">IFERROR(__xludf.DUMMYFUNCTION("GOOGLETRANSLATE(N95,""pl"",""en"")"),"full ownership")</f>
        <v>full ownership</v>
      </c>
      <c r="P95" s="3" t="s">
        <v>472</v>
      </c>
      <c r="Q95" s="1" t="b">
        <v>1</v>
      </c>
      <c r="R95" s="1" t="s">
        <v>473</v>
      </c>
    </row>
    <row r="96" spans="1:18" x14ac:dyDescent="0.25">
      <c r="A96" s="2">
        <v>45308</v>
      </c>
      <c r="B96" s="1" t="s">
        <v>474</v>
      </c>
      <c r="C96" s="1" t="str">
        <f ca="1">IFERROR(__xludf.DUMMYFUNCTION("GOOGLETRANSLATE(B96,""pl"",""en"")"),"Apartment 3- rooms/ with a large balcony/ center !!!")</f>
        <v>Apartment 3- rooms/ with a large balcony/ center !!!</v>
      </c>
      <c r="D96" s="1">
        <v>479000</v>
      </c>
      <c r="E96" s="1" t="s">
        <v>33</v>
      </c>
      <c r="F96" s="1">
        <v>53</v>
      </c>
      <c r="G96" s="1" t="s">
        <v>475</v>
      </c>
      <c r="H96" s="1" t="str">
        <f ca="1">IFERROR(__xludf.DUMMYFUNCTION("GOOGLETRANSLATE(G96,""pl"",""en"")"),"street. Podwisłocze, Nowe Miasto, Rzeszów, Podkarpackie")</f>
        <v>street. Podwisłocze, Nowe Miasto, Rzeszów, Podkarpackie</v>
      </c>
      <c r="I96" s="1" t="s">
        <v>21</v>
      </c>
      <c r="J96" s="1" t="s">
        <v>21</v>
      </c>
      <c r="K96" s="1" t="s">
        <v>22</v>
      </c>
      <c r="L96" s="1" t="s">
        <v>476</v>
      </c>
      <c r="M96" s="1">
        <v>3</v>
      </c>
      <c r="N96" s="1" t="s">
        <v>24</v>
      </c>
      <c r="O96" s="1" t="str">
        <f ca="1">IFERROR(__xludf.DUMMYFUNCTION("GOOGLETRANSLATE(N96,""pl"",""en"")"),"full ownership")</f>
        <v>full ownership</v>
      </c>
      <c r="P96" s="3" t="s">
        <v>477</v>
      </c>
      <c r="Q96" s="1" t="b">
        <v>1</v>
      </c>
      <c r="R96" s="1" t="s">
        <v>478</v>
      </c>
    </row>
    <row r="97" spans="1:18" x14ac:dyDescent="0.25">
      <c r="A97" s="2">
        <v>45308</v>
      </c>
      <c r="B97" s="1" t="s">
        <v>479</v>
      </c>
      <c r="C97" s="1" t="str">
        <f ca="1">IFERROR(__xludf.DUMMYFUNCTION("GOOGLETRANSLATE(B97,""pl"",""en"")"),"Sunny 3 rooms with a beautiful view")</f>
        <v>Sunny 3 rooms with a beautiful view</v>
      </c>
      <c r="D97" s="1">
        <v>769000</v>
      </c>
      <c r="E97" s="1" t="s">
        <v>33</v>
      </c>
      <c r="F97" s="1">
        <v>63.2</v>
      </c>
      <c r="G97" s="1" t="s">
        <v>480</v>
      </c>
      <c r="H97" s="1" t="str">
        <f ca="1">IFERROR(__xludf.DUMMYFUNCTION("GOOGLETRANSLATE(G97,""pl"",""en"")"),"street. Rafała Wojeczka, Sołtysowice, Psie Pole, Wrocław, DolnoSilesian Voivodeship")</f>
        <v>street. Rafała Wojeczka, Sołtysowice, Psie Pole, Wrocław, DolnoSilesian Voivodeship</v>
      </c>
      <c r="I97" s="1" t="s">
        <v>21</v>
      </c>
      <c r="J97" s="1" t="s">
        <v>21</v>
      </c>
      <c r="K97" s="1" t="s">
        <v>22</v>
      </c>
      <c r="L97" s="1" t="s">
        <v>481</v>
      </c>
      <c r="M97" s="1">
        <v>3</v>
      </c>
      <c r="N97" s="1" t="s">
        <v>24</v>
      </c>
      <c r="O97" s="1" t="str">
        <f ca="1">IFERROR(__xludf.DUMMYFUNCTION("GOOGLETRANSLATE(N97,""pl"",""en"")"),"full ownership")</f>
        <v>full ownership</v>
      </c>
      <c r="P97" s="3" t="s">
        <v>482</v>
      </c>
      <c r="Q97" s="1" t="b">
        <v>1</v>
      </c>
      <c r="R97" s="1" t="s">
        <v>483</v>
      </c>
    </row>
    <row r="98" spans="1:18" x14ac:dyDescent="0.25">
      <c r="A98" s="2">
        <v>45308</v>
      </c>
      <c r="B98" s="1" t="s">
        <v>484</v>
      </c>
      <c r="C98" s="1" t="str">
        <f ca="1">IFERROR(__xludf.DUMMYFUNCTION("GOOGLETRANSLATE(B98,""pl"",""en"")"),"Last days of discounts! Reach for a 2% loan in 2023")</f>
        <v>Last days of discounts! Reach for a 2% loan in 2023</v>
      </c>
      <c r="D98" s="1">
        <v>318010</v>
      </c>
      <c r="E98" s="1" t="s">
        <v>19</v>
      </c>
      <c r="F98" s="1">
        <v>28.13</v>
      </c>
      <c r="G98" s="1" t="s">
        <v>282</v>
      </c>
      <c r="H98" s="1" t="str">
        <f ca="1">IFERROR(__xludf.DUMMYFUNCTION("GOOGLETRANSLATE(G98,""pl"",""en"")"),"Orunia Górna - Gdańsk Południe, Gdańsk, Pomeranian Voivodeship")</f>
        <v>Orunia Górna - Gdańsk Południe, Gdańsk, Pomeranian Voivodeship</v>
      </c>
      <c r="I98" s="1" t="s">
        <v>21</v>
      </c>
      <c r="J98" s="1" t="s">
        <v>21</v>
      </c>
      <c r="K98" s="1" t="s">
        <v>22</v>
      </c>
      <c r="L98" s="1" t="s">
        <v>485</v>
      </c>
      <c r="M98" s="1">
        <v>1</v>
      </c>
      <c r="N98" s="1" t="s">
        <v>24</v>
      </c>
      <c r="O98" s="1" t="str">
        <f ca="1">IFERROR(__xludf.DUMMYFUNCTION("GOOGLETRANSLATE(N98,""pl"",""en"")"),"full ownership")</f>
        <v>full ownership</v>
      </c>
      <c r="P98" s="3" t="s">
        <v>486</v>
      </c>
      <c r="Q98" s="1" t="b">
        <v>1</v>
      </c>
      <c r="R98" s="1" t="s">
        <v>487</v>
      </c>
    </row>
    <row r="99" spans="1:18" x14ac:dyDescent="0.25">
      <c r="A99" s="2">
        <v>45308</v>
      </c>
      <c r="B99" s="1" t="s">
        <v>488</v>
      </c>
      <c r="C99" s="1" t="str">
        <f ca="1">IFERROR(__xludf.DUMMYFUNCTION("GOOGLETRANSLATE(B99,""pl"",""en"")"),"New apartment at 40m2 Mickiewicza Street")</f>
        <v>New apartment at 40m2 Mickiewicza Street</v>
      </c>
      <c r="D99" s="1">
        <v>340510</v>
      </c>
      <c r="E99" s="1" t="s">
        <v>19</v>
      </c>
      <c r="F99" s="1">
        <v>40.06</v>
      </c>
      <c r="G99" s="1" t="s">
        <v>489</v>
      </c>
      <c r="H99" s="1" t="str">
        <f ca="1">IFERROR(__xludf.DUMMYFUNCTION("GOOGLETRANSLATE(G99,""pl"",""en"")"),"street. Adama Mickiewicz, Ciechocinek, Aleksandrowski, Kujawsko-Pomeranian Voivodeship")</f>
        <v>street. Adama Mickiewicz, Ciechocinek, Aleksandrowski, Kujawsko-Pomeranian Voivodeship</v>
      </c>
      <c r="I99" s="1" t="s">
        <v>21</v>
      </c>
      <c r="J99" s="1" t="s">
        <v>21</v>
      </c>
      <c r="K99" s="1" t="s">
        <v>22</v>
      </c>
      <c r="L99" s="1" t="s">
        <v>490</v>
      </c>
      <c r="M99" s="1">
        <v>2</v>
      </c>
      <c r="N99" s="1" t="s">
        <v>24</v>
      </c>
      <c r="O99" s="1" t="str">
        <f ca="1">IFERROR(__xludf.DUMMYFUNCTION("GOOGLETRANSLATE(N99,""pl"",""en"")"),"full ownership")</f>
        <v>full ownership</v>
      </c>
      <c r="P99" s="3" t="s">
        <v>491</v>
      </c>
      <c r="Q99" s="1" t="b">
        <v>1</v>
      </c>
      <c r="R99" s="1" t="s">
        <v>492</v>
      </c>
    </row>
    <row r="100" spans="1:18" x14ac:dyDescent="0.25">
      <c r="A100" s="2">
        <v>45308</v>
      </c>
      <c r="B100" s="1" t="s">
        <v>493</v>
      </c>
      <c r="C100" s="1" t="str">
        <f ca="1">IFERROR(__xludf.DUMMYFUNCTION("GOOGLETRANSLATE(B100,""pl"",""en"")"),"Grunwald, ul. Confederacka, 128m2, 4 -room,")</f>
        <v>Grunwald, ul. Confederacka, 128m2, 4 -room,</v>
      </c>
      <c r="D100" s="1">
        <v>1150000</v>
      </c>
      <c r="E100" s="1" t="s">
        <v>33</v>
      </c>
      <c r="F100" s="1">
        <v>128.5</v>
      </c>
      <c r="G100" s="1" t="s">
        <v>4711</v>
      </c>
      <c r="H100" s="1" t="str">
        <f ca="1">IFERROR(__xludf.DUMMYFUNCTION("GOOGLETRANSLATE(G100,""pl"",""en"")"),"street. Confederacka 11, Pogodno, Grunwald, Poznań, Greater Poland")</f>
        <v>street. Confederacka 11, Pogodno, Grunwald, Poznań, Greater Poland</v>
      </c>
      <c r="I100" s="1" t="b">
        <v>1</v>
      </c>
      <c r="J100" s="1" t="s">
        <v>21</v>
      </c>
      <c r="K100" s="1" t="s">
        <v>22</v>
      </c>
      <c r="L100" s="1" t="s">
        <v>494</v>
      </c>
      <c r="M100" s="1">
        <v>4</v>
      </c>
      <c r="N100" s="1" t="s">
        <v>85</v>
      </c>
      <c r="O100" s="1" t="str">
        <f ca="1">IFERROR(__xludf.DUMMYFUNCTION("GOOGLETRANSLATE(N100,""pl"",""en"")"),"Cooperative ownership of the right to the premises")</f>
        <v>Cooperative ownership of the right to the premises</v>
      </c>
      <c r="P100" s="3" t="s">
        <v>495</v>
      </c>
      <c r="Q100" s="1" t="b">
        <v>1</v>
      </c>
      <c r="R100" s="1" t="s">
        <v>496</v>
      </c>
    </row>
    <row r="101" spans="1:18" x14ac:dyDescent="0.25">
      <c r="A101" s="2">
        <v>45308</v>
      </c>
      <c r="B101" s="1" t="s">
        <v>497</v>
      </c>
      <c r="C101" s="1" t="str">
        <f ca="1">IFERROR(__xludf.DUMMYFUNCTION("GOOGLETRANSLATE(B101,""pl"",""en"")"),"Apartment garden 3 rooms parking air conditioning")</f>
        <v>Apartment garden 3 rooms parking air conditioning</v>
      </c>
      <c r="D101" s="1">
        <v>680000</v>
      </c>
      <c r="E101" s="1" t="s">
        <v>33</v>
      </c>
      <c r="F101" s="1">
        <v>45.3</v>
      </c>
      <c r="G101" s="1" t="s">
        <v>498</v>
      </c>
      <c r="H101" s="1" t="str">
        <f ca="1">IFERROR(__xludf.DUMMYFUNCTION("GOOGLETRANSLATE(G101,""pl"",""en"")"),"street. Wolności, Dziwnówek, Dziwnów, Kamieński, ZachodnioPomeranian Voivodeship")</f>
        <v>street. Wolności, Dziwnówek, Dziwnów, Kamieński, ZachodnioPomeranian Voivodeship</v>
      </c>
      <c r="I101" s="1" t="s">
        <v>21</v>
      </c>
      <c r="J101" s="1" t="s">
        <v>21</v>
      </c>
      <c r="K101" s="1" t="s">
        <v>22</v>
      </c>
      <c r="L101" s="1" t="s">
        <v>499</v>
      </c>
      <c r="M101" s="1">
        <v>3</v>
      </c>
      <c r="N101" s="1" t="s">
        <v>24</v>
      </c>
      <c r="O101" s="1" t="str">
        <f ca="1">IFERROR(__xludf.DUMMYFUNCTION("GOOGLETRANSLATE(N101,""pl"",""en"")"),"full ownership")</f>
        <v>full ownership</v>
      </c>
      <c r="P101" s="3" t="s">
        <v>500</v>
      </c>
      <c r="Q101" s="1" t="b">
        <v>1</v>
      </c>
      <c r="R101" s="1" t="s">
        <v>501</v>
      </c>
    </row>
    <row r="102" spans="1:18" x14ac:dyDescent="0.25">
      <c r="A102" s="2">
        <v>45308</v>
      </c>
      <c r="B102" s="1" t="s">
        <v>502</v>
      </c>
      <c r="C102" s="1" t="str">
        <f ca="1">IFERROR(__xludf.DUMMYFUNCTION("GOOGLETRANSLATE(B102,""pl"",""en"")"),"Studio 20m2, ul. Wesoła, Kielce")</f>
        <v>Studio 20m2, ul. Wesoła, Kielce</v>
      </c>
      <c r="D102" s="1">
        <v>220000</v>
      </c>
      <c r="E102" s="1" t="s">
        <v>33</v>
      </c>
      <c r="F102" s="1">
        <v>20</v>
      </c>
      <c r="G102" s="1" t="s">
        <v>503</v>
      </c>
      <c r="H102" s="1" t="str">
        <f ca="1">IFERROR(__xludf.DUMMYFUNCTION("GOOGLETRANSLATE(G102,""pl"",""en"")"),"Śródmieście, Kielce, Świętokrzyskie")</f>
        <v>Śródmieście, Kielce, Świętokrzyskie</v>
      </c>
      <c r="I102" s="1" t="s">
        <v>21</v>
      </c>
      <c r="J102" s="1" t="s">
        <v>21</v>
      </c>
      <c r="K102" s="1" t="s">
        <v>22</v>
      </c>
      <c r="L102" s="1" t="s">
        <v>504</v>
      </c>
      <c r="M102" s="1">
        <v>1</v>
      </c>
      <c r="N102" s="1" t="s">
        <v>24</v>
      </c>
      <c r="O102" s="1" t="str">
        <f ca="1">IFERROR(__xludf.DUMMYFUNCTION("GOOGLETRANSLATE(N102,""pl"",""en"")"),"full ownership")</f>
        <v>full ownership</v>
      </c>
      <c r="P102" s="3" t="s">
        <v>505</v>
      </c>
      <c r="Q102" s="1" t="b">
        <v>1</v>
      </c>
      <c r="R102" s="1" t="s">
        <v>506</v>
      </c>
    </row>
    <row r="103" spans="1:18" x14ac:dyDescent="0.25">
      <c r="A103" s="2">
        <v>45308</v>
      </c>
      <c r="B103" s="1" t="s">
        <v>507</v>
      </c>
      <c r="C103" s="1" t="str">
        <f ca="1">IFERROR(__xludf.DUMMYFUNCTION("GOOGLETRANSLATE(B103,""pl"",""en"")"),"2 rooms, garage, floor 5/10, Mordor")</f>
        <v>2 rooms, garage, floor 5/10, Mordor</v>
      </c>
      <c r="D103" s="1">
        <v>846000</v>
      </c>
      <c r="E103" s="1" t="s">
        <v>33</v>
      </c>
      <c r="F103" s="1">
        <v>47</v>
      </c>
      <c r="G103" s="1" t="s">
        <v>508</v>
      </c>
      <c r="H103" s="1" t="str">
        <f ca="1">IFERROR(__xludf.DUMMYFUNCTION("GOOGLETRANSLATE(G103,""pl"",""en"")"),"street. Obrzeżna, Służewiec, Mokotów, Warsaw, Masovian Voivodeship")</f>
        <v>street. Obrzeżna, Służewiec, Mokotów, Warsaw, Masovian Voivodeship</v>
      </c>
      <c r="I103" s="1" t="s">
        <v>21</v>
      </c>
      <c r="J103" s="1" t="s">
        <v>21</v>
      </c>
      <c r="K103" s="1" t="s">
        <v>22</v>
      </c>
      <c r="L103" s="1" t="s">
        <v>509</v>
      </c>
      <c r="M103" s="1">
        <v>2</v>
      </c>
      <c r="N103" s="1" t="s">
        <v>24</v>
      </c>
      <c r="O103" s="1" t="str">
        <f ca="1">IFERROR(__xludf.DUMMYFUNCTION("GOOGLETRANSLATE(N103,""pl"",""en"")"),"full ownership")</f>
        <v>full ownership</v>
      </c>
      <c r="P103" s="3" t="s">
        <v>510</v>
      </c>
      <c r="Q103" s="1" t="b">
        <v>1</v>
      </c>
      <c r="R103" s="1" t="s">
        <v>511</v>
      </c>
    </row>
    <row r="104" spans="1:18" x14ac:dyDescent="0.25">
      <c r="A104" s="2">
        <v>45308</v>
      </c>
      <c r="B104" s="1" t="s">
        <v>512</v>
      </c>
      <c r="C104" s="1" t="str">
        <f ca="1">IFERROR(__xludf.DUMMYFUNCTION("GOOGLETRANSLATE(B104,""pl"",""en"")"),"Bielskie Tarasy apartment 3 room New investment")</f>
        <v>Bielskie Tarasy apartment 3 room New investment</v>
      </c>
      <c r="D104" s="1">
        <v>650100</v>
      </c>
      <c r="E104" s="1" t="s">
        <v>19</v>
      </c>
      <c r="F104" s="1">
        <v>59.1</v>
      </c>
      <c r="G104" s="1" t="s">
        <v>513</v>
      </c>
      <c r="H104" s="1" t="str">
        <f ca="1">IFERROR(__xludf.DUMMYFUNCTION("GOOGLETRANSLATE(G104,""pl"",""en"")"),"street. Pillarowa, Stare Bielsko, Bielsko-Biała, Silesian Voivodeship")</f>
        <v>street. Pillarowa, Stare Bielsko, Bielsko-Biała, Silesian Voivodeship</v>
      </c>
      <c r="I104" s="1" t="s">
        <v>21</v>
      </c>
      <c r="J104" s="1" t="s">
        <v>21</v>
      </c>
      <c r="K104" s="1" t="s">
        <v>194</v>
      </c>
      <c r="L104" s="1" t="s">
        <v>514</v>
      </c>
      <c r="M104" s="1">
        <v>3</v>
      </c>
      <c r="N104" s="1" t="s">
        <v>24</v>
      </c>
      <c r="O104" s="1" t="str">
        <f ca="1">IFERROR(__xludf.DUMMYFUNCTION("GOOGLETRANSLATE(N104,""pl"",""en"")"),"full ownership")</f>
        <v>full ownership</v>
      </c>
      <c r="P104" s="3" t="s">
        <v>515</v>
      </c>
      <c r="Q104" s="1" t="b">
        <v>1</v>
      </c>
      <c r="R104" s="1" t="s">
        <v>516</v>
      </c>
    </row>
    <row r="105" spans="1:18" x14ac:dyDescent="0.25">
      <c r="A105" s="2">
        <v>45308</v>
      </c>
      <c r="B105" s="1" t="s">
        <v>517</v>
      </c>
      <c r="C105" s="1" t="str">
        <f ca="1">IFERROR(__xludf.DUMMYFUNCTION("GOOGLETRANSLATE(B105,""pl"",""en"")"),"4 Rooms/District of Rąbieńska/Traktorowa/with a garage")</f>
        <v>4 Rooms/District of Rąbieńska/Traktorowa/with a garage</v>
      </c>
      <c r="D105" s="1">
        <v>1100000</v>
      </c>
      <c r="E105" s="1" t="s">
        <v>33</v>
      </c>
      <c r="F105" s="1">
        <v>113</v>
      </c>
      <c r="G105" s="1" t="s">
        <v>518</v>
      </c>
      <c r="H105" s="1" t="str">
        <f ca="1">IFERROR(__xludf.DUMMYFUNCTION("GOOGLETRANSLATE(G105,""pl"",""en"")"),"Złotno, Polesie, Łódź, Łódź")</f>
        <v>Złotno, Polesie, Łódź, Łódź</v>
      </c>
      <c r="I105" s="1" t="s">
        <v>21</v>
      </c>
      <c r="J105" s="1" t="s">
        <v>21</v>
      </c>
      <c r="K105" s="1" t="s">
        <v>22</v>
      </c>
      <c r="L105" s="1" t="s">
        <v>519</v>
      </c>
      <c r="M105" s="1">
        <v>4</v>
      </c>
      <c r="N105" s="1" t="s">
        <v>24</v>
      </c>
      <c r="O105" s="1" t="str">
        <f ca="1">IFERROR(__xludf.DUMMYFUNCTION("GOOGLETRANSLATE(N105,""pl"",""en"")"),"full ownership")</f>
        <v>full ownership</v>
      </c>
      <c r="P105" s="3" t="s">
        <v>520</v>
      </c>
      <c r="Q105" s="1" t="b">
        <v>1</v>
      </c>
      <c r="R105" s="1" t="s">
        <v>521</v>
      </c>
    </row>
    <row r="106" spans="1:18" x14ac:dyDescent="0.25">
      <c r="A106" s="2">
        <v>45308</v>
      </c>
      <c r="B106" s="1" t="s">
        <v>522</v>
      </c>
      <c r="C106" s="1" t="str">
        <f ca="1">IFERROR(__xludf.DUMMYFUNCTION("GOOGLETRANSLATE(B106,""pl"",""en"")"),"TOP 2-MO Apartment with a view! Balcony, elevator!")</f>
        <v>TOP 2-MO Apartment with a view! Balcony, elevator!</v>
      </c>
      <c r="D106" s="1">
        <v>409000</v>
      </c>
      <c r="E106" s="1" t="s">
        <v>33</v>
      </c>
      <c r="F106" s="1">
        <v>55</v>
      </c>
      <c r="G106" s="1" t="s">
        <v>523</v>
      </c>
      <c r="H106" s="1" t="str">
        <f ca="1">IFERROR(__xludf.DUMMYFUNCTION("GOOGLETRANSLATE(G106,""pl"",""en"")"),"street. Father Jana Gałeczki, Klimzowiec, Centrum, Chorzów, Silesian Voivodeship")</f>
        <v>street. Father Jana Gałeczki, Klimzowiec, Centrum, Chorzów, Silesian Voivodeship</v>
      </c>
      <c r="I106" s="1" t="b">
        <v>1</v>
      </c>
      <c r="J106" s="1" t="s">
        <v>21</v>
      </c>
      <c r="K106" s="1" t="s">
        <v>22</v>
      </c>
      <c r="L106" s="1" t="s">
        <v>524</v>
      </c>
      <c r="M106" s="1">
        <v>2</v>
      </c>
      <c r="N106" s="1" t="s">
        <v>24</v>
      </c>
      <c r="O106" s="1" t="str">
        <f ca="1">IFERROR(__xludf.DUMMYFUNCTION("GOOGLETRANSLATE(N106,""pl"",""en"")"),"full ownership")</f>
        <v>full ownership</v>
      </c>
      <c r="P106" s="3" t="s">
        <v>525</v>
      </c>
      <c r="Q106" s="1" t="b">
        <v>1</v>
      </c>
      <c r="R106" s="1" t="s">
        <v>526</v>
      </c>
    </row>
    <row r="107" spans="1:18" x14ac:dyDescent="0.25">
      <c r="A107" s="2">
        <v>45308</v>
      </c>
      <c r="B107" s="1" t="s">
        <v>527</v>
      </c>
      <c r="C107" s="1" t="str">
        <f ca="1">IFERROR(__xludf.DUMMYFUNCTION("GOOGLETRANSLATE(B107,""pl"",""en"")"),"M3 Raków, with a balcony")</f>
        <v>M3 Raków, with a balcony</v>
      </c>
      <c r="D107" s="1">
        <v>255000</v>
      </c>
      <c r="E107" s="1" t="s">
        <v>33</v>
      </c>
      <c r="F107" s="1">
        <v>47</v>
      </c>
      <c r="G107" s="1" t="s">
        <v>528</v>
      </c>
      <c r="H107" s="1" t="str">
        <f ca="1">IFERROR(__xludf.DUMMYFUNCTION("GOOGLETRANSLATE(G107,""pl"",""en"")"),"Raków, Częstochowa, Silesian Voivodeship")</f>
        <v>Raków, Częstochowa, Silesian Voivodeship</v>
      </c>
      <c r="I107" s="1" t="s">
        <v>21</v>
      </c>
      <c r="J107" s="1" t="s">
        <v>21</v>
      </c>
      <c r="K107" s="1" t="s">
        <v>22</v>
      </c>
      <c r="L107" s="1" t="s">
        <v>529</v>
      </c>
      <c r="M107" s="1">
        <v>2</v>
      </c>
      <c r="N107" s="1" t="s">
        <v>24</v>
      </c>
      <c r="O107" s="1" t="str">
        <f ca="1">IFERROR(__xludf.DUMMYFUNCTION("GOOGLETRANSLATE(N107,""pl"",""en"")"),"full ownership")</f>
        <v>full ownership</v>
      </c>
      <c r="P107" s="3" t="s">
        <v>530</v>
      </c>
      <c r="Q107" s="1" t="b">
        <v>1</v>
      </c>
      <c r="R107" s="1" t="s">
        <v>531</v>
      </c>
    </row>
    <row r="108" spans="1:18" x14ac:dyDescent="0.25">
      <c r="A108" s="2">
        <v>45308</v>
      </c>
      <c r="B108" s="1" t="s">
        <v>532</v>
      </c>
      <c r="C108" s="1" t="str">
        <f ca="1">IFERROR(__xludf.DUMMYFUNCTION("GOOGLETRANSLATE(B108,""pl"",""en"")"),"Malbork 2 rooms and floor")</f>
        <v>Malbork 2 rooms and floor</v>
      </c>
      <c r="D108" s="1">
        <v>260000</v>
      </c>
      <c r="E108" s="1" t="s">
        <v>33</v>
      </c>
      <c r="F108" s="1">
        <v>50</v>
      </c>
      <c r="G108" s="1" t="s">
        <v>533</v>
      </c>
      <c r="H108" s="1" t="str">
        <f ca="1">IFERROR(__xludf.DUMMYFUNCTION("GOOGLETRANSLATE(G108,""pl"",""en"")"),"street. Jagiellońska, Malbork, Malborski, Pomeranian")</f>
        <v>street. Jagiellońska, Malbork, Malborski, Pomeranian</v>
      </c>
      <c r="I108" s="1" t="s">
        <v>21</v>
      </c>
      <c r="J108" s="1" t="s">
        <v>21</v>
      </c>
      <c r="K108" s="1" t="s">
        <v>22</v>
      </c>
      <c r="L108" s="1" t="s">
        <v>534</v>
      </c>
      <c r="M108" s="1">
        <v>2</v>
      </c>
      <c r="N108" s="1" t="s">
        <v>24</v>
      </c>
      <c r="O108" s="1" t="str">
        <f ca="1">IFERROR(__xludf.DUMMYFUNCTION("GOOGLETRANSLATE(N108,""pl"",""en"")"),"full ownership")</f>
        <v>full ownership</v>
      </c>
      <c r="P108" s="3" t="s">
        <v>535</v>
      </c>
      <c r="Q108" s="1" t="b">
        <v>1</v>
      </c>
      <c r="R108" s="1" t="s">
        <v>536</v>
      </c>
    </row>
    <row r="109" spans="1:18" x14ac:dyDescent="0.25">
      <c r="A109" s="2">
        <v>45308</v>
      </c>
      <c r="B109" s="1" t="s">
        <v>537</v>
      </c>
      <c r="C109" s="1" t="str">
        <f ca="1">IFERROR(__xludf.DUMMYFUNCTION("GOOGLETRANSLATE(B109,""pl"",""en"")"),"M3 apartment")</f>
        <v>M3 apartment</v>
      </c>
      <c r="D109" s="1">
        <v>470000</v>
      </c>
      <c r="E109" s="1" t="s">
        <v>33</v>
      </c>
      <c r="F109" s="1">
        <v>53.37</v>
      </c>
      <c r="G109" s="1" t="s">
        <v>538</v>
      </c>
      <c r="H109" s="1" t="str">
        <f ca="1">IFERROR(__xludf.DUMMYFUNCTION("GOOGLETRANSLATE(G109,""pl"",""en"")"),"Marysin Doły, Bałuty, Łódź, Łódź")</f>
        <v>Marysin Doły, Bałuty, Łódź, Łódź</v>
      </c>
      <c r="I109" s="1" t="s">
        <v>21</v>
      </c>
      <c r="J109" s="1" t="s">
        <v>21</v>
      </c>
      <c r="K109" s="1" t="s">
        <v>45</v>
      </c>
      <c r="L109" s="1" t="s">
        <v>539</v>
      </c>
      <c r="M109" s="1">
        <v>2</v>
      </c>
      <c r="N109" s="1" t="s">
        <v>24</v>
      </c>
      <c r="O109" s="1" t="str">
        <f ca="1">IFERROR(__xludf.DUMMYFUNCTION("GOOGLETRANSLATE(N109,""pl"",""en"")"),"full ownership")</f>
        <v>full ownership</v>
      </c>
      <c r="P109" s="3" t="s">
        <v>540</v>
      </c>
      <c r="Q109" s="1" t="b">
        <v>1</v>
      </c>
      <c r="R109" s="1" t="s">
        <v>541</v>
      </c>
    </row>
    <row r="110" spans="1:18" x14ac:dyDescent="0.25">
      <c r="A110" s="2">
        <v>45308</v>
      </c>
      <c r="B110" s="1" t="s">
        <v>542</v>
      </c>
      <c r="C110" s="1" t="str">
        <f ca="1">IFERROR(__xludf.DUMMYFUNCTION("GOOGLETRANSLATE(B110,""pl"",""en"")"),"80.6 close to the forest, schools and kindergartens directly")</f>
        <v>80.6 close to the forest, schools and kindergartens directly</v>
      </c>
      <c r="D110" s="1">
        <v>860000</v>
      </c>
      <c r="E110" s="1" t="s">
        <v>33</v>
      </c>
      <c r="F110" s="1">
        <v>80.599999999999994</v>
      </c>
      <c r="G110" s="1" t="s">
        <v>543</v>
      </c>
      <c r="H110" s="1" t="str">
        <f ca="1">IFERROR(__xludf.DUMMYFUNCTION("GOOGLETRANSLATE(G110,""pl"",""en"")"),"street. Wiklinowa, Radogoszcz, Bałuty, Łódź, Łódź")</f>
        <v>street. Wiklinowa, Radogoszcz, Bałuty, Łódź, Łódź</v>
      </c>
      <c r="I110" s="1" t="s">
        <v>21</v>
      </c>
      <c r="J110" s="1" t="s">
        <v>21</v>
      </c>
      <c r="K110" s="1" t="s">
        <v>45</v>
      </c>
      <c r="L110" s="1" t="s">
        <v>544</v>
      </c>
      <c r="M110" s="1">
        <v>3</v>
      </c>
      <c r="N110" s="1" t="s">
        <v>24</v>
      </c>
      <c r="O110" s="1" t="str">
        <f ca="1">IFERROR(__xludf.DUMMYFUNCTION("GOOGLETRANSLATE(N110,""pl"",""en"")"),"full ownership")</f>
        <v>full ownership</v>
      </c>
      <c r="P110" s="3" t="s">
        <v>545</v>
      </c>
      <c r="Q110" s="1" t="b">
        <v>1</v>
      </c>
      <c r="R110" s="1" t="s">
        <v>546</v>
      </c>
    </row>
    <row r="111" spans="1:18" x14ac:dyDescent="0.25">
      <c r="A111" s="2">
        <v>45308</v>
      </c>
      <c r="B111" s="1" t="s">
        <v>547</v>
      </c>
      <c r="C111" s="1" t="str">
        <f ca="1">IFERROR(__xludf.DUMMYFUNCTION("GOOGLETRANSLATE(B111,""pl"",""en"")"),"Cooperative studio apartment ownership center")</f>
        <v>Cooperative studio apartment ownership center</v>
      </c>
      <c r="D111" s="1">
        <v>275000</v>
      </c>
      <c r="E111" s="1" t="s">
        <v>33</v>
      </c>
      <c r="F111" s="1">
        <v>28.5</v>
      </c>
      <c r="G111" s="1" t="s">
        <v>548</v>
      </c>
      <c r="H111" s="1" t="str">
        <f ca="1">IFERROR(__xludf.DUMMYFUNCTION("GOOGLETRANSLATE(G111,""pl"",""en"")"),"Centrum, Śródmieście, Szczecin, ZachodnioPomeranian Voivodeship")</f>
        <v>Centrum, Śródmieście, Szczecin, ZachodnioPomeranian Voivodeship</v>
      </c>
      <c r="I111" s="1" t="s">
        <v>21</v>
      </c>
      <c r="J111" s="1" t="s">
        <v>21</v>
      </c>
      <c r="K111" s="1" t="s">
        <v>22</v>
      </c>
      <c r="L111" s="1" t="s">
        <v>549</v>
      </c>
      <c r="M111" s="1">
        <v>1</v>
      </c>
      <c r="N111" s="1" t="s">
        <v>85</v>
      </c>
      <c r="O111" s="1" t="str">
        <f ca="1">IFERROR(__xludf.DUMMYFUNCTION("GOOGLETRANSLATE(N111,""pl"",""en"")"),"Cooperative ownership of the right to the premises")</f>
        <v>Cooperative ownership of the right to the premises</v>
      </c>
      <c r="P111" s="3" t="s">
        <v>550</v>
      </c>
      <c r="Q111" s="1" t="b">
        <v>1</v>
      </c>
      <c r="R111" s="1" t="s">
        <v>551</v>
      </c>
    </row>
    <row r="112" spans="1:18" x14ac:dyDescent="0.25">
      <c r="A112" s="2">
        <v>45308</v>
      </c>
      <c r="B112" s="1" t="s">
        <v>552</v>
      </c>
      <c r="C112" s="1" t="str">
        <f ca="1">IFERROR(__xludf.DUMMYFUNCTION("GOOGLETRANSLATE(B112,""pl"",""en"")"),"New 4-room development with a large loggia, elevator")</f>
        <v>New 4-room development with a large loggia, elevator</v>
      </c>
      <c r="D112" s="1">
        <v>434498</v>
      </c>
      <c r="E112" s="1" t="s">
        <v>19</v>
      </c>
      <c r="F112" s="1">
        <v>62.16</v>
      </c>
      <c r="G112" s="1" t="s">
        <v>553</v>
      </c>
      <c r="H112" s="1" t="str">
        <f ca="1">IFERROR(__xludf.DUMMYFUNCTION("GOOGLETRANSLATE(G112,""pl"",""en"")"),"street. Żytnia, Koszalin, West Pomeranian Voivodeship")</f>
        <v>street. Żytnia, Koszalin, West Pomeranian Voivodeship</v>
      </c>
      <c r="I112" s="1" t="s">
        <v>21</v>
      </c>
      <c r="J112" s="1" t="s">
        <v>21</v>
      </c>
      <c r="K112" s="1" t="s">
        <v>22</v>
      </c>
      <c r="L112" s="1" t="s">
        <v>554</v>
      </c>
      <c r="M112" s="1">
        <v>4</v>
      </c>
      <c r="N112" s="1" t="s">
        <v>24</v>
      </c>
      <c r="O112" s="1" t="str">
        <f ca="1">IFERROR(__xludf.DUMMYFUNCTION("GOOGLETRANSLATE(N112,""pl"",""en"")"),"full ownership")</f>
        <v>full ownership</v>
      </c>
      <c r="P112" s="3" t="s">
        <v>555</v>
      </c>
      <c r="Q112" s="1" t="b">
        <v>1</v>
      </c>
      <c r="R112" s="1" t="s">
        <v>556</v>
      </c>
    </row>
    <row r="113" spans="1:18" x14ac:dyDescent="0.25">
      <c r="A113" s="2">
        <v>45308</v>
      </c>
      <c r="B113" s="1" t="s">
        <v>557</v>
      </c>
      <c r="C113" s="1" t="str">
        <f ca="1">IFERROR(__xludf.DUMMYFUNCTION("GOOGLETRANSLATE(B113,""pl"",""en"")"),"Studio | Balcony | Sunny | Lack of Commission and PCC")</f>
        <v>Studio | Balcony | Sunny | Lack of Commission and PCC</v>
      </c>
      <c r="D113" s="1">
        <v>267000</v>
      </c>
      <c r="E113" s="1" t="s">
        <v>19</v>
      </c>
      <c r="F113" s="1">
        <v>30</v>
      </c>
      <c r="G113" s="1" t="s">
        <v>558</v>
      </c>
      <c r="H113" s="1" t="str">
        <f ca="1">IFERROR(__xludf.DUMMYFUNCTION("GOOGLETRANSLATE(G113,""pl"",""en"")"),"street. Łozowa, Radogoszcz, Bałuty, Łódź, Łódź")</f>
        <v>street. Łozowa, Radogoszcz, Bałuty, Łódź, Łódź</v>
      </c>
      <c r="I113" s="1" t="b">
        <v>1</v>
      </c>
      <c r="J113" s="1" t="s">
        <v>21</v>
      </c>
      <c r="K113" s="1" t="s">
        <v>22</v>
      </c>
      <c r="L113" s="1" t="s">
        <v>559</v>
      </c>
      <c r="M113" s="1">
        <v>1</v>
      </c>
      <c r="N113" s="1" t="s">
        <v>21</v>
      </c>
      <c r="O113" s="1" t="str">
        <f ca="1">IFERROR(__xludf.DUMMYFUNCTION("GOOGLETRANSLATE(N113,""pl"",""en"")"),"null")</f>
        <v>null</v>
      </c>
      <c r="P113" s="3" t="s">
        <v>560</v>
      </c>
      <c r="Q113" s="1" t="b">
        <v>1</v>
      </c>
      <c r="R113" s="1" t="s">
        <v>561</v>
      </c>
    </row>
    <row r="114" spans="1:18" x14ac:dyDescent="0.25">
      <c r="A114" s="2">
        <v>45308</v>
      </c>
      <c r="B114" s="1" t="s">
        <v>562</v>
      </c>
      <c r="C114" s="1" t="str">
        <f ca="1">IFERROR(__xludf.DUMMYFUNCTION("GOOGLETRANSLATE(B114,""pl"",""en"")"),"Nice, comfortable M3 at the Czarne estate")</f>
        <v>Nice, comfortable M3 at the Czarne estate</v>
      </c>
      <c r="D114" s="1">
        <v>750000</v>
      </c>
      <c r="E114" s="1" t="s">
        <v>33</v>
      </c>
      <c r="F114" s="1">
        <v>77</v>
      </c>
      <c r="G114" s="1" t="s">
        <v>563</v>
      </c>
      <c r="H114" s="1" t="str">
        <f ca="1">IFERROR(__xludf.DUMMYFUNCTION("GOOGLETRANSLATE(G114,""pl"",""en"")"),"Black, Jelenia Góra, DolnoSilesian Voivodeship")</f>
        <v>Black, Jelenia Góra, DolnoSilesian Voivodeship</v>
      </c>
      <c r="I114" s="1" t="s">
        <v>21</v>
      </c>
      <c r="J114" s="1" t="s">
        <v>21</v>
      </c>
      <c r="K114" s="1" t="s">
        <v>22</v>
      </c>
      <c r="L114" s="1" t="s">
        <v>564</v>
      </c>
      <c r="M114" s="1">
        <v>3</v>
      </c>
      <c r="N114" s="1" t="s">
        <v>24</v>
      </c>
      <c r="O114" s="1" t="str">
        <f ca="1">IFERROR(__xludf.DUMMYFUNCTION("GOOGLETRANSLATE(N114,""pl"",""en"")"),"full ownership")</f>
        <v>full ownership</v>
      </c>
      <c r="P114" s="3" t="s">
        <v>565</v>
      </c>
      <c r="Q114" s="1" t="b">
        <v>1</v>
      </c>
      <c r="R114" s="1" t="s">
        <v>566</v>
      </c>
    </row>
    <row r="115" spans="1:18" x14ac:dyDescent="0.25">
      <c r="A115" s="2">
        <v>45308</v>
      </c>
      <c r="B115" s="1" t="s">
        <v>567</v>
      </c>
      <c r="C115" s="1" t="str">
        <f ca="1">IFERROR(__xludf.DUMMYFUNCTION("GOOGLETRANSLATE(B115,""pl"",""en"")"),"Three -room apartment in the city center of Bytom")</f>
        <v>Three -room apartment in the city center of Bytom</v>
      </c>
      <c r="D115" s="1">
        <v>640000</v>
      </c>
      <c r="E115" s="1" t="s">
        <v>33</v>
      </c>
      <c r="F115" s="1">
        <v>118.1</v>
      </c>
      <c r="G115" s="1" t="s">
        <v>568</v>
      </c>
      <c r="H115" s="1" t="str">
        <f ca="1">IFERROR(__xludf.DUMMYFUNCTION("GOOGLETRANSLATE(G115,""pl"",""en"")"),"street. Warsaw Powstańców, Śródmieście, Bytom, Silesian Voivodeship")</f>
        <v>street. Warsaw Powstańców, Śródmieście, Bytom, Silesian Voivodeship</v>
      </c>
      <c r="I115" s="1" t="s">
        <v>21</v>
      </c>
      <c r="J115" s="1" t="s">
        <v>21</v>
      </c>
      <c r="K115" s="1" t="s">
        <v>22</v>
      </c>
      <c r="L115" s="1" t="s">
        <v>569</v>
      </c>
      <c r="M115" s="1">
        <v>3</v>
      </c>
      <c r="N115" s="1" t="s">
        <v>24</v>
      </c>
      <c r="O115" s="1" t="str">
        <f ca="1">IFERROR(__xludf.DUMMYFUNCTION("GOOGLETRANSLATE(N115,""pl"",""en"")"),"full ownership")</f>
        <v>full ownership</v>
      </c>
      <c r="P115" s="3" t="s">
        <v>570</v>
      </c>
      <c r="Q115" s="1" t="b">
        <v>1</v>
      </c>
      <c r="R115" s="1" t="s">
        <v>571</v>
      </c>
    </row>
    <row r="116" spans="1:18" x14ac:dyDescent="0.25">
      <c r="A116" s="2">
        <v>45308</v>
      </c>
      <c r="B116" s="1" t="s">
        <v>572</v>
      </c>
      <c r="C116" s="1" t="str">
        <f ca="1">IFERROR(__xludf.DUMMYFUNCTION("GOOGLETRANSLATE(B116,""pl"",""en"")"),"I will sell an apartment in the old town")</f>
        <v>I will sell an apartment in the old town</v>
      </c>
      <c r="D116" s="1">
        <v>695000</v>
      </c>
      <c r="E116" s="1" t="s">
        <v>33</v>
      </c>
      <c r="F116" s="1">
        <v>49.3</v>
      </c>
      <c r="G116" s="1" t="s">
        <v>573</v>
      </c>
      <c r="H116" s="1" t="str">
        <f ca="1">IFERROR(__xludf.DUMMYFUNCTION("GOOGLETRANSLATE(G116,""pl"",""en"")"),"Śródmieście, Gdańsk, Pomeranian Voivodeship")</f>
        <v>Śródmieście, Gdańsk, Pomeranian Voivodeship</v>
      </c>
      <c r="I116" s="1" t="s">
        <v>21</v>
      </c>
      <c r="J116" s="1" t="s">
        <v>21</v>
      </c>
      <c r="K116" s="1" t="s">
        <v>45</v>
      </c>
      <c r="L116" s="1" t="s">
        <v>574</v>
      </c>
      <c r="M116" s="1">
        <v>2</v>
      </c>
      <c r="N116" s="1" t="s">
        <v>24</v>
      </c>
      <c r="O116" s="1" t="str">
        <f ca="1">IFERROR(__xludf.DUMMYFUNCTION("GOOGLETRANSLATE(N116,""pl"",""en"")"),"full ownership")</f>
        <v>full ownership</v>
      </c>
      <c r="P116" s="3" t="s">
        <v>575</v>
      </c>
      <c r="Q116" s="1" t="b">
        <v>1</v>
      </c>
      <c r="R116" s="1" t="s">
        <v>576</v>
      </c>
    </row>
    <row r="117" spans="1:18" x14ac:dyDescent="0.25">
      <c r="A117" s="2">
        <v>45308</v>
      </c>
      <c r="B117" s="1" t="s">
        <v>577</v>
      </c>
      <c r="C117" s="1" t="str">
        <f ca="1">IFERROR(__xludf.DUMMYFUNCTION("GOOGLETRANSLATE(B117,""pl"",""en"")"),"Apartment Górczyn, 3 rooms + basement")</f>
        <v>Apartment Górczyn, 3 rooms + basement</v>
      </c>
      <c r="D117" s="1">
        <v>465000</v>
      </c>
      <c r="E117" s="1" t="s">
        <v>33</v>
      </c>
      <c r="F117" s="1">
        <v>62</v>
      </c>
      <c r="G117" s="1" t="s">
        <v>4841</v>
      </c>
      <c r="H117" s="1" t="str">
        <f ca="1">IFERROR(__xludf.DUMMYFUNCTION("GOOGLETRANSLATE(G117,""pl"",""en"")"),"Gorzów Wielkopolski, Lubusz Voivodeship")</f>
        <v>Gorzów Wielkopolski, Lubusz Voivodeship</v>
      </c>
      <c r="I117" s="1" t="s">
        <v>21</v>
      </c>
      <c r="J117" s="1" t="s">
        <v>21</v>
      </c>
      <c r="K117" s="1" t="s">
        <v>45</v>
      </c>
      <c r="L117" s="1" t="s">
        <v>578</v>
      </c>
      <c r="M117" s="1">
        <v>3</v>
      </c>
      <c r="N117" s="1" t="s">
        <v>85</v>
      </c>
      <c r="O117" s="1" t="str">
        <f ca="1">IFERROR(__xludf.DUMMYFUNCTION("GOOGLETRANSLATE(N117,""pl"",""en"")"),"Cooperative ownership of the right to the premises")</f>
        <v>Cooperative ownership of the right to the premises</v>
      </c>
      <c r="P117" s="3" t="s">
        <v>579</v>
      </c>
      <c r="Q117" s="1" t="b">
        <v>1</v>
      </c>
      <c r="R117" s="1" t="s">
        <v>580</v>
      </c>
    </row>
    <row r="118" spans="1:18" x14ac:dyDescent="0.25">
      <c r="A118" s="2">
        <v>45308</v>
      </c>
      <c r="B118" s="1" t="s">
        <v>581</v>
      </c>
      <c r="C118" s="1" t="str">
        <f ca="1">IFERROR(__xludf.DUMMYFUNCTION("GOOGLETRANSLATE(B118,""pl"",""en"")"),"Perfect first apartment, Mokotów, directly")</f>
        <v>Perfect first apartment, Mokotów, directly</v>
      </c>
      <c r="D118" s="1">
        <v>759000</v>
      </c>
      <c r="E118" s="1" t="s">
        <v>33</v>
      </c>
      <c r="F118" s="1">
        <v>37</v>
      </c>
      <c r="G118" s="1" t="s">
        <v>582</v>
      </c>
      <c r="H118" s="1" t="str">
        <f ca="1">IFERROR(__xludf.DUMMYFUNCTION("GOOGLETRANSLATE(G118,""pl"",""en"")"),"street. Jaszowiecka, Sadyba, Mokotów, Warsaw, Masovian Voivodeship")</f>
        <v>street. Jaszowiecka, Sadyba, Mokotów, Warsaw, Masovian Voivodeship</v>
      </c>
      <c r="I118" s="1" t="s">
        <v>21</v>
      </c>
      <c r="J118" s="1" t="s">
        <v>21</v>
      </c>
      <c r="K118" s="1" t="s">
        <v>45</v>
      </c>
      <c r="L118" s="1" t="s">
        <v>583</v>
      </c>
      <c r="M118" s="1">
        <v>2</v>
      </c>
      <c r="N118" s="1" t="s">
        <v>24</v>
      </c>
      <c r="O118" s="1" t="str">
        <f ca="1">IFERROR(__xludf.DUMMYFUNCTION("GOOGLETRANSLATE(N118,""pl"",""en"")"),"full ownership")</f>
        <v>full ownership</v>
      </c>
      <c r="P118" s="3" t="s">
        <v>584</v>
      </c>
      <c r="Q118" s="1" t="b">
        <v>1</v>
      </c>
      <c r="R118" s="1" t="s">
        <v>585</v>
      </c>
    </row>
    <row r="119" spans="1:18" x14ac:dyDescent="0.25">
      <c r="A119" s="2">
        <v>45308</v>
      </c>
      <c r="B119" s="1" t="s">
        <v>586</v>
      </c>
      <c r="C119" s="1" t="str">
        <f ca="1">IFERROR(__xludf.DUMMYFUNCTION("GOOGLETRANSLATE(B119,""pl"",""en"")"),"A renovated apartment in Sosnowiec")</f>
        <v>A renovated apartment in Sosnowiec</v>
      </c>
      <c r="D119" s="1">
        <v>299000</v>
      </c>
      <c r="E119" s="1" t="s">
        <v>33</v>
      </c>
      <c r="F119" s="1">
        <v>45</v>
      </c>
      <c r="G119" s="1" t="s">
        <v>587</v>
      </c>
      <c r="H119" s="1" t="str">
        <f ca="1">IFERROR(__xludf.DUMMYFUNCTION("GOOGLETRANSLATE(G119,""pl"",""en"")"),"Zagórze North, Sosnowiec, Silesian Voivodeship")</f>
        <v>Zagórze North, Sosnowiec, Silesian Voivodeship</v>
      </c>
      <c r="I119" s="1" t="s">
        <v>21</v>
      </c>
      <c r="J119" s="1" t="s">
        <v>21</v>
      </c>
      <c r="K119" s="1" t="s">
        <v>22</v>
      </c>
      <c r="L119" s="1" t="s">
        <v>588</v>
      </c>
      <c r="M119" s="1">
        <v>3</v>
      </c>
      <c r="N119" s="1" t="s">
        <v>24</v>
      </c>
      <c r="O119" s="1" t="str">
        <f ca="1">IFERROR(__xludf.DUMMYFUNCTION("GOOGLETRANSLATE(N119,""pl"",""en"")"),"full ownership")</f>
        <v>full ownership</v>
      </c>
      <c r="P119" s="3" t="s">
        <v>589</v>
      </c>
      <c r="Q119" s="1" t="b">
        <v>1</v>
      </c>
      <c r="R119" s="1" t="s">
        <v>590</v>
      </c>
    </row>
    <row r="120" spans="1:18" x14ac:dyDescent="0.25">
      <c r="A120" s="2">
        <v>45308</v>
      </c>
      <c r="B120" s="1" t="s">
        <v>591</v>
      </c>
      <c r="C120" s="1" t="str">
        <f ca="1">IFERROR(__xludf.DUMMYFUNCTION("GOOGLETRANSLATE(B120,""pl"",""en"")"),"Mysłowice-/Anezing M3/furnished/negotiable")</f>
        <v>Mysłowice-/Anezing M3/furnished/negotiable</v>
      </c>
      <c r="D120" s="1">
        <v>255000</v>
      </c>
      <c r="E120" s="1" t="s">
        <v>33</v>
      </c>
      <c r="F120" s="1">
        <v>49</v>
      </c>
      <c r="G120" s="1" t="s">
        <v>592</v>
      </c>
      <c r="H120" s="1" t="str">
        <f ca="1">IFERROR(__xludf.DUMMYFUNCTION("GOOGLETRANSLATE(G120,""pl"",""en"")"),"street. Krakowska, Mysłowice, Silesian Voivodeship")</f>
        <v>street. Krakowska, Mysłowice, Silesian Voivodeship</v>
      </c>
      <c r="I120" s="1" t="b">
        <v>1</v>
      </c>
      <c r="J120" s="1" t="s">
        <v>21</v>
      </c>
      <c r="K120" s="1" t="s">
        <v>22</v>
      </c>
      <c r="L120" s="1" t="s">
        <v>593</v>
      </c>
      <c r="M120" s="1">
        <v>2</v>
      </c>
      <c r="N120" s="1" t="s">
        <v>24</v>
      </c>
      <c r="O120" s="1" t="str">
        <f ca="1">IFERROR(__xludf.DUMMYFUNCTION("GOOGLETRANSLATE(N120,""pl"",""en"")"),"full ownership")</f>
        <v>full ownership</v>
      </c>
      <c r="P120" s="3" t="s">
        <v>594</v>
      </c>
      <c r="Q120" s="1" t="b">
        <v>1</v>
      </c>
      <c r="R120" s="1" t="s">
        <v>595</v>
      </c>
    </row>
    <row r="121" spans="1:18" x14ac:dyDescent="0.25">
      <c r="A121" s="2">
        <v>45308</v>
      </c>
      <c r="B121" s="1" t="s">
        <v>596</v>
      </c>
      <c r="C121" s="1" t="str">
        <f ca="1">IFERROR(__xludf.DUMMYFUNCTION("GOOGLETRANSLATE(B121,""pl"",""en"")"),"Studio in a great location! 20min to the center!")</f>
        <v>Studio in a great location! 20min to the center!</v>
      </c>
      <c r="D121" s="1">
        <v>365496</v>
      </c>
      <c r="E121" s="1" t="s">
        <v>19</v>
      </c>
      <c r="F121" s="1">
        <v>25.12</v>
      </c>
      <c r="G121" s="1" t="s">
        <v>272</v>
      </c>
      <c r="H121" s="1" t="str">
        <f ca="1">IFERROR(__xludf.DUMMYFUNCTION("GOOGLETRANSLATE(G121,""pl"",""en"")"),"street. Ludwik Waryński, Pruszków, Pruszkowski, Masovian Voivodeship")</f>
        <v>street. Ludwik Waryński, Pruszków, Pruszkowski, Masovian Voivodeship</v>
      </c>
      <c r="I121" s="1" t="b">
        <v>1</v>
      </c>
      <c r="J121" s="1" t="s">
        <v>21</v>
      </c>
      <c r="K121" s="1" t="s">
        <v>22</v>
      </c>
      <c r="L121" s="1" t="s">
        <v>597</v>
      </c>
      <c r="M121" s="1">
        <v>1</v>
      </c>
      <c r="N121" s="1" t="s">
        <v>21</v>
      </c>
      <c r="O121" s="1" t="str">
        <f ca="1">IFERROR(__xludf.DUMMYFUNCTION("GOOGLETRANSLATE(N121,""pl"",""en"")"),"null")</f>
        <v>null</v>
      </c>
      <c r="P121" s="3" t="s">
        <v>598</v>
      </c>
      <c r="Q121" s="1" t="b">
        <v>1</v>
      </c>
      <c r="R121" s="1" t="s">
        <v>599</v>
      </c>
    </row>
    <row r="122" spans="1:18" x14ac:dyDescent="0.25">
      <c r="A122" s="2">
        <v>45308</v>
      </c>
      <c r="B122" s="1" t="s">
        <v>600</v>
      </c>
      <c r="C122" s="1" t="str">
        <f ca="1">IFERROR(__xludf.DUMMYFUNCTION("GOOGLETRANSLATE(B122,""pl"",""en"")"),"Apartment in a great location")</f>
        <v>Apartment in a great location</v>
      </c>
      <c r="D122" s="1">
        <v>251000</v>
      </c>
      <c r="E122" s="1" t="s">
        <v>33</v>
      </c>
      <c r="F122" s="1">
        <v>32.5</v>
      </c>
      <c r="G122" s="1" t="s">
        <v>601</v>
      </c>
      <c r="H122" s="1" t="str">
        <f ca="1">IFERROR(__xludf.DUMMYFUNCTION("GOOGLETRANSLATE(G122,""pl"",""en"")"),"Radom, Masovian Voivodeship")</f>
        <v>Radom, Masovian Voivodeship</v>
      </c>
      <c r="I122" s="1" t="s">
        <v>21</v>
      </c>
      <c r="J122" s="1" t="s">
        <v>21</v>
      </c>
      <c r="K122" s="1" t="s">
        <v>45</v>
      </c>
      <c r="L122" s="1" t="s">
        <v>602</v>
      </c>
      <c r="M122" s="1">
        <v>2</v>
      </c>
      <c r="N122" s="1" t="s">
        <v>24</v>
      </c>
      <c r="O122" s="1" t="str">
        <f ca="1">IFERROR(__xludf.DUMMYFUNCTION("GOOGLETRANSLATE(N122,""pl"",""en"")"),"full ownership")</f>
        <v>full ownership</v>
      </c>
      <c r="P122" s="3" t="s">
        <v>603</v>
      </c>
      <c r="Q122" s="1" t="b">
        <v>1</v>
      </c>
      <c r="R122" s="1" t="s">
        <v>604</v>
      </c>
    </row>
    <row r="123" spans="1:18" x14ac:dyDescent="0.25">
      <c r="A123" s="2">
        <v>45308</v>
      </c>
      <c r="B123" s="1" t="s">
        <v>605</v>
      </c>
      <c r="C123" s="1" t="str">
        <f ca="1">IFERROR(__xludf.DUMMYFUNCTION("GOOGLETRANSLATE(B123,""pl"",""en"")"),"Family corner, ready to pick up!")</f>
        <v>Family corner, ready to pick up!</v>
      </c>
      <c r="D123" s="1">
        <v>550000</v>
      </c>
      <c r="E123" s="1" t="s">
        <v>19</v>
      </c>
      <c r="F123" s="1">
        <v>92</v>
      </c>
      <c r="G123" s="1" t="s">
        <v>4712</v>
      </c>
      <c r="H123" s="1" t="str">
        <f ca="1">IFERROR(__xludf.DUMMYFUNCTION("GOOGLETRANSLATE(G123,""pl"",""en"")"),"axis. Estate Przylesie, Błażejewo, Kórnik, Poznański, Greater Poland")</f>
        <v>axis. Estate Przylesie, Błażejewo, Kórnik, Poznański, Greater Poland</v>
      </c>
      <c r="I123" s="1" t="b">
        <v>1</v>
      </c>
      <c r="J123" s="1" t="s">
        <v>21</v>
      </c>
      <c r="K123" s="1" t="s">
        <v>194</v>
      </c>
      <c r="L123" s="1" t="s">
        <v>606</v>
      </c>
      <c r="M123" s="1">
        <v>4</v>
      </c>
      <c r="N123" s="1" t="s">
        <v>21</v>
      </c>
      <c r="O123" s="1" t="str">
        <f ca="1">IFERROR(__xludf.DUMMYFUNCTION("GOOGLETRANSLATE(N123,""pl"",""en"")"),"null")</f>
        <v>null</v>
      </c>
      <c r="P123" s="3" t="s">
        <v>607</v>
      </c>
      <c r="Q123" s="1" t="b">
        <v>1</v>
      </c>
      <c r="R123" s="1" t="s">
        <v>608</v>
      </c>
    </row>
    <row r="124" spans="1:18" x14ac:dyDescent="0.25">
      <c r="A124" s="2">
        <v>45308</v>
      </c>
      <c r="B124" s="1" t="s">
        <v>609</v>
      </c>
      <c r="C124" s="1" t="str">
        <f ca="1">IFERROR(__xludf.DUMMYFUNCTION("GOOGLETRANSLATE(B124,""pl"",""en"")"),"Year -round house 85 m2 in a picturesque area")</f>
        <v>Year -round house 85 m2 in a picturesque area</v>
      </c>
      <c r="D124" s="1">
        <v>279000</v>
      </c>
      <c r="E124" s="1" t="s">
        <v>33</v>
      </c>
      <c r="F124" s="1">
        <v>85</v>
      </c>
      <c r="G124" s="1" t="s">
        <v>610</v>
      </c>
      <c r="H124" s="1" t="str">
        <f ca="1">IFERROR(__xludf.DUMMYFUNCTION("GOOGLETRANSLATE(G124,""pl"",""en"")"),"Stary Bartków, Korczew, Siedlecki, Masovian Voivodeship")</f>
        <v>Stary Bartków, Korczew, Siedlecki, Masovian Voivodeship</v>
      </c>
      <c r="I124" s="1" t="b">
        <v>1</v>
      </c>
      <c r="J124" s="1" t="s">
        <v>21</v>
      </c>
      <c r="K124" s="1" t="s">
        <v>22</v>
      </c>
      <c r="L124" s="1" t="s">
        <v>611</v>
      </c>
      <c r="M124" s="1">
        <v>3</v>
      </c>
      <c r="N124" s="1" t="s">
        <v>21</v>
      </c>
      <c r="O124" s="1" t="str">
        <f ca="1">IFERROR(__xludf.DUMMYFUNCTION("GOOGLETRANSLATE(N124,""pl"",""en"")"),"null")</f>
        <v>null</v>
      </c>
      <c r="P124" s="3" t="s">
        <v>612</v>
      </c>
      <c r="Q124" s="1" t="b">
        <v>1</v>
      </c>
      <c r="R124" s="1" t="s">
        <v>613</v>
      </c>
    </row>
    <row r="125" spans="1:18" x14ac:dyDescent="0.25">
      <c r="A125" s="2">
        <v>45308</v>
      </c>
      <c r="B125" s="1" t="s">
        <v>614</v>
      </c>
      <c r="C125" s="1" t="str">
        <f ca="1">IFERROR(__xludf.DUMMYFUNCTION("GOOGLETRANSLATE(B125,""pl"",""en"")"),"Apartment, 80.70 m², Wejherowo")</f>
        <v>Apartment, 80.70 m², Wejherowo</v>
      </c>
      <c r="D125" s="1">
        <v>390000</v>
      </c>
      <c r="E125" s="1" t="s">
        <v>33</v>
      </c>
      <c r="F125" s="1">
        <v>80.7</v>
      </c>
      <c r="G125" s="1" t="s">
        <v>615</v>
      </c>
      <c r="H125" s="1" t="str">
        <f ca="1">IFERROR(__xludf.DUMMYFUNCTION("GOOGLETRANSLATE(G125,""pl"",""en"")"),"Wejherowo, Wejherowski, Pomeranian")</f>
        <v>Wejherowo, Wejherowski, Pomeranian</v>
      </c>
      <c r="I125" s="1" t="s">
        <v>21</v>
      </c>
      <c r="J125" s="1" t="s">
        <v>21</v>
      </c>
      <c r="K125" s="1" t="s">
        <v>22</v>
      </c>
      <c r="L125" s="1" t="s">
        <v>616</v>
      </c>
      <c r="M125" s="1">
        <v>3</v>
      </c>
      <c r="N125" s="1" t="s">
        <v>24</v>
      </c>
      <c r="O125" s="1" t="str">
        <f ca="1">IFERROR(__xludf.DUMMYFUNCTION("GOOGLETRANSLATE(N125,""pl"",""en"")"),"full ownership")</f>
        <v>full ownership</v>
      </c>
      <c r="P125" s="3" t="s">
        <v>617</v>
      </c>
      <c r="Q125" s="1" t="b">
        <v>1</v>
      </c>
      <c r="R125" s="1" t="s">
        <v>618</v>
      </c>
    </row>
    <row r="126" spans="1:18" x14ac:dyDescent="0.25">
      <c r="A126" s="2">
        <v>45308</v>
      </c>
      <c r="B126" s="1" t="s">
        <v>619</v>
      </c>
      <c r="C126" s="1" t="str">
        <f ca="1">IFERROR(__xludf.DUMMYFUNCTION("GOOGLETRANSLATE(B126,""pl"",""en"")"),"180 m2 | Beautiful house quiet area")</f>
        <v>180 m2 | Beautiful house quiet area</v>
      </c>
      <c r="D126" s="1">
        <v>1390000</v>
      </c>
      <c r="E126" s="1" t="s">
        <v>33</v>
      </c>
      <c r="F126" s="1">
        <v>180</v>
      </c>
      <c r="G126" s="1" t="s">
        <v>620</v>
      </c>
      <c r="H126" s="1" t="str">
        <f ca="1">IFERROR(__xludf.DUMMYFUNCTION("GOOGLETRANSLATE(G126,""pl"",""en"")"),"Kobiałka, Białołęka, Warsaw, Masovian Voivodeship")</f>
        <v>Kobiałka, Białołęka, Warsaw, Masovian Voivodeship</v>
      </c>
      <c r="I126" s="1" t="s">
        <v>21</v>
      </c>
      <c r="J126" s="1" t="s">
        <v>21</v>
      </c>
      <c r="K126" s="1" t="s">
        <v>22</v>
      </c>
      <c r="L126" s="1" t="s">
        <v>621</v>
      </c>
      <c r="M126" s="1">
        <v>5</v>
      </c>
      <c r="N126" s="1" t="s">
        <v>24</v>
      </c>
      <c r="O126" s="1" t="str">
        <f ca="1">IFERROR(__xludf.DUMMYFUNCTION("GOOGLETRANSLATE(N126,""pl"",""en"")"),"full ownership")</f>
        <v>full ownership</v>
      </c>
      <c r="P126" s="3" t="s">
        <v>622</v>
      </c>
      <c r="Q126" s="1" t="b">
        <v>1</v>
      </c>
      <c r="R126" s="1" t="s">
        <v>623</v>
      </c>
    </row>
    <row r="127" spans="1:18" x14ac:dyDescent="0.25">
      <c r="A127" s="2">
        <v>45308</v>
      </c>
      <c r="B127" s="1" t="s">
        <v>624</v>
      </c>
      <c r="C127" s="1" t="str">
        <f ca="1">IFERROR(__xludf.DUMMYFUNCTION("GOOGLETRANSLATE(B127,""pl"",""en"")"),"3 separate rooms on the 11th floor - for renovation")</f>
        <v>3 separate rooms on the 11th floor - for renovation</v>
      </c>
      <c r="D127" s="1">
        <v>329000</v>
      </c>
      <c r="E127" s="1" t="s">
        <v>33</v>
      </c>
      <c r="F127" s="1">
        <v>48</v>
      </c>
      <c r="G127" s="1" t="s">
        <v>625</v>
      </c>
      <c r="H127" s="1" t="str">
        <f ca="1">IFERROR(__xludf.DUMMYFUNCTION("GOOGLETRANSLATE(G127,""pl"",""en"")"),"Piasta I, Białystok, Podlasie")</f>
        <v>Piasta I, Białystok, Podlasie</v>
      </c>
      <c r="I127" s="1" t="s">
        <v>21</v>
      </c>
      <c r="J127" s="1" t="s">
        <v>21</v>
      </c>
      <c r="K127" s="1" t="s">
        <v>22</v>
      </c>
      <c r="L127" s="1" t="s">
        <v>626</v>
      </c>
      <c r="M127" s="1">
        <v>3</v>
      </c>
      <c r="N127" s="1" t="s">
        <v>24</v>
      </c>
      <c r="O127" s="1" t="str">
        <f ca="1">IFERROR(__xludf.DUMMYFUNCTION("GOOGLETRANSLATE(N127,""pl"",""en"")"),"full ownership")</f>
        <v>full ownership</v>
      </c>
      <c r="P127" s="3" t="s">
        <v>627</v>
      </c>
      <c r="Q127" s="1" t="b">
        <v>1</v>
      </c>
      <c r="R127" s="1" t="s">
        <v>628</v>
      </c>
    </row>
    <row r="128" spans="1:18" x14ac:dyDescent="0.25">
      <c r="A128" s="2">
        <v>45308</v>
      </c>
      <c r="B128" s="1" t="s">
        <v>629</v>
      </c>
      <c r="C128" s="1" t="str">
        <f ca="1">IFERROR(__xludf.DUMMYFUNCTION("GOOGLETRANSLATE(B128,""pl"",""en"")"),"Studio in the center of Bydgoszcz PLN 189,000")</f>
        <v>Studio in the center of Bydgoszcz PLN 189,000</v>
      </c>
      <c r="D128" s="1">
        <v>189000</v>
      </c>
      <c r="E128" s="1" t="s">
        <v>33</v>
      </c>
      <c r="F128" s="1">
        <v>25.36</v>
      </c>
      <c r="G128" s="1" t="s">
        <v>630</v>
      </c>
      <c r="H128" s="1" t="str">
        <f ca="1">IFERROR(__xludf.DUMMYFUNCTION("GOOGLETRANSLATE(G128,""pl"",""en"")"),"Śródmieście, Bydgoszcz, Kujawsko-Pomeranian Voivodeship")</f>
        <v>Śródmieście, Bydgoszcz, Kujawsko-Pomeranian Voivodeship</v>
      </c>
      <c r="I128" s="1" t="s">
        <v>21</v>
      </c>
      <c r="J128" s="1" t="s">
        <v>21</v>
      </c>
      <c r="K128" s="1" t="s">
        <v>22</v>
      </c>
      <c r="L128" s="1" t="s">
        <v>631</v>
      </c>
      <c r="M128" s="1">
        <v>1</v>
      </c>
      <c r="N128" s="1" t="s">
        <v>24</v>
      </c>
      <c r="O128" s="1" t="str">
        <f ca="1">IFERROR(__xludf.DUMMYFUNCTION("GOOGLETRANSLATE(N128,""pl"",""en"")"),"full ownership")</f>
        <v>full ownership</v>
      </c>
      <c r="P128" s="3" t="s">
        <v>632</v>
      </c>
      <c r="Q128" s="1" t="b">
        <v>1</v>
      </c>
      <c r="R128" s="1" t="s">
        <v>633</v>
      </c>
    </row>
    <row r="129" spans="1:18" x14ac:dyDescent="0.25">
      <c r="A129" s="2">
        <v>45308</v>
      </c>
      <c r="B129" s="1" t="s">
        <v>634</v>
      </c>
      <c r="C129" s="1" t="str">
        <f ca="1">IFERROR(__xludf.DUMMYFUNCTION("GOOGLETRANSLATE(B129,""pl"",""en"")"),"111m²-2 levels+balcony+M.Parking-Kamerne")</f>
        <v>111m²-2 levels+balcony+M.Parking-Kamerne</v>
      </c>
      <c r="D129" s="1">
        <v>540000</v>
      </c>
      <c r="E129" s="1" t="s">
        <v>19</v>
      </c>
      <c r="F129" s="1">
        <v>111</v>
      </c>
      <c r="G129" s="1" t="s">
        <v>635</v>
      </c>
      <c r="H129" s="1" t="str">
        <f ca="1">IFERROR(__xludf.DUMMYFUNCTION("GOOGLETRANSLATE(G129,""pl"",""en"")"),"Lutynia, Miękinia, Średzki, Lower Silesia")</f>
        <v>Lutynia, Miękinia, Średzki, Lower Silesia</v>
      </c>
      <c r="I129" s="1" t="s">
        <v>21</v>
      </c>
      <c r="J129" s="1" t="s">
        <v>21</v>
      </c>
      <c r="K129" s="1" t="s">
        <v>22</v>
      </c>
      <c r="L129" s="1" t="s">
        <v>636</v>
      </c>
      <c r="M129" s="1">
        <v>4</v>
      </c>
      <c r="N129" s="1" t="s">
        <v>24</v>
      </c>
      <c r="O129" s="1" t="str">
        <f ca="1">IFERROR(__xludf.DUMMYFUNCTION("GOOGLETRANSLATE(N129,""pl"",""en"")"),"full ownership")</f>
        <v>full ownership</v>
      </c>
      <c r="P129" s="3" t="s">
        <v>637</v>
      </c>
      <c r="Q129" s="1" t="b">
        <v>1</v>
      </c>
      <c r="R129" s="1" t="s">
        <v>638</v>
      </c>
    </row>
    <row r="130" spans="1:18" x14ac:dyDescent="0.25">
      <c r="A130" s="2">
        <v>45308</v>
      </c>
      <c r="B130" s="1" t="s">
        <v>639</v>
      </c>
      <c r="C130" s="1" t="str">
        <f ca="1">IFERROR(__xludf.DUMMYFUNCTION("GOOGLETRANSLATE(B130,""pl"",""en"")"),"A modern apartment in a great location")</f>
        <v>A modern apartment in a great location</v>
      </c>
      <c r="D130" s="1">
        <v>1209000</v>
      </c>
      <c r="E130" s="1" t="s">
        <v>33</v>
      </c>
      <c r="F130" s="1">
        <v>70.72</v>
      </c>
      <c r="G130" s="1" t="s">
        <v>4713</v>
      </c>
      <c r="H130" s="1" t="str">
        <f ca="1">IFERROR(__xludf.DUMMYFUNCTION("GOOGLETRANSLATE(G130,""pl"",""en"")"),"Solei de Malta, Milczańska, Latin, Nowe Miasto, Poznań, Greater Poland")</f>
        <v>Solei de Malta, Milczańska, Latin, Nowe Miasto, Poznań, Greater Poland</v>
      </c>
      <c r="I130" s="1" t="s">
        <v>21</v>
      </c>
      <c r="J130" s="1" t="s">
        <v>21</v>
      </c>
      <c r="K130" s="1" t="s">
        <v>45</v>
      </c>
      <c r="L130" s="1" t="s">
        <v>640</v>
      </c>
      <c r="M130" s="1">
        <v>3</v>
      </c>
      <c r="N130" s="1" t="s">
        <v>24</v>
      </c>
      <c r="O130" s="1" t="str">
        <f ca="1">IFERROR(__xludf.DUMMYFUNCTION("GOOGLETRANSLATE(N130,""pl"",""en"")"),"full ownership")</f>
        <v>full ownership</v>
      </c>
      <c r="P130" s="3" t="s">
        <v>641</v>
      </c>
      <c r="Q130" s="1" t="b">
        <v>1</v>
      </c>
      <c r="R130" s="1" t="s">
        <v>642</v>
      </c>
    </row>
    <row r="131" spans="1:18" x14ac:dyDescent="0.25">
      <c r="A131" s="2">
        <v>45308</v>
      </c>
      <c r="B131" s="1" t="s">
        <v>643</v>
      </c>
      <c r="C131" s="1" t="str">
        <f ca="1">IFERROR(__xludf.DUMMYFUNCTION("GOOGLETRANSLATE(B131,""pl"",""en"")"),"M3 + balcony, tram, PKP, Q1 2024 /Wro-Kowale")</f>
        <v>M3 + balcony, tram, PKP, Q1 2024 /Wro-Kowale</v>
      </c>
      <c r="D131" s="1">
        <v>648500</v>
      </c>
      <c r="E131" s="1" t="s">
        <v>19</v>
      </c>
      <c r="F131" s="1">
        <v>56.92</v>
      </c>
      <c r="G131" s="1" t="s">
        <v>644</v>
      </c>
      <c r="H131" s="1" t="str">
        <f ca="1">IFERROR(__xludf.DUMMYFUNCTION("GOOGLETRANSLATE(G131,""pl"",""en"")"),"street. Goose, blacksmiths, Psie Pole, Wrocław, DolnoSilesian Voivodeship")</f>
        <v>street. Goose, blacksmiths, Psie Pole, Wrocław, DolnoSilesian Voivodeship</v>
      </c>
      <c r="I131" s="1" t="s">
        <v>21</v>
      </c>
      <c r="J131" s="1" t="s">
        <v>21</v>
      </c>
      <c r="K131" s="1" t="s">
        <v>22</v>
      </c>
      <c r="L131" s="1" t="s">
        <v>645</v>
      </c>
      <c r="M131" s="1">
        <v>3</v>
      </c>
      <c r="N131" s="1" t="s">
        <v>24</v>
      </c>
      <c r="O131" s="1" t="str">
        <f ca="1">IFERROR(__xludf.DUMMYFUNCTION("GOOGLETRANSLATE(N131,""pl"",""en"")"),"full ownership")</f>
        <v>full ownership</v>
      </c>
      <c r="P131" s="3" t="s">
        <v>646</v>
      </c>
      <c r="Q131" s="1" t="b">
        <v>1</v>
      </c>
      <c r="R131" s="1" t="s">
        <v>647</v>
      </c>
    </row>
    <row r="132" spans="1:18" x14ac:dyDescent="0.25">
      <c r="A132" s="2">
        <v>45308</v>
      </c>
      <c r="B132" s="1" t="s">
        <v>648</v>
      </c>
      <c r="C132" s="1" t="str">
        <f ca="1">IFERROR(__xludf.DUMMYFUNCTION("GOOGLETRANSLATE(B132,""pl"",""en"")"),"Apartment - Gdańsk Wrzeszcz")</f>
        <v>Apartment - Gdańsk Wrzeszcz</v>
      </c>
      <c r="D132" s="1">
        <v>2630000</v>
      </c>
      <c r="E132" s="1" t="s">
        <v>33</v>
      </c>
      <c r="F132" s="1">
        <v>88.88</v>
      </c>
      <c r="G132" s="1" t="s">
        <v>649</v>
      </c>
      <c r="H132" s="1" t="str">
        <f ca="1">IFERROR(__xludf.DUMMYFUNCTION("GOOGLETRANSLATE(G132,""pl"",""en"")"),"street. Jaśkowa Dolina, Wrzeszcz Górny, Gdańsk, Pomeranian Voivodeship")</f>
        <v>street. Jaśkowa Dolina, Wrzeszcz Górny, Gdańsk, Pomeranian Voivodeship</v>
      </c>
      <c r="I132" s="1" t="s">
        <v>21</v>
      </c>
      <c r="J132" s="1" t="s">
        <v>21</v>
      </c>
      <c r="K132" s="1" t="s">
        <v>22</v>
      </c>
      <c r="L132" s="1" t="s">
        <v>650</v>
      </c>
      <c r="M132" s="1">
        <v>3</v>
      </c>
      <c r="N132" s="1" t="s">
        <v>24</v>
      </c>
      <c r="O132" s="1" t="str">
        <f ca="1">IFERROR(__xludf.DUMMYFUNCTION("GOOGLETRANSLATE(N132,""pl"",""en"")"),"full ownership")</f>
        <v>full ownership</v>
      </c>
      <c r="P132" s="3" t="s">
        <v>651</v>
      </c>
      <c r="Q132" s="1" t="b">
        <v>1</v>
      </c>
      <c r="R132" s="1" t="s">
        <v>652</v>
      </c>
    </row>
    <row r="133" spans="1:18" x14ac:dyDescent="0.25">
      <c r="A133" s="2">
        <v>45308</v>
      </c>
      <c r="B133" s="1" t="s">
        <v>653</v>
      </c>
      <c r="C133" s="1" t="str">
        <f ca="1">IFERROR(__xludf.DUMMYFUNCTION("GOOGLETRANSLATE(B133,""pl"",""en"")"),"A luxurious apartment with a garage.")</f>
        <v>A luxurious apartment with a garage.</v>
      </c>
      <c r="D133" s="1">
        <v>590000</v>
      </c>
      <c r="E133" s="1" t="s">
        <v>33</v>
      </c>
      <c r="F133" s="1">
        <v>97</v>
      </c>
      <c r="G133" s="1" t="s">
        <v>654</v>
      </c>
      <c r="H133" s="1" t="str">
        <f ca="1">IFERROR(__xludf.DUMMYFUNCTION("GOOGLETRANSLATE(G133,""pl"",""en"")"),"Kamienna Góra, Kamiennogórski, DolnoSilesian Voivodeship")</f>
        <v>Kamienna Góra, Kamiennogórski, DolnoSilesian Voivodeship</v>
      </c>
      <c r="I133" s="1" t="s">
        <v>21</v>
      </c>
      <c r="J133" s="1" t="s">
        <v>21</v>
      </c>
      <c r="K133" s="1" t="s">
        <v>22</v>
      </c>
      <c r="L133" s="1" t="s">
        <v>655</v>
      </c>
      <c r="M133" s="1">
        <v>4</v>
      </c>
      <c r="N133" s="1" t="s">
        <v>24</v>
      </c>
      <c r="O133" s="1" t="str">
        <f ca="1">IFERROR(__xludf.DUMMYFUNCTION("GOOGLETRANSLATE(N133,""pl"",""en"")"),"full ownership")</f>
        <v>full ownership</v>
      </c>
      <c r="P133" s="3" t="s">
        <v>656</v>
      </c>
      <c r="Q133" s="1" t="b">
        <v>1</v>
      </c>
      <c r="R133" s="1" t="s">
        <v>657</v>
      </c>
    </row>
    <row r="134" spans="1:18" x14ac:dyDescent="0.25">
      <c r="A134" s="2">
        <v>45308</v>
      </c>
      <c r="B134" s="1" t="s">
        <v>658</v>
      </c>
      <c r="C134" s="1" t="str">
        <f ca="1">IFERROR(__xludf.DUMMYFUNCTION("GOOGLETRANSLATE(B134,""pl"",""en"")"),"A sensational offer for a family or investment")</f>
        <v>A sensational offer for a family or investment</v>
      </c>
      <c r="D134" s="1">
        <v>849000</v>
      </c>
      <c r="E134" s="1" t="s">
        <v>33</v>
      </c>
      <c r="F134" s="1">
        <v>51.13</v>
      </c>
      <c r="G134" s="1" t="s">
        <v>659</v>
      </c>
      <c r="H134" s="1" t="str">
        <f ca="1">IFERROR(__xludf.DUMMYFUNCTION("GOOGLETRANSLATE(G134,""pl"",""en"")"),"al. Aleja Niepodległości, Stary Mokotów, Mokotów, Warsaw, Masovian Voivodeship")</f>
        <v>al. Aleja Niepodległości, Stary Mokotów, Mokotów, Warsaw, Masovian Voivodeship</v>
      </c>
      <c r="I134" s="1" t="s">
        <v>21</v>
      </c>
      <c r="J134" s="1" t="s">
        <v>21</v>
      </c>
      <c r="K134" s="1" t="s">
        <v>22</v>
      </c>
      <c r="L134" s="1" t="s">
        <v>660</v>
      </c>
      <c r="M134" s="1">
        <v>3</v>
      </c>
      <c r="N134" s="1" t="s">
        <v>24</v>
      </c>
      <c r="O134" s="1" t="str">
        <f ca="1">IFERROR(__xludf.DUMMYFUNCTION("GOOGLETRANSLATE(N134,""pl"",""en"")"),"full ownership")</f>
        <v>full ownership</v>
      </c>
      <c r="P134" s="3" t="s">
        <v>661</v>
      </c>
      <c r="Q134" s="1" t="b">
        <v>1</v>
      </c>
      <c r="R134" s="1" t="s">
        <v>662</v>
      </c>
    </row>
    <row r="135" spans="1:18" x14ac:dyDescent="0.25">
      <c r="A135" s="2">
        <v>45308</v>
      </c>
      <c r="B135" s="1" t="s">
        <v>663</v>
      </c>
      <c r="C135" s="1" t="str">
        <f ca="1">IFERROR(__xludf.DUMMYFUNCTION("GOOGLETRANSLATE(B135,""pl"",""en"")"),"Partyzantów/Bacciarelli 3 rooms large balcony")</f>
        <v>Partyzantów/Bacciarelli 3 rooms large balcony</v>
      </c>
      <c r="D135" s="1">
        <v>820000</v>
      </c>
      <c r="E135" s="1" t="s">
        <v>33</v>
      </c>
      <c r="F135" s="1">
        <v>64</v>
      </c>
      <c r="G135" s="1" t="s">
        <v>664</v>
      </c>
      <c r="H135" s="1" t="str">
        <f ca="1">IFERROR(__xludf.DUMMYFUNCTION("GOOGLETRANSLATE(G135,""pl"",""en"")"),"Sępolno, Śródmieście, Wrocław, DolnoSilesian Voivodeship")</f>
        <v>Sępolno, Śródmieście, Wrocław, DolnoSilesian Voivodeship</v>
      </c>
      <c r="I135" s="1" t="s">
        <v>21</v>
      </c>
      <c r="J135" s="1" t="s">
        <v>21</v>
      </c>
      <c r="K135" s="1" t="s">
        <v>22</v>
      </c>
      <c r="L135" s="1" t="s">
        <v>665</v>
      </c>
      <c r="M135" s="1">
        <v>3</v>
      </c>
      <c r="N135" s="1" t="s">
        <v>24</v>
      </c>
      <c r="O135" s="1" t="str">
        <f ca="1">IFERROR(__xludf.DUMMYFUNCTION("GOOGLETRANSLATE(N135,""pl"",""en"")"),"full ownership")</f>
        <v>full ownership</v>
      </c>
      <c r="P135" s="3" t="s">
        <v>666</v>
      </c>
      <c r="Q135" s="1" t="b">
        <v>1</v>
      </c>
      <c r="R135" s="1" t="s">
        <v>667</v>
      </c>
    </row>
    <row r="136" spans="1:18" x14ac:dyDescent="0.25">
      <c r="A136" s="2">
        <v>45308</v>
      </c>
      <c r="B136" s="1" t="s">
        <v>668</v>
      </c>
      <c r="C136" s="1" t="str">
        <f ca="1">IFERROR(__xludf.DUMMYFUNCTION("GOOGLETRANSLATE(B136,""pl"",""en"")"),"The highest floor in the green corner")</f>
        <v>The highest floor in the green corner</v>
      </c>
      <c r="D136" s="1">
        <v>770000</v>
      </c>
      <c r="E136" s="1" t="s">
        <v>33</v>
      </c>
      <c r="F136" s="1">
        <v>75.98</v>
      </c>
      <c r="G136" s="1" t="s">
        <v>263</v>
      </c>
      <c r="H136" s="1" t="str">
        <f ca="1">IFERROR(__xludf.DUMMYFUNCTION("GOOGLETRANSLATE(G136,""pl"",""en"")"),"Koszalin, West Pomeranian Voivodeship")</f>
        <v>Koszalin, West Pomeranian Voivodeship</v>
      </c>
      <c r="I136" s="1" t="s">
        <v>21</v>
      </c>
      <c r="J136" s="1" t="s">
        <v>21</v>
      </c>
      <c r="K136" s="1" t="s">
        <v>22</v>
      </c>
      <c r="L136" s="1" t="s">
        <v>669</v>
      </c>
      <c r="M136" s="1">
        <v>3</v>
      </c>
      <c r="N136" s="1" t="s">
        <v>24</v>
      </c>
      <c r="O136" s="1" t="str">
        <f ca="1">IFERROR(__xludf.DUMMYFUNCTION("GOOGLETRANSLATE(N136,""pl"",""en"")"),"full ownership")</f>
        <v>full ownership</v>
      </c>
      <c r="P136" s="3" t="s">
        <v>670</v>
      </c>
      <c r="Q136" s="1" t="b">
        <v>1</v>
      </c>
      <c r="R136" s="1" t="s">
        <v>671</v>
      </c>
    </row>
    <row r="137" spans="1:18" x14ac:dyDescent="0.25">
      <c r="A137" s="2">
        <v>45308</v>
      </c>
      <c r="B137" s="1" t="s">
        <v>672</v>
      </c>
      <c r="C137" s="1" t="str">
        <f ca="1">IFERROR(__xludf.DUMMYFUNCTION("GOOGLETRANSLATE(B137,""pl"",""en"")"),"2 small rooms in the north with a large balcony")</f>
        <v>2 small rooms in the north with a large balcony</v>
      </c>
      <c r="D137" s="1">
        <v>249000</v>
      </c>
      <c r="E137" s="1" t="s">
        <v>33</v>
      </c>
      <c r="F137" s="1">
        <v>37</v>
      </c>
      <c r="G137" s="1" t="s">
        <v>673</v>
      </c>
      <c r="H137" s="1" t="str">
        <f ca="1">IFERROR(__xludf.DUMMYFUNCTION("GOOGLETRANSLATE(G137,""pl"",""en"")"),"North, Częstochowa, Silesian Voivodeship")</f>
        <v>North, Częstochowa, Silesian Voivodeship</v>
      </c>
      <c r="I137" s="1" t="s">
        <v>21</v>
      </c>
      <c r="J137" s="1" t="s">
        <v>21</v>
      </c>
      <c r="K137" s="1" t="s">
        <v>22</v>
      </c>
      <c r="L137" s="1" t="s">
        <v>674</v>
      </c>
      <c r="M137" s="1">
        <v>2</v>
      </c>
      <c r="N137" s="1" t="s">
        <v>24</v>
      </c>
      <c r="O137" s="1" t="str">
        <f ca="1">IFERROR(__xludf.DUMMYFUNCTION("GOOGLETRANSLATE(N137,""pl"",""en"")"),"full ownership")</f>
        <v>full ownership</v>
      </c>
      <c r="P137" s="3" t="s">
        <v>675</v>
      </c>
      <c r="Q137" s="1" t="b">
        <v>1</v>
      </c>
      <c r="R137" s="1" t="s">
        <v>676</v>
      </c>
    </row>
    <row r="138" spans="1:18" x14ac:dyDescent="0.25">
      <c r="A138" s="2">
        <v>45308</v>
      </c>
      <c r="B138" s="1" t="s">
        <v>677</v>
      </c>
      <c r="C138" s="1" t="str">
        <f ca="1">IFERROR(__xludf.DUMMYFUNCTION("GOOGLETRANSLATE(B138,""pl"",""en"")"),"Kołobrzeg two -level apartment of the Polanki estate")</f>
        <v>Kołobrzeg two -level apartment of the Polanki estate</v>
      </c>
      <c r="D138" s="1">
        <v>1600000</v>
      </c>
      <c r="E138" s="1" t="s">
        <v>33</v>
      </c>
      <c r="F138" s="1">
        <v>109.56</v>
      </c>
      <c r="G138" s="1" t="s">
        <v>150</v>
      </c>
      <c r="H138" s="1" t="str">
        <f ca="1">IFERROR(__xludf.DUMMYFUNCTION("GOOGLETRANSLATE(G138,""pl"",""en"")"),"Kołobrzeg, Kołobrzeski, ZachodnioPomeranian Voivodeship")</f>
        <v>Kołobrzeg, Kołobrzeski, ZachodnioPomeranian Voivodeship</v>
      </c>
      <c r="I138" s="1" t="s">
        <v>21</v>
      </c>
      <c r="J138" s="1" t="s">
        <v>21</v>
      </c>
      <c r="K138" s="1" t="s">
        <v>22</v>
      </c>
      <c r="L138" s="1" t="s">
        <v>678</v>
      </c>
      <c r="M138" s="1">
        <v>4</v>
      </c>
      <c r="N138" s="1" t="s">
        <v>24</v>
      </c>
      <c r="O138" s="1" t="str">
        <f ca="1">IFERROR(__xludf.DUMMYFUNCTION("GOOGLETRANSLATE(N138,""pl"",""en"")"),"full ownership")</f>
        <v>full ownership</v>
      </c>
      <c r="P138" s="3" t="s">
        <v>679</v>
      </c>
      <c r="Q138" s="1" t="b">
        <v>1</v>
      </c>
      <c r="R138" s="1" t="s">
        <v>680</v>
      </c>
    </row>
    <row r="139" spans="1:18" x14ac:dyDescent="0.25">
      <c r="A139" s="2">
        <v>45308</v>
      </c>
      <c r="B139" s="1" t="s">
        <v>681</v>
      </c>
      <c r="C139" s="1" t="str">
        <f ca="1">IFERROR(__xludf.DUMMYFUNCTION("GOOGLETRANSLATE(B139,""pl"",""en"")"),"Ground floor ul. Bema 42.5m2 low fees")</f>
        <v>Ground floor ul. Bema 42.5m2 low fees</v>
      </c>
      <c r="D139" s="1">
        <v>279000</v>
      </c>
      <c r="E139" s="1" t="s">
        <v>33</v>
      </c>
      <c r="F139" s="1">
        <v>42.5</v>
      </c>
      <c r="G139" s="1" t="s">
        <v>682</v>
      </c>
      <c r="H139" s="1" t="str">
        <f ca="1">IFERROR(__xludf.DUMMYFUNCTION("GOOGLETRANSLATE(G139,""pl"",""en"")"),"street. General Józef Bem, Malbork, Malbork, Pomeranian")</f>
        <v>street. General Józef Bem, Malbork, Malbork, Pomeranian</v>
      </c>
      <c r="I139" s="1" t="b">
        <v>1</v>
      </c>
      <c r="J139" s="1" t="s">
        <v>21</v>
      </c>
      <c r="K139" s="1" t="s">
        <v>22</v>
      </c>
      <c r="L139" s="1" t="s">
        <v>683</v>
      </c>
      <c r="M139" s="1">
        <v>2</v>
      </c>
      <c r="N139" s="1" t="s">
        <v>24</v>
      </c>
      <c r="O139" s="1" t="str">
        <f ca="1">IFERROR(__xludf.DUMMYFUNCTION("GOOGLETRANSLATE(N139,""pl"",""en"")"),"full ownership")</f>
        <v>full ownership</v>
      </c>
      <c r="P139" s="3" t="s">
        <v>684</v>
      </c>
      <c r="Q139" s="1" t="b">
        <v>1</v>
      </c>
      <c r="R139" s="1" t="s">
        <v>685</v>
      </c>
    </row>
    <row r="140" spans="1:18" x14ac:dyDescent="0.25">
      <c r="A140" s="2">
        <v>45308</v>
      </c>
      <c r="B140" s="1" t="s">
        <v>686</v>
      </c>
      <c r="C140" s="1" t="str">
        <f ca="1">IFERROR(__xludf.DUMMYFUNCTION("GOOGLETRANSLATE(B140,""pl"",""en"")"),"Ready 4 rooms / for pickup immediately / 2024")</f>
        <v>Ready 4 rooms / for pickup immediately / 2024</v>
      </c>
      <c r="D140" s="1">
        <v>617611</v>
      </c>
      <c r="E140" s="1" t="s">
        <v>19</v>
      </c>
      <c r="F140" s="1">
        <v>68.23</v>
      </c>
      <c r="G140" s="1" t="s">
        <v>687</v>
      </c>
      <c r="H140" s="1" t="str">
        <f ca="1">IFERROR(__xludf.DUMMYFUNCTION("GOOGLETRANSLATE(G140,""pl"",""en"")"),"street. Niepołomicka, Orunia Górna - Gdańsk Południe, Gdańsk, Pomeranian Voivodeship")</f>
        <v>street. Niepołomicka, Orunia Górna - Gdańsk Południe, Gdańsk, Pomeranian Voivodeship</v>
      </c>
      <c r="I140" s="1" t="s">
        <v>21</v>
      </c>
      <c r="J140" s="1" t="s">
        <v>21</v>
      </c>
      <c r="K140" s="1" t="s">
        <v>22</v>
      </c>
      <c r="L140" s="1" t="s">
        <v>688</v>
      </c>
      <c r="M140" s="1">
        <v>4</v>
      </c>
      <c r="N140" s="1" t="s">
        <v>24</v>
      </c>
      <c r="O140" s="1" t="str">
        <f ca="1">IFERROR(__xludf.DUMMYFUNCTION("GOOGLETRANSLATE(N140,""pl"",""en"")"),"full ownership")</f>
        <v>full ownership</v>
      </c>
      <c r="P140" s="3" t="s">
        <v>689</v>
      </c>
      <c r="Q140" s="1" t="b">
        <v>1</v>
      </c>
      <c r="R140" s="1" t="s">
        <v>690</v>
      </c>
    </row>
    <row r="141" spans="1:18" x14ac:dyDescent="0.25">
      <c r="A141" s="2">
        <v>45308</v>
      </c>
      <c r="B141" s="1" t="s">
        <v>691</v>
      </c>
      <c r="C141" s="1" t="str">
        <f ca="1">IFERROR(__xludf.DUMMYFUNCTION("GOOGLETRANSLATE(B141,""pl"",""en"")"),"2-room apartment 36 m2, mainly booking")</f>
        <v>2-room apartment 36 m2, mainly booking</v>
      </c>
      <c r="D141" s="1">
        <v>279000</v>
      </c>
      <c r="E141" s="1" t="s">
        <v>33</v>
      </c>
      <c r="F141" s="1">
        <v>36</v>
      </c>
      <c r="G141" s="1" t="s">
        <v>692</v>
      </c>
      <c r="H141" s="1" t="str">
        <f ca="1">IFERROR(__xludf.DUMMYFUNCTION("GOOGLETRANSLATE(G141,""pl"",""en"")"),"street. Władysław Sikorski 14, Głowno, Zgierz, Łódź")</f>
        <v>street. Władysław Sikorski 14, Głowno, Zgierz, Łódź</v>
      </c>
      <c r="I141" s="1" t="s">
        <v>21</v>
      </c>
      <c r="J141" s="1" t="s">
        <v>21</v>
      </c>
      <c r="K141" s="1" t="s">
        <v>45</v>
      </c>
      <c r="L141" s="1" t="s">
        <v>693</v>
      </c>
      <c r="M141" s="1">
        <v>2</v>
      </c>
      <c r="N141" s="1" t="s">
        <v>24</v>
      </c>
      <c r="O141" s="1" t="str">
        <f ca="1">IFERROR(__xludf.DUMMYFUNCTION("GOOGLETRANSLATE(N141,""pl"",""en"")"),"full ownership")</f>
        <v>full ownership</v>
      </c>
      <c r="P141" s="3" t="s">
        <v>694</v>
      </c>
      <c r="Q141" s="1" t="b">
        <v>1</v>
      </c>
      <c r="R141" s="1" t="s">
        <v>695</v>
      </c>
    </row>
    <row r="142" spans="1:18" x14ac:dyDescent="0.25">
      <c r="A142" s="2">
        <v>45308</v>
      </c>
      <c r="B142" s="1" t="s">
        <v>696</v>
      </c>
      <c r="C142" s="1" t="str">
        <f ca="1">IFERROR(__xludf.DUMMYFUNCTION("GOOGLETRANSLATE(B142,""pl"",""en"")"),"Apartment, 35.57 m², Wojkowice")</f>
        <v>Apartment, 35.57 m², Wojkowice</v>
      </c>
      <c r="D142" s="1">
        <v>93000</v>
      </c>
      <c r="E142" s="1" t="s">
        <v>33</v>
      </c>
      <c r="F142" s="1">
        <v>35.57</v>
      </c>
      <c r="G142" s="1" t="s">
        <v>697</v>
      </c>
      <c r="H142" s="1" t="str">
        <f ca="1">IFERROR(__xludf.DUMMYFUNCTION("GOOGLETRANSLATE(G142,""pl"",""en"")"),"Wojkowice, Będziński, Silesian Voivodeship")</f>
        <v>Wojkowice, Będziński, Silesian Voivodeship</v>
      </c>
      <c r="I142" s="1" t="s">
        <v>21</v>
      </c>
      <c r="J142" s="1" t="s">
        <v>21</v>
      </c>
      <c r="K142" s="1" t="s">
        <v>22</v>
      </c>
      <c r="L142" s="1" t="s">
        <v>698</v>
      </c>
      <c r="M142" s="1">
        <v>1</v>
      </c>
      <c r="N142" s="1" t="s">
        <v>24</v>
      </c>
      <c r="O142" s="1" t="str">
        <f ca="1">IFERROR(__xludf.DUMMYFUNCTION("GOOGLETRANSLATE(N142,""pl"",""en"")"),"full ownership")</f>
        <v>full ownership</v>
      </c>
      <c r="P142" s="3" t="s">
        <v>699</v>
      </c>
      <c r="Q142" s="1" t="b">
        <v>1</v>
      </c>
      <c r="R142" s="1" t="s">
        <v>700</v>
      </c>
    </row>
    <row r="143" spans="1:18" x14ac:dyDescent="0.25">
      <c r="A143" s="2">
        <v>45308</v>
      </c>
      <c r="B143" s="1" t="s">
        <v>701</v>
      </c>
      <c r="C143" s="1" t="str">
        <f ca="1">IFERROR(__xludf.DUMMYFUNCTION("GOOGLETRANSLATE(B143,""pl"",""en"")"),"Serial house Juszkowo, Pruszcz Gdański 144m2")</f>
        <v>Serial house Juszkowo, Pruszcz Gdański 144m2</v>
      </c>
      <c r="D143" s="1">
        <v>1099000</v>
      </c>
      <c r="E143" s="1" t="s">
        <v>33</v>
      </c>
      <c r="F143" s="1">
        <v>144.25</v>
      </c>
      <c r="G143" s="1" t="s">
        <v>702</v>
      </c>
      <c r="H143" s="1" t="str">
        <f ca="1">IFERROR(__xludf.DUMMYFUNCTION("GOOGLETRANSLATE(G143,""pl"",""en"")"),"street. Raduńska, Juszkowo, Pruszcz Gdański, Gdański, Pomeranian Voivodeship")</f>
        <v>street. Raduńska, Juszkowo, Pruszcz Gdański, Gdański, Pomeranian Voivodeship</v>
      </c>
      <c r="I143" s="1" t="s">
        <v>21</v>
      </c>
      <c r="J143" s="1" t="s">
        <v>21</v>
      </c>
      <c r="K143" s="1" t="s">
        <v>22</v>
      </c>
      <c r="L143" s="1" t="s">
        <v>703</v>
      </c>
      <c r="M143" s="1">
        <v>4</v>
      </c>
      <c r="N143" s="1" t="s">
        <v>24</v>
      </c>
      <c r="O143" s="1" t="str">
        <f ca="1">IFERROR(__xludf.DUMMYFUNCTION("GOOGLETRANSLATE(N143,""pl"",""en"")"),"full ownership")</f>
        <v>full ownership</v>
      </c>
      <c r="P143" s="3" t="s">
        <v>704</v>
      </c>
      <c r="Q143" s="1" t="b">
        <v>1</v>
      </c>
      <c r="R143" s="1" t="s">
        <v>705</v>
      </c>
    </row>
    <row r="144" spans="1:18" x14ac:dyDescent="0.25">
      <c r="A144" s="2">
        <v>45308</v>
      </c>
      <c r="B144" s="1" t="s">
        <v>706</v>
      </c>
      <c r="C144" s="1" t="str">
        <f ca="1">IFERROR(__xludf.DUMMYFUNCTION("GOOGLETRANSLATE(B144,""pl"",""en"")"),"✅ Investment 4 rooms at the economic zone ⭐")</f>
        <v>✅ Investment 4 rooms at the economic zone ⭐</v>
      </c>
      <c r="D144" s="1">
        <v>410000</v>
      </c>
      <c r="E144" s="1" t="s">
        <v>33</v>
      </c>
      <c r="F144" s="1">
        <v>70.8</v>
      </c>
      <c r="G144" s="1" t="s">
        <v>707</v>
      </c>
      <c r="H144" s="1" t="str">
        <f ca="1">IFERROR(__xludf.DUMMYFUNCTION("GOOGLETRANSLATE(G144,""pl"",""en"")"),"Rubinowa, Stare Gliwice, Gliwice, Silesian Voivodeship")</f>
        <v>Rubinowa, Stare Gliwice, Gliwice, Silesian Voivodeship</v>
      </c>
      <c r="I144" s="1" t="s">
        <v>21</v>
      </c>
      <c r="J144" s="1" t="s">
        <v>21</v>
      </c>
      <c r="K144" s="1" t="s">
        <v>22</v>
      </c>
      <c r="L144" s="1" t="s">
        <v>708</v>
      </c>
      <c r="M144" s="1">
        <v>2</v>
      </c>
      <c r="N144" s="1" t="s">
        <v>24</v>
      </c>
      <c r="O144" s="1" t="str">
        <f ca="1">IFERROR(__xludf.DUMMYFUNCTION("GOOGLETRANSLATE(N144,""pl"",""en"")"),"full ownership")</f>
        <v>full ownership</v>
      </c>
      <c r="P144" s="3" t="s">
        <v>709</v>
      </c>
      <c r="Q144" s="1" t="b">
        <v>1</v>
      </c>
      <c r="R144" s="1" t="s">
        <v>710</v>
      </c>
    </row>
    <row r="145" spans="1:18" x14ac:dyDescent="0.25">
      <c r="A145" s="2">
        <v>45308</v>
      </c>
      <c r="B145" s="1" t="s">
        <v>711</v>
      </c>
      <c r="C145" s="1" t="str">
        <f ca="1">IFERROR(__xludf.DUMMYFUNCTION("GOOGLETRANSLATE(B145,""pl"",""en"")"),"2 rooms a large terrace of the Welicka Parking Cell")</f>
        <v>2 rooms a large terrace of the Welicka Parking Cell</v>
      </c>
      <c r="D145" s="1">
        <v>749000</v>
      </c>
      <c r="E145" s="1" t="s">
        <v>33</v>
      </c>
      <c r="F145" s="1">
        <v>58.2</v>
      </c>
      <c r="G145" s="1" t="s">
        <v>4714</v>
      </c>
      <c r="H145" s="1" t="str">
        <f ca="1">IFERROR(__xludf.DUMMYFUNCTION("GOOGLETRANSLATE(G145,""pl"",""en"")"),"Prokocim, Bieżanów-Prokocim, Kraków, Lesser Poland")</f>
        <v>Prokocim, Bieżanów-Prokocim, Kraków, Lesser Poland</v>
      </c>
      <c r="I145" s="1" t="b">
        <v>1</v>
      </c>
      <c r="J145" s="1" t="s">
        <v>21</v>
      </c>
      <c r="K145" s="1" t="s">
        <v>22</v>
      </c>
      <c r="L145" s="1" t="s">
        <v>712</v>
      </c>
      <c r="M145" s="1">
        <v>2</v>
      </c>
      <c r="N145" s="1" t="s">
        <v>24</v>
      </c>
      <c r="O145" s="1" t="str">
        <f ca="1">IFERROR(__xludf.DUMMYFUNCTION("GOOGLETRANSLATE(N145,""pl"",""en"")"),"full ownership")</f>
        <v>full ownership</v>
      </c>
      <c r="P145" s="3" t="s">
        <v>713</v>
      </c>
      <c r="Q145" s="1" t="b">
        <v>1</v>
      </c>
      <c r="R145" s="1" t="s">
        <v>714</v>
      </c>
    </row>
    <row r="146" spans="1:18" x14ac:dyDescent="0.25">
      <c r="A146" s="2">
        <v>45308</v>
      </c>
      <c r="B146" s="1" t="s">
        <v>715</v>
      </c>
      <c r="C146" s="1" t="str">
        <f ca="1">IFERROR(__xludf.DUMMYFUNCTION("GOOGLETRANSLATE(B146,""pl"",""en"")"),"The perfect place for the office in the very center!")</f>
        <v>The perfect place for the office in the very center!</v>
      </c>
      <c r="D146" s="1">
        <v>911606</v>
      </c>
      <c r="E146" s="1" t="s">
        <v>19</v>
      </c>
      <c r="F146" s="1">
        <v>70.34</v>
      </c>
      <c r="G146" s="1" t="s">
        <v>4715</v>
      </c>
      <c r="H146" s="1" t="str">
        <f ca="1">IFERROR(__xludf.DUMMYFUNCTION("GOOGLETRANSLATE(G146,""pl"",""en"")"),"al. Aleje Karol Marcinkowski, Old Town, Old Town, Poznań, Greater Poland")</f>
        <v>al. Aleje Karol Marcinkowski, Old Town, Old Town, Poznań, Greater Poland</v>
      </c>
      <c r="I146" s="1" t="b">
        <v>1</v>
      </c>
      <c r="J146" s="1" t="s">
        <v>21</v>
      </c>
      <c r="K146" s="1" t="s">
        <v>22</v>
      </c>
      <c r="L146" s="1" t="s">
        <v>716</v>
      </c>
      <c r="M146" s="1">
        <v>3</v>
      </c>
      <c r="N146" s="1" t="s">
        <v>24</v>
      </c>
      <c r="O146" s="1" t="str">
        <f ca="1">IFERROR(__xludf.DUMMYFUNCTION("GOOGLETRANSLATE(N146,""pl"",""en"")"),"full ownership")</f>
        <v>full ownership</v>
      </c>
      <c r="P146" s="3" t="s">
        <v>717</v>
      </c>
      <c r="Q146" s="1" t="b">
        <v>1</v>
      </c>
      <c r="R146" s="1" t="s">
        <v>718</v>
      </c>
    </row>
    <row r="147" spans="1:18" x14ac:dyDescent="0.25">
      <c r="A147" s="2">
        <v>45308</v>
      </c>
      <c r="B147" s="1" t="s">
        <v>719</v>
      </c>
      <c r="C147" s="1" t="str">
        <f ca="1">IFERROR(__xludf.DUMMYFUNCTION("GOOGLETRANSLATE(B147,""pl"",""en"")"),"5 rooms - new construction - silence and quiet")</f>
        <v>5 rooms - new construction - silence and quiet</v>
      </c>
      <c r="D147" s="1">
        <v>695000</v>
      </c>
      <c r="E147" s="1" t="s">
        <v>33</v>
      </c>
      <c r="F147" s="1">
        <v>83.32</v>
      </c>
      <c r="G147" s="1" t="s">
        <v>720</v>
      </c>
      <c r="H147" s="1" t="str">
        <f ca="1">IFERROR(__xludf.DUMMYFUNCTION("GOOGLETRANSLATE(G147,""pl"",""en"")"),"street. Rustling grasses, porosą, Choroszcz, Białystok, Podlasie")</f>
        <v>street. Rustling grasses, porosą, Choroszcz, Białystok, Podlasie</v>
      </c>
      <c r="I147" s="1" t="s">
        <v>21</v>
      </c>
      <c r="J147" s="1" t="s">
        <v>21</v>
      </c>
      <c r="K147" s="1" t="s">
        <v>22</v>
      </c>
      <c r="L147" s="1" t="s">
        <v>721</v>
      </c>
      <c r="M147" s="1">
        <v>5</v>
      </c>
      <c r="N147" s="1" t="s">
        <v>24</v>
      </c>
      <c r="O147" s="1" t="str">
        <f ca="1">IFERROR(__xludf.DUMMYFUNCTION("GOOGLETRANSLATE(N147,""pl"",""en"")"),"full ownership")</f>
        <v>full ownership</v>
      </c>
      <c r="P147" s="3" t="s">
        <v>722</v>
      </c>
      <c r="Q147" s="1" t="b">
        <v>1</v>
      </c>
      <c r="R147" s="1" t="s">
        <v>723</v>
      </c>
    </row>
    <row r="148" spans="1:18" x14ac:dyDescent="0.25">
      <c r="A148" s="2">
        <v>45308</v>
      </c>
      <c r="B148" s="1" t="s">
        <v>724</v>
      </c>
      <c r="C148" s="1" t="str">
        <f ca="1">IFERROR(__xludf.DUMMYFUNCTION("GOOGLETRANSLATE(B148,""pl"",""en"")"),"New apartment in Brzozów, 3 rooms")</f>
        <v>New apartment in Brzozów, 3 rooms</v>
      </c>
      <c r="D148" s="1">
        <v>340200</v>
      </c>
      <c r="E148" s="1" t="s">
        <v>19</v>
      </c>
      <c r="F148" s="1">
        <v>63</v>
      </c>
      <c r="G148" s="1" t="s">
        <v>725</v>
      </c>
      <c r="H148" s="1" t="str">
        <f ca="1">IFERROR(__xludf.DUMMYFUNCTION("GOOGLETRANSLATE(G148,""pl"",""en"")"),"street. Zdrojowa, Brzozów, Brzozów, Brzozowski, Podkarpackie")</f>
        <v>street. Zdrojowa, Brzozów, Brzozów, Brzozowski, Podkarpackie</v>
      </c>
      <c r="I148" s="1" t="s">
        <v>21</v>
      </c>
      <c r="J148" s="1" t="s">
        <v>21</v>
      </c>
      <c r="K148" s="1" t="s">
        <v>22</v>
      </c>
      <c r="L148" s="1" t="s">
        <v>726</v>
      </c>
      <c r="M148" s="1">
        <v>3</v>
      </c>
      <c r="N148" s="1" t="s">
        <v>24</v>
      </c>
      <c r="O148" s="1" t="str">
        <f ca="1">IFERROR(__xludf.DUMMYFUNCTION("GOOGLETRANSLATE(N148,""pl"",""en"")"),"full ownership")</f>
        <v>full ownership</v>
      </c>
      <c r="P148" s="3" t="s">
        <v>727</v>
      </c>
      <c r="Q148" s="1" t="b">
        <v>1</v>
      </c>
      <c r="R148" s="1" t="s">
        <v>728</v>
      </c>
    </row>
    <row r="149" spans="1:18" x14ac:dyDescent="0.25">
      <c r="A149" s="2">
        <v>45308</v>
      </c>
      <c r="B149" s="1" t="s">
        <v>729</v>
      </c>
      <c r="C149" s="1" t="str">
        <f ca="1">IFERROR(__xludf.DUMMYFUNCTION("GOOGLETRANSLATE(B149,""pl"",""en"")"),"Fenced block 2 or 3 rooms for the entrance!")</f>
        <v>Fenced block 2 or 3 rooms for the entrance!</v>
      </c>
      <c r="D149" s="1">
        <v>339999</v>
      </c>
      <c r="E149" s="1" t="s">
        <v>33</v>
      </c>
      <c r="F149" s="1">
        <v>63.73</v>
      </c>
      <c r="G149" s="1" t="s">
        <v>730</v>
      </c>
      <c r="H149" s="1" t="str">
        <f ca="1">IFERROR(__xludf.DUMMYFUNCTION("GOOGLETRANSLATE(G149,""pl"",""en"")"),"street. Mariacka, Radom, Masovian Voivodeship")</f>
        <v>street. Mariacka, Radom, Masovian Voivodeship</v>
      </c>
      <c r="I149" s="1" t="s">
        <v>21</v>
      </c>
      <c r="J149" s="1" t="s">
        <v>21</v>
      </c>
      <c r="K149" s="1" t="s">
        <v>22</v>
      </c>
      <c r="L149" s="1" t="s">
        <v>731</v>
      </c>
      <c r="M149" s="1">
        <v>2</v>
      </c>
      <c r="N149" s="1" t="s">
        <v>24</v>
      </c>
      <c r="O149" s="1" t="str">
        <f ca="1">IFERROR(__xludf.DUMMYFUNCTION("GOOGLETRANSLATE(N149,""pl"",""en"")"),"full ownership")</f>
        <v>full ownership</v>
      </c>
      <c r="P149" s="3" t="s">
        <v>732</v>
      </c>
      <c r="Q149" s="1" t="b">
        <v>1</v>
      </c>
      <c r="R149" s="1" t="s">
        <v>733</v>
      </c>
    </row>
    <row r="150" spans="1:18" x14ac:dyDescent="0.25">
      <c r="A150" s="2">
        <v>45308</v>
      </c>
      <c r="B150" s="1" t="s">
        <v>734</v>
      </c>
      <c r="C150" s="1" t="str">
        <f ca="1">IFERROR(__xludf.DUMMYFUNCTION("GOOGLETRANSLATE(B150,""pl"",""en"")"),"2 rooms View of green High standard")</f>
        <v>2 rooms View of green High standard</v>
      </c>
      <c r="D150" s="1">
        <v>540000</v>
      </c>
      <c r="E150" s="1" t="s">
        <v>33</v>
      </c>
      <c r="F150" s="1">
        <v>34</v>
      </c>
      <c r="G150" s="1" t="s">
        <v>735</v>
      </c>
      <c r="H150" s="1" t="str">
        <f ca="1">IFERROR(__xludf.DUMMYFUNCTION("GOOGLETRANSLATE(G150,""pl"",""en"")"),"street. Antoni Madaliński, Orunia-Św. Wojciech-Lipka, Gdańsk, Pomeranian Voivodeship")</f>
        <v>street. Antoni Madaliński, Orunia-Św. Wojciech-Lipka, Gdańsk, Pomeranian Voivodeship</v>
      </c>
      <c r="I150" s="1" t="s">
        <v>21</v>
      </c>
      <c r="J150" s="1" t="s">
        <v>21</v>
      </c>
      <c r="K150" s="1" t="s">
        <v>22</v>
      </c>
      <c r="L150" s="1" t="s">
        <v>736</v>
      </c>
      <c r="M150" s="1">
        <v>2</v>
      </c>
      <c r="N150" s="1" t="s">
        <v>24</v>
      </c>
      <c r="O150" s="1" t="str">
        <f ca="1">IFERROR(__xludf.DUMMYFUNCTION("GOOGLETRANSLATE(N150,""pl"",""en"")"),"full ownership")</f>
        <v>full ownership</v>
      </c>
      <c r="P150" s="3" t="s">
        <v>737</v>
      </c>
      <c r="Q150" s="1" t="b">
        <v>1</v>
      </c>
      <c r="R150" s="1" t="s">
        <v>738</v>
      </c>
    </row>
    <row r="151" spans="1:18" x14ac:dyDescent="0.25">
      <c r="A151" s="2">
        <v>45308</v>
      </c>
      <c r="B151" s="1" t="s">
        <v>739</v>
      </c>
      <c r="C151" s="1" t="str">
        <f ca="1">IFERROR(__xludf.DUMMYFUNCTION("GOOGLETRANSLATE(B151,""pl"",""en"")"),"*** solar_o. Floor_bez PCC and commissions!")</f>
        <v>*** solar_o. Floor_bez PCC and commissions!</v>
      </c>
      <c r="D151" s="1">
        <v>587000</v>
      </c>
      <c r="E151" s="1" t="s">
        <v>19</v>
      </c>
      <c r="F151" s="1">
        <v>52</v>
      </c>
      <c r="G151" s="1" t="s">
        <v>740</v>
      </c>
      <c r="H151" s="1" t="str">
        <f ca="1">IFERROR(__xludf.DUMMYFUNCTION("GOOGLETRANSLATE(G151,""pl"",""en"")"),"street. Leona Berenson, Grodzisk, Białołęka, Warsaw, Masovian Voivodeship")</f>
        <v>street. Leona Berenson, Grodzisk, Białołęka, Warsaw, Masovian Voivodeship</v>
      </c>
      <c r="I151" s="1" t="s">
        <v>21</v>
      </c>
      <c r="J151" s="1" t="s">
        <v>21</v>
      </c>
      <c r="K151" s="1" t="s">
        <v>22</v>
      </c>
      <c r="L151" s="1" t="s">
        <v>741</v>
      </c>
      <c r="M151" s="1">
        <v>3</v>
      </c>
      <c r="N151" s="1" t="s">
        <v>24</v>
      </c>
      <c r="O151" s="1" t="str">
        <f ca="1">IFERROR(__xludf.DUMMYFUNCTION("GOOGLETRANSLATE(N151,""pl"",""en"")"),"full ownership")</f>
        <v>full ownership</v>
      </c>
      <c r="P151" s="3" t="s">
        <v>742</v>
      </c>
      <c r="Q151" s="1" t="b">
        <v>1</v>
      </c>
      <c r="R151" s="1" t="s">
        <v>743</v>
      </c>
    </row>
    <row r="152" spans="1:18" x14ac:dyDescent="0.25">
      <c r="A152" s="2">
        <v>45308</v>
      </c>
      <c r="B152" s="1" t="s">
        <v>744</v>
      </c>
      <c r="C152" s="1" t="str">
        <f ca="1">IFERROR(__xludf.DUMMYFUNCTION("GOOGLETRANSLATE(B152,""pl"",""en"")"),"2 rooms - parking in price - balcony - raspberry")</f>
        <v>2 rooms - parking in price - balcony - raspberry</v>
      </c>
      <c r="D152" s="1">
        <v>489000</v>
      </c>
      <c r="E152" s="1" t="s">
        <v>33</v>
      </c>
      <c r="F152" s="1">
        <v>42</v>
      </c>
      <c r="G152" s="1" t="s">
        <v>4716</v>
      </c>
      <c r="H152" s="1" t="str">
        <f ca="1">IFERROR(__xludf.DUMMYFUNCTION("GOOGLETRANSLATE(G152,""pl"",""en"")"),"Gosławice, Opole, Opole Voivodeship")</f>
        <v>Gosławice, Opole, Opole Voivodeship</v>
      </c>
      <c r="I152" s="1" t="s">
        <v>21</v>
      </c>
      <c r="J152" s="1" t="s">
        <v>21</v>
      </c>
      <c r="K152" s="1" t="s">
        <v>45</v>
      </c>
      <c r="L152" s="1" t="s">
        <v>745</v>
      </c>
      <c r="M152" s="1">
        <v>2</v>
      </c>
      <c r="N152" s="1" t="s">
        <v>24</v>
      </c>
      <c r="O152" s="1" t="str">
        <f ca="1">IFERROR(__xludf.DUMMYFUNCTION("GOOGLETRANSLATE(N152,""pl"",""en"")"),"full ownership")</f>
        <v>full ownership</v>
      </c>
      <c r="P152" s="3" t="s">
        <v>746</v>
      </c>
      <c r="Q152" s="1" t="b">
        <v>1</v>
      </c>
      <c r="R152" s="1" t="s">
        <v>747</v>
      </c>
    </row>
    <row r="153" spans="1:18" x14ac:dyDescent="0.25">
      <c r="A153" s="2">
        <v>45308</v>
      </c>
      <c r="B153" s="1" t="s">
        <v>748</v>
      </c>
      <c r="C153" s="1" t="str">
        <f ca="1">IFERROR(__xludf.DUMMYFUNCTION("GOOGLETRANSLATE(B153,""pl"",""en"")"),"Parking Keys for now Park | 0% commission")</f>
        <v>Parking Keys for now Park | 0% commission</v>
      </c>
      <c r="D153" s="1">
        <v>1388120</v>
      </c>
      <c r="E153" s="1" t="s">
        <v>33</v>
      </c>
      <c r="F153" s="1">
        <v>92.78</v>
      </c>
      <c r="G153" s="1" t="s">
        <v>4717</v>
      </c>
      <c r="H153" s="1" t="str">
        <f ca="1">IFERROR(__xludf.DUMMYFUNCTION("GOOGLETRANSLATE(G153,""pl"",""en"")"),"street. Piekary, Centrum, Old Town, Poznań, Greater Poland")</f>
        <v>street. Piekary, Centrum, Old Town, Poznań, Greater Poland</v>
      </c>
      <c r="I153" s="1" t="s">
        <v>21</v>
      </c>
      <c r="J153" s="1" t="s">
        <v>21</v>
      </c>
      <c r="K153" s="1" t="s">
        <v>22</v>
      </c>
      <c r="L153" s="1" t="s">
        <v>749</v>
      </c>
      <c r="M153" s="1">
        <v>3</v>
      </c>
      <c r="N153" s="1" t="s">
        <v>24</v>
      </c>
      <c r="O153" s="1" t="str">
        <f ca="1">IFERROR(__xludf.DUMMYFUNCTION("GOOGLETRANSLATE(N153,""pl"",""en"")"),"full ownership")</f>
        <v>full ownership</v>
      </c>
      <c r="P153" s="3" t="s">
        <v>750</v>
      </c>
      <c r="Q153" s="1" t="b">
        <v>1</v>
      </c>
      <c r="R153" s="1" t="s">
        <v>751</v>
      </c>
    </row>
    <row r="154" spans="1:18" x14ac:dyDescent="0.25">
      <c r="A154" s="2">
        <v>45308</v>
      </c>
      <c r="B154" s="1" t="s">
        <v>752</v>
      </c>
      <c r="C154" s="1" t="str">
        <f ca="1">IFERROR(__xludf.DUMMYFUNCTION("GOOGLETRANSLATE(B154,""pl"",""en"")"),"Studio 22 m2 center Świdnik")</f>
        <v>Studio 22 m2 center Świdnik</v>
      </c>
      <c r="D154" s="1">
        <v>235000</v>
      </c>
      <c r="E154" s="1" t="s">
        <v>33</v>
      </c>
      <c r="F154" s="1">
        <v>22</v>
      </c>
      <c r="G154" s="1" t="s">
        <v>753</v>
      </c>
      <c r="H154" s="1" t="str">
        <f ca="1">IFERROR(__xludf.DUMMYFUNCTION("GOOGLETRANSLATE(G154,""pl"",""en"")"),"Świdnik, Świdnicki, Lublin Voivodeship")</f>
        <v>Świdnik, Świdnicki, Lublin Voivodeship</v>
      </c>
      <c r="I154" s="1" t="s">
        <v>21</v>
      </c>
      <c r="J154" s="1" t="s">
        <v>21</v>
      </c>
      <c r="K154" s="1" t="s">
        <v>22</v>
      </c>
      <c r="L154" s="1" t="s">
        <v>754</v>
      </c>
      <c r="M154" s="1">
        <v>1</v>
      </c>
      <c r="N154" s="1" t="s">
        <v>24</v>
      </c>
      <c r="O154" s="1" t="str">
        <f ca="1">IFERROR(__xludf.DUMMYFUNCTION("GOOGLETRANSLATE(N154,""pl"",""en"")"),"full ownership")</f>
        <v>full ownership</v>
      </c>
      <c r="P154" s="3" t="s">
        <v>755</v>
      </c>
      <c r="Q154" s="1" t="b">
        <v>1</v>
      </c>
      <c r="R154" s="1" t="s">
        <v>756</v>
      </c>
    </row>
    <row r="155" spans="1:18" x14ac:dyDescent="0.25">
      <c r="A155" s="2">
        <v>45308</v>
      </c>
      <c r="B155" s="1" t="s">
        <v>757</v>
      </c>
      <c r="C155" s="1" t="str">
        <f ca="1">IFERROR(__xludf.DUMMYFUNCTION("GOOGLETRANSLATE(B155,""pl"",""en"")"),"The last 2 -room apartment - the boundary of Poznań")</f>
        <v>The last 2 -room apartment - the boundary of Poznań</v>
      </c>
      <c r="D155" s="1">
        <v>329000</v>
      </c>
      <c r="E155" s="1" t="s">
        <v>19</v>
      </c>
      <c r="F155" s="1">
        <v>36.630000000000003</v>
      </c>
      <c r="G155" s="1" t="s">
        <v>4718</v>
      </c>
      <c r="H155" s="1" t="str">
        <f ca="1">IFERROR(__xludf.DUMMYFUNCTION("GOOGLETRANSLATE(G155,""pl"",""en"")"),"Szczytniki, Kórnik, Poznań, Greater Poland")</f>
        <v>Szczytniki, Kórnik, Poznań, Greater Poland</v>
      </c>
      <c r="I155" s="1" t="s">
        <v>21</v>
      </c>
      <c r="J155" s="1" t="s">
        <v>21</v>
      </c>
      <c r="K155" s="1" t="s">
        <v>22</v>
      </c>
      <c r="L155" s="1" t="s">
        <v>758</v>
      </c>
      <c r="M155" s="1">
        <v>2</v>
      </c>
      <c r="N155" s="1" t="s">
        <v>24</v>
      </c>
      <c r="O155" s="1" t="str">
        <f ca="1">IFERROR(__xludf.DUMMYFUNCTION("GOOGLETRANSLATE(N155,""pl"",""en"")"),"full ownership")</f>
        <v>full ownership</v>
      </c>
      <c r="P155" s="3" t="s">
        <v>759</v>
      </c>
      <c r="Q155" s="1" t="b">
        <v>1</v>
      </c>
      <c r="R155" s="1" t="s">
        <v>760</v>
      </c>
    </row>
    <row r="156" spans="1:18" x14ac:dyDescent="0.25">
      <c r="A156" s="2">
        <v>45308</v>
      </c>
      <c r="B156" s="1" t="s">
        <v>761</v>
      </c>
      <c r="C156" s="1" t="str">
        <f ca="1">IFERROR(__xludf.DUMMYFUNCTION("GOOGLETRANSLATE(B156,""pl"",""en"")"),"Already on sale the 4th stage of ul. Forest")</f>
        <v>Already on sale the 4th stage of ul. Forest</v>
      </c>
      <c r="D156" s="1">
        <v>436815</v>
      </c>
      <c r="E156" s="1" t="s">
        <v>19</v>
      </c>
      <c r="F156" s="1">
        <v>51.39</v>
      </c>
      <c r="G156" s="1" t="s">
        <v>762</v>
      </c>
      <c r="H156" s="1" t="str">
        <f ca="1">IFERROR(__xludf.DUMMYFUNCTION("GOOGLETRANSLATE(G156,""pl"",""en"")"),"street. Leśna, Oleśnica, Oleśnicki, Lower Silesia")</f>
        <v>street. Leśna, Oleśnica, Oleśnicki, Lower Silesia</v>
      </c>
      <c r="I156" s="1" t="s">
        <v>21</v>
      </c>
      <c r="J156" s="1" t="s">
        <v>21</v>
      </c>
      <c r="K156" s="1" t="s">
        <v>22</v>
      </c>
      <c r="L156" s="1" t="s">
        <v>763</v>
      </c>
      <c r="M156" s="1">
        <v>3</v>
      </c>
      <c r="N156" s="1" t="s">
        <v>24</v>
      </c>
      <c r="O156" s="1" t="str">
        <f ca="1">IFERROR(__xludf.DUMMYFUNCTION("GOOGLETRANSLATE(N156,""pl"",""en"")"),"full ownership")</f>
        <v>full ownership</v>
      </c>
      <c r="P156" s="3" t="s">
        <v>764</v>
      </c>
      <c r="Q156" s="1" t="b">
        <v>1</v>
      </c>
      <c r="R156" s="1" t="s">
        <v>765</v>
      </c>
    </row>
    <row r="157" spans="1:18" x14ac:dyDescent="0.25">
      <c r="A157" s="2">
        <v>45308</v>
      </c>
      <c r="B157" s="1" t="s">
        <v>766</v>
      </c>
      <c r="C157" s="1" t="str">
        <f ca="1">IFERROR(__xludf.DUMMYFUNCTION("GOOGLETRANSLATE(B157,""pl"",""en"")"),"A three -room apartment with a veranda and a garden!")</f>
        <v>A three -room apartment with a veranda and a garden!</v>
      </c>
      <c r="D157" s="1">
        <v>420000</v>
      </c>
      <c r="E157" s="1" t="s">
        <v>33</v>
      </c>
      <c r="F157" s="1">
        <v>80.08</v>
      </c>
      <c r="G157" s="1" t="s">
        <v>767</v>
      </c>
      <c r="H157" s="1" t="str">
        <f ca="1">IFERROR(__xludf.DUMMYFUNCTION("GOOGLETRANSLATE(G157,""pl"",""en"")"),"Śródmieście, Jelenia Góra, DolnoSilesian Voivodeship")</f>
        <v>Śródmieście, Jelenia Góra, DolnoSilesian Voivodeship</v>
      </c>
      <c r="I157" s="1" t="b">
        <v>1</v>
      </c>
      <c r="J157" s="1" t="s">
        <v>21</v>
      </c>
      <c r="K157" s="1" t="s">
        <v>22</v>
      </c>
      <c r="L157" s="1" t="s">
        <v>768</v>
      </c>
      <c r="M157" s="1">
        <v>3</v>
      </c>
      <c r="N157" s="1" t="s">
        <v>24</v>
      </c>
      <c r="O157" s="1" t="str">
        <f ca="1">IFERROR(__xludf.DUMMYFUNCTION("GOOGLETRANSLATE(N157,""pl"",""en"")"),"full ownership")</f>
        <v>full ownership</v>
      </c>
      <c r="P157" s="3" t="s">
        <v>769</v>
      </c>
      <c r="Q157" s="1" t="b">
        <v>1</v>
      </c>
      <c r="R157" s="1" t="s">
        <v>770</v>
      </c>
    </row>
    <row r="158" spans="1:18" x14ac:dyDescent="0.25">
      <c r="A158" s="2">
        <v>45308</v>
      </c>
      <c r="B158" s="1" t="s">
        <v>771</v>
      </c>
      <c r="C158" s="1" t="str">
        <f ca="1">IFERROR(__xludf.DUMMYFUNCTION("GOOGLETRANSLATE(B158,""pl"",""en"")"),"✅ New, already built, 3-Pok. - in the center of Gliwice")</f>
        <v>✅ New, already built, 3-Pok. - in the center of Gliwice</v>
      </c>
      <c r="D158" s="1">
        <v>445000</v>
      </c>
      <c r="E158" s="1" t="s">
        <v>19</v>
      </c>
      <c r="F158" s="1">
        <v>59.38</v>
      </c>
      <c r="G158" s="1" t="s">
        <v>772</v>
      </c>
      <c r="H158" s="1" t="str">
        <f ca="1">IFERROR(__xludf.DUMMYFUNCTION("GOOGLETRANSLATE(G158,""pl"",""en"")"),"street. Mikołowska, Politechnika, Gliwice, Silesian Voivodeship")</f>
        <v>street. Mikołowska, Politechnika, Gliwice, Silesian Voivodeship</v>
      </c>
      <c r="I158" s="1" t="b">
        <v>1</v>
      </c>
      <c r="J158" s="1" t="s">
        <v>21</v>
      </c>
      <c r="K158" s="1" t="s">
        <v>45</v>
      </c>
      <c r="L158" s="1" t="s">
        <v>773</v>
      </c>
      <c r="M158" s="1">
        <v>3</v>
      </c>
      <c r="N158" s="1" t="s">
        <v>24</v>
      </c>
      <c r="O158" s="1" t="str">
        <f ca="1">IFERROR(__xludf.DUMMYFUNCTION("GOOGLETRANSLATE(N158,""pl"",""en"")"),"full ownership")</f>
        <v>full ownership</v>
      </c>
      <c r="P158" s="3" t="s">
        <v>774</v>
      </c>
      <c r="Q158" s="1" t="b">
        <v>1</v>
      </c>
      <c r="R158" s="1" t="s">
        <v>775</v>
      </c>
    </row>
    <row r="159" spans="1:18" x14ac:dyDescent="0.25">
      <c r="A159" s="2">
        <v>45308</v>
      </c>
      <c r="B159" s="1" t="s">
        <v>776</v>
      </c>
      <c r="C159" s="1" t="str">
        <f ca="1">IFERROR(__xludf.DUMMYFUNCTION("GOOGLETRANSLATE(B159,""pl"",""en"")"),"Apartment in Ursynów, with a garden 110 meters!")</f>
        <v>Apartment in Ursynów, with a garden 110 meters!</v>
      </c>
      <c r="D159" s="1">
        <v>712080</v>
      </c>
      <c r="E159" s="1" t="s">
        <v>33</v>
      </c>
      <c r="F159" s="1">
        <v>55.2</v>
      </c>
      <c r="G159" s="1" t="s">
        <v>777</v>
      </c>
      <c r="H159" s="1" t="str">
        <f ca="1">IFERROR(__xludf.DUMMYFUNCTION("GOOGLETRANSLATE(G159,""pl"",""en"")"),"street. Albatrosów, Stary Imielin, Ursynów, Warsaw, Masovian Voivodeship")</f>
        <v>street. Albatrosów, Stary Imielin, Ursynów, Warsaw, Masovian Voivodeship</v>
      </c>
      <c r="I159" s="1" t="s">
        <v>21</v>
      </c>
      <c r="J159" s="1" t="s">
        <v>21</v>
      </c>
      <c r="K159" s="1" t="s">
        <v>22</v>
      </c>
      <c r="L159" s="1" t="s">
        <v>778</v>
      </c>
      <c r="M159" s="1">
        <v>2</v>
      </c>
      <c r="N159" s="1" t="s">
        <v>24</v>
      </c>
      <c r="O159" s="1" t="str">
        <f ca="1">IFERROR(__xludf.DUMMYFUNCTION("GOOGLETRANSLATE(N159,""pl"",""en"")"),"full ownership")</f>
        <v>full ownership</v>
      </c>
      <c r="P159" s="3" t="s">
        <v>779</v>
      </c>
      <c r="Q159" s="1" t="b">
        <v>1</v>
      </c>
      <c r="R159" s="1" t="s">
        <v>780</v>
      </c>
    </row>
    <row r="160" spans="1:18" x14ac:dyDescent="0.25">
      <c r="A160" s="2">
        <v>45308</v>
      </c>
      <c r="B160" s="1" t="s">
        <v>781</v>
      </c>
      <c r="C160" s="1" t="str">
        <f ca="1">IFERROR(__xludf.DUMMYFUNCTION("GOOGLETRANSLATE(B160,""pl"",""en"")"),"Friendship! 3 rooms! Low block!")</f>
        <v>Friendship! 3 rooms! Low block!</v>
      </c>
      <c r="D160" s="1">
        <v>489000</v>
      </c>
      <c r="E160" s="1" t="s">
        <v>33</v>
      </c>
      <c r="F160" s="1">
        <v>51</v>
      </c>
      <c r="G160" s="1" t="s">
        <v>4719</v>
      </c>
      <c r="H160" s="1" t="str">
        <f ca="1">IFERROR(__xludf.DUMMYFUNCTION("GOOGLETRANSLATE(G160,""pl"",""en"")"),"axis. Friendship, Winogrady, Old Town, Poznań, Greater Poland")</f>
        <v>axis. Friendship, Winogrady, Old Town, Poznań, Greater Poland</v>
      </c>
      <c r="I160" s="1" t="b">
        <v>1</v>
      </c>
      <c r="J160" s="1" t="s">
        <v>21</v>
      </c>
      <c r="K160" s="1" t="s">
        <v>22</v>
      </c>
      <c r="L160" s="1" t="s">
        <v>782</v>
      </c>
      <c r="M160" s="1">
        <v>3</v>
      </c>
      <c r="N160" s="1" t="s">
        <v>24</v>
      </c>
      <c r="O160" s="1" t="str">
        <f ca="1">IFERROR(__xludf.DUMMYFUNCTION("GOOGLETRANSLATE(N160,""pl"",""en"")"),"full ownership")</f>
        <v>full ownership</v>
      </c>
      <c r="P160" s="3" t="s">
        <v>783</v>
      </c>
      <c r="Q160" s="1" t="b">
        <v>1</v>
      </c>
      <c r="R160" s="1" t="s">
        <v>784</v>
      </c>
    </row>
    <row r="161" spans="1:18" x14ac:dyDescent="0.25">
      <c r="A161" s="2">
        <v>45308</v>
      </c>
      <c r="B161" s="1" t="s">
        <v>785</v>
      </c>
      <c r="C161" s="1" t="str">
        <f ca="1">IFERROR(__xludf.DUMMYFUNCTION("GOOGLETRANSLATE(B161,""pl"",""en"")"),"Foresta Marcelin 3-room new investment")</f>
        <v>Foresta Marcelin 3-room new investment</v>
      </c>
      <c r="D161" s="1">
        <v>701057</v>
      </c>
      <c r="E161" s="1" t="s">
        <v>19</v>
      </c>
      <c r="F161" s="1">
        <v>64.27</v>
      </c>
      <c r="G161" s="1" t="s">
        <v>4720</v>
      </c>
      <c r="H161" s="1" t="str">
        <f ca="1">IFERROR(__xludf.DUMMYFUNCTION("GOOGLETRANSLATE(G161,""pl"",""en"")"),"street. Marian Smoluchowski, Junikowo, Grunwald, Poznań, Greater Poland")</f>
        <v>street. Marian Smoluchowski, Junikowo, Grunwald, Poznań, Greater Poland</v>
      </c>
      <c r="I161" s="1" t="b">
        <v>1</v>
      </c>
      <c r="J161" s="1" t="s">
        <v>21</v>
      </c>
      <c r="K161" s="1" t="s">
        <v>22</v>
      </c>
      <c r="L161" s="1" t="s">
        <v>786</v>
      </c>
      <c r="M161" s="1">
        <v>3</v>
      </c>
      <c r="N161" s="1" t="s">
        <v>787</v>
      </c>
      <c r="O161" s="1" t="str">
        <f ca="1">IFERROR(__xludf.DUMMYFUNCTION("GOOGLETRANSLATE(N161,""pl"",""en"")"),"perpetual usufruct / lease")</f>
        <v>perpetual usufruct / lease</v>
      </c>
      <c r="P161" s="3" t="s">
        <v>788</v>
      </c>
      <c r="Q161" s="1" t="b">
        <v>1</v>
      </c>
      <c r="R161" s="1" t="s">
        <v>789</v>
      </c>
    </row>
    <row r="162" spans="1:18" x14ac:dyDescent="0.25">
      <c r="A162" s="2">
        <v>45308</v>
      </c>
      <c r="B162" s="1" t="s">
        <v>790</v>
      </c>
      <c r="C162" s="1" t="str">
        <f ca="1">IFERROR(__xludf.DUMMYFUNCTION("GOOGLETRANSLATE(B162,""pl"",""en"")"),"For sale 3 rooms in the block on the ground floor")</f>
        <v>For sale 3 rooms in the block on the ground floor</v>
      </c>
      <c r="D162" s="1">
        <v>239000</v>
      </c>
      <c r="E162" s="1" t="s">
        <v>33</v>
      </c>
      <c r="F162" s="1">
        <v>57.47</v>
      </c>
      <c r="G162" s="1" t="s">
        <v>791</v>
      </c>
      <c r="H162" s="1" t="str">
        <f ca="1">IFERROR(__xludf.DUMMYFUNCTION("GOOGLETRANSLATE(G162,""pl"",""en"")"),"Morzyca, Dolice, Stargard, West Pomeranian")</f>
        <v>Morzyca, Dolice, Stargard, West Pomeranian</v>
      </c>
      <c r="I162" s="1" t="b">
        <v>1</v>
      </c>
      <c r="J162" s="1" t="s">
        <v>21</v>
      </c>
      <c r="K162" s="1" t="s">
        <v>22</v>
      </c>
      <c r="L162" s="1" t="s">
        <v>792</v>
      </c>
      <c r="M162" s="1">
        <v>3</v>
      </c>
      <c r="N162" s="1" t="s">
        <v>24</v>
      </c>
      <c r="O162" s="1" t="str">
        <f ca="1">IFERROR(__xludf.DUMMYFUNCTION("GOOGLETRANSLATE(N162,""pl"",""en"")"),"full ownership")</f>
        <v>full ownership</v>
      </c>
      <c r="P162" s="3" t="s">
        <v>793</v>
      </c>
      <c r="Q162" s="1" t="b">
        <v>1</v>
      </c>
      <c r="R162" s="1" t="s">
        <v>794</v>
      </c>
    </row>
    <row r="163" spans="1:18" x14ac:dyDescent="0.25">
      <c r="A163" s="2">
        <v>45308</v>
      </c>
      <c r="B163" s="1" t="s">
        <v>795</v>
      </c>
      <c r="C163" s="1" t="str">
        <f ca="1">IFERROR(__xludf.DUMMYFUNCTION("GOOGLETRANSLATE(B163,""pl"",""en"")"),"A two -room apartment at the UN roundabout")</f>
        <v>A two -room apartment at the UN roundabout</v>
      </c>
      <c r="D163" s="1">
        <v>629000</v>
      </c>
      <c r="E163" s="1" t="s">
        <v>33</v>
      </c>
      <c r="F163" s="1">
        <v>39.5</v>
      </c>
      <c r="G163" s="1" t="s">
        <v>796</v>
      </c>
      <c r="H163" s="1" t="str">
        <f ca="1">IFERROR(__xludf.DUMMYFUNCTION("GOOGLETRANSLATE(G163,""pl"",""en"")"),"al. Aleja Jana Pawła II, Śródmieście North, Śródmieście, Warsaw, Masovian Voivodeship")</f>
        <v>al. Aleja Jana Pawła II, Śródmieście North, Śródmieście, Warsaw, Masovian Voivodeship</v>
      </c>
      <c r="I163" s="1" t="s">
        <v>21</v>
      </c>
      <c r="J163" s="1" t="s">
        <v>21</v>
      </c>
      <c r="K163" s="1" t="s">
        <v>22</v>
      </c>
      <c r="L163" s="1" t="s">
        <v>797</v>
      </c>
      <c r="M163" s="1">
        <v>2</v>
      </c>
      <c r="N163" s="1" t="s">
        <v>85</v>
      </c>
      <c r="O163" s="1" t="str">
        <f ca="1">IFERROR(__xludf.DUMMYFUNCTION("GOOGLETRANSLATE(N163,""pl"",""en"")"),"Cooperative ownership of the right to the premises")</f>
        <v>Cooperative ownership of the right to the premises</v>
      </c>
      <c r="P163" s="3" t="s">
        <v>798</v>
      </c>
      <c r="Q163" s="1" t="b">
        <v>1</v>
      </c>
      <c r="R163" s="1" t="s">
        <v>799</v>
      </c>
    </row>
    <row r="164" spans="1:18" x14ac:dyDescent="0.25">
      <c r="A164" s="2">
        <v>45308</v>
      </c>
      <c r="B164" s="1" t="s">
        <v>800</v>
      </c>
      <c r="C164" s="1" t="str">
        <f ca="1">IFERROR(__xludf.DUMMYFUNCTION("GOOGLETRANSLATE(B164,""pl"",""en"")"),"Attractive two rooms in new construction")</f>
        <v>Attractive two rooms in new construction</v>
      </c>
      <c r="D164" s="1">
        <v>479000</v>
      </c>
      <c r="E164" s="1" t="s">
        <v>33</v>
      </c>
      <c r="F164" s="1">
        <v>56.3</v>
      </c>
      <c r="G164" s="1" t="s">
        <v>801</v>
      </c>
      <c r="H164" s="1" t="str">
        <f ca="1">IFERROR(__xludf.DUMMYFUNCTION("GOOGLETRANSLATE(G164,""pl"",""en"")"),"Kośminek, Lublin, Lublin Voivodeship")</f>
        <v>Kośminek, Lublin, Lublin Voivodeship</v>
      </c>
      <c r="I164" s="1" t="s">
        <v>21</v>
      </c>
      <c r="J164" s="1" t="s">
        <v>21</v>
      </c>
      <c r="K164" s="1" t="s">
        <v>22</v>
      </c>
      <c r="L164" s="1" t="s">
        <v>802</v>
      </c>
      <c r="M164" s="1">
        <v>2</v>
      </c>
      <c r="N164" s="1" t="s">
        <v>24</v>
      </c>
      <c r="O164" s="1" t="str">
        <f ca="1">IFERROR(__xludf.DUMMYFUNCTION("GOOGLETRANSLATE(N164,""pl"",""en"")"),"full ownership")</f>
        <v>full ownership</v>
      </c>
      <c r="P164" s="3" t="s">
        <v>803</v>
      </c>
      <c r="Q164" s="1" t="b">
        <v>1</v>
      </c>
      <c r="R164" s="1" t="s">
        <v>804</v>
      </c>
    </row>
    <row r="165" spans="1:18" x14ac:dyDescent="0.25">
      <c r="A165" s="2">
        <v>45308</v>
      </c>
      <c r="B165" s="1" t="s">
        <v>805</v>
      </c>
      <c r="C165" s="1" t="str">
        <f ca="1">IFERROR(__xludf.DUMMYFUNCTION("GOOGLETRANSLATE(B165,""pl"",""en"")"),"Beautiful, confortable apartment 200m from the sea")</f>
        <v>Beautiful, confortable apartment 200m from the sea</v>
      </c>
      <c r="D165" s="1">
        <v>1277212</v>
      </c>
      <c r="E165" s="1" t="s">
        <v>33</v>
      </c>
      <c r="F165" s="1">
        <v>47.48</v>
      </c>
      <c r="G165" s="1" t="s">
        <v>806</v>
      </c>
      <c r="H165" s="1" t="str">
        <f ca="1">IFERROR(__xludf.DUMMYFUNCTION("GOOGLETRANSLATE(G165,""pl"",""en"")"),"Jastarnia, Jastarnia, Pucki, Pomeranian Voivodeship")</f>
        <v>Jastarnia, Jastarnia, Pucki, Pomeranian Voivodeship</v>
      </c>
      <c r="I165" s="1" t="s">
        <v>21</v>
      </c>
      <c r="J165" s="1" t="s">
        <v>21</v>
      </c>
      <c r="K165" s="1" t="s">
        <v>22</v>
      </c>
      <c r="L165" s="1" t="s">
        <v>807</v>
      </c>
      <c r="M165" s="1">
        <v>3</v>
      </c>
      <c r="N165" s="1" t="s">
        <v>24</v>
      </c>
      <c r="O165" s="1" t="str">
        <f ca="1">IFERROR(__xludf.DUMMYFUNCTION("GOOGLETRANSLATE(N165,""pl"",""en"")"),"full ownership")</f>
        <v>full ownership</v>
      </c>
      <c r="P165" s="3" t="s">
        <v>808</v>
      </c>
      <c r="Q165" s="1" t="b">
        <v>1</v>
      </c>
      <c r="R165" s="1" t="s">
        <v>809</v>
      </c>
    </row>
    <row r="166" spans="1:18" x14ac:dyDescent="0.25">
      <c r="A166" s="2">
        <v>45308</v>
      </c>
      <c r="B166" s="1" t="s">
        <v>810</v>
      </c>
      <c r="C166" s="1" t="str">
        <f ca="1">IFERROR(__xludf.DUMMYFUNCTION("GOOGLETRANSLATE(B166,""pl"",""en"")"),"3 rooms after general renovation, Powiśle")</f>
        <v>3 rooms after general renovation, Powiśle</v>
      </c>
      <c r="D166" s="1">
        <v>820000</v>
      </c>
      <c r="E166" s="1" t="s">
        <v>33</v>
      </c>
      <c r="F166" s="1">
        <v>47</v>
      </c>
      <c r="G166" s="1" t="s">
        <v>811</v>
      </c>
      <c r="H166" s="1" t="str">
        <f ca="1">IFERROR(__xludf.DUMMYFUNCTION("GOOGLETRANSLATE(G166,""pl"",""en"")"),"street. Górnośląska, Powiśle, Śródmieście, Warsaw, Masovian Voivodeship")</f>
        <v>street. Górnośląska, Powiśle, Śródmieście, Warsaw, Masovian Voivodeship</v>
      </c>
      <c r="I166" s="1" t="s">
        <v>21</v>
      </c>
      <c r="J166" s="1" t="s">
        <v>21</v>
      </c>
      <c r="K166" s="1" t="s">
        <v>22</v>
      </c>
      <c r="L166" s="1" t="s">
        <v>812</v>
      </c>
      <c r="M166" s="1">
        <v>3</v>
      </c>
      <c r="N166" s="1" t="s">
        <v>24</v>
      </c>
      <c r="O166" s="1" t="str">
        <f ca="1">IFERROR(__xludf.DUMMYFUNCTION("GOOGLETRANSLATE(N166,""pl"",""en"")"),"full ownership")</f>
        <v>full ownership</v>
      </c>
      <c r="P166" s="3" t="s">
        <v>813</v>
      </c>
      <c r="Q166" s="1" t="b">
        <v>1</v>
      </c>
      <c r="R166" s="1" t="s">
        <v>814</v>
      </c>
    </row>
    <row r="167" spans="1:18" x14ac:dyDescent="0.25">
      <c r="A167" s="2">
        <v>45308</v>
      </c>
      <c r="B167" s="1" t="s">
        <v>815</v>
      </c>
      <c r="C167" s="1" t="str">
        <f ca="1">IFERROR(__xludf.DUMMYFUNCTION("GOOGLETRANSLATE(B167,""pl"",""en"")"),"Wiślany Mokotów 2 rooms New")</f>
        <v>Wiślany Mokotów 2 rooms New</v>
      </c>
      <c r="D167" s="1">
        <v>849000</v>
      </c>
      <c r="E167" s="1" t="s">
        <v>33</v>
      </c>
      <c r="F167" s="1">
        <v>37.729999999999997</v>
      </c>
      <c r="G167" s="1" t="s">
        <v>816</v>
      </c>
      <c r="H167" s="1" t="str">
        <f ca="1">IFERROR(__xludf.DUMMYFUNCTION("GOOGLETRANSLATE(G167,""pl"",""en"")"),"Siekierki, Mokotów, Warsaw, Masovian Voivodeship")</f>
        <v>Siekierki, Mokotów, Warsaw, Masovian Voivodeship</v>
      </c>
      <c r="I167" s="1" t="s">
        <v>21</v>
      </c>
      <c r="J167" s="1" t="s">
        <v>21</v>
      </c>
      <c r="K167" s="1" t="s">
        <v>22</v>
      </c>
      <c r="L167" s="1" t="s">
        <v>817</v>
      </c>
      <c r="M167" s="1">
        <v>2</v>
      </c>
      <c r="N167" s="1" t="s">
        <v>24</v>
      </c>
      <c r="O167" s="1" t="str">
        <f ca="1">IFERROR(__xludf.DUMMYFUNCTION("GOOGLETRANSLATE(N167,""pl"",""en"")"),"full ownership")</f>
        <v>full ownership</v>
      </c>
      <c r="P167" s="3" t="s">
        <v>818</v>
      </c>
      <c r="Q167" s="1" t="b">
        <v>1</v>
      </c>
      <c r="R167" s="1" t="s">
        <v>819</v>
      </c>
    </row>
    <row r="168" spans="1:18" x14ac:dyDescent="0.25">
      <c r="A168" s="2">
        <v>45308</v>
      </c>
      <c r="B168" s="1" t="s">
        <v>820</v>
      </c>
      <c r="C168" s="1" t="str">
        <f ca="1">IFERROR(__xludf.DUMMYFUNCTION("GOOGLETRANSLATE(B168,""pl"",""en"")"),"Promotion Corner M3 | Receive the keys today!")</f>
        <v>Promotion Corner M3 | Receive the keys today!</v>
      </c>
      <c r="D168" s="1">
        <v>699000</v>
      </c>
      <c r="E168" s="1" t="s">
        <v>19</v>
      </c>
      <c r="F168" s="1">
        <v>59.81</v>
      </c>
      <c r="G168" s="1" t="s">
        <v>821</v>
      </c>
      <c r="H168" s="1" t="str">
        <f ca="1">IFERROR(__xludf.DUMMYFUNCTION("GOOGLETRANSLATE(G168,""pl"",""en"")"),"Zawidawa, Psie Pole, Wrocław, DolnoSilesian Voivodeship")</f>
        <v>Zawidawa, Psie Pole, Wrocław, DolnoSilesian Voivodeship</v>
      </c>
      <c r="I168" s="1" t="b">
        <v>1</v>
      </c>
      <c r="J168" s="1" t="s">
        <v>21</v>
      </c>
      <c r="K168" s="1" t="s">
        <v>22</v>
      </c>
      <c r="L168" s="1" t="s">
        <v>822</v>
      </c>
      <c r="M168" s="1">
        <v>3</v>
      </c>
      <c r="N168" s="1" t="s">
        <v>24</v>
      </c>
      <c r="O168" s="1" t="str">
        <f ca="1">IFERROR(__xludf.DUMMYFUNCTION("GOOGLETRANSLATE(N168,""pl"",""en"")"),"full ownership")</f>
        <v>full ownership</v>
      </c>
      <c r="P168" s="3" t="s">
        <v>823</v>
      </c>
      <c r="Q168" s="1" t="b">
        <v>1</v>
      </c>
      <c r="R168" s="1" t="s">
        <v>824</v>
      </c>
    </row>
    <row r="169" spans="1:18" x14ac:dyDescent="0.25">
      <c r="A169" s="2">
        <v>45308</v>
      </c>
      <c r="B169" s="1" t="s">
        <v>825</v>
      </c>
      <c r="C169" s="1" t="str">
        <f ca="1">IFERROR(__xludf.DUMMYFUNCTION("GOOGLETRANSLATE(B169,""pl"",""en"")"),"For sale a floor of a house in Tarnów Podgórny")</f>
        <v>For sale a floor of a house in Tarnów Podgórny</v>
      </c>
      <c r="D169" s="1">
        <v>980000</v>
      </c>
      <c r="E169" s="1" t="s">
        <v>33</v>
      </c>
      <c r="F169" s="1">
        <v>83.3</v>
      </c>
      <c r="G169" s="1" t="s">
        <v>4721</v>
      </c>
      <c r="H169" s="1" t="str">
        <f ca="1">IFERROR(__xludf.DUMMYFUNCTION("GOOGLETRANSLATE(G169,""pl"",""en"")"),"Tarnowo Podgórne, Tarnowo Podgórne, Poznań, Greater Poland")</f>
        <v>Tarnowo Podgórne, Tarnowo Podgórne, Poznań, Greater Poland</v>
      </c>
      <c r="I169" s="1" t="b">
        <v>1</v>
      </c>
      <c r="J169" s="1" t="s">
        <v>21</v>
      </c>
      <c r="K169" s="1" t="s">
        <v>22</v>
      </c>
      <c r="L169" s="1" t="s">
        <v>826</v>
      </c>
      <c r="M169" s="1">
        <v>3</v>
      </c>
      <c r="N169" s="1" t="s">
        <v>24</v>
      </c>
      <c r="O169" s="1" t="str">
        <f ca="1">IFERROR(__xludf.DUMMYFUNCTION("GOOGLETRANSLATE(N169,""pl"",""en"")"),"full ownership")</f>
        <v>full ownership</v>
      </c>
      <c r="P169" s="3" t="s">
        <v>827</v>
      </c>
      <c r="Q169" s="1" t="b">
        <v>1</v>
      </c>
      <c r="R169" s="1" t="s">
        <v>828</v>
      </c>
    </row>
    <row r="170" spans="1:18" x14ac:dyDescent="0.25">
      <c r="A170" s="2">
        <v>45308</v>
      </c>
      <c r="B170" s="1" t="s">
        <v>829</v>
      </c>
      <c r="C170" s="1" t="str">
        <f ca="1">IFERROR(__xludf.DUMMYFUNCTION("GOOGLETRANSLATE(B170,""pl"",""en"")"),"Apartment, 4 rooms, great timetable")</f>
        <v>Apartment, 4 rooms, great timetable</v>
      </c>
      <c r="D170" s="1">
        <v>449000</v>
      </c>
      <c r="E170" s="1" t="s">
        <v>19</v>
      </c>
      <c r="F170" s="1">
        <v>65.680000000000007</v>
      </c>
      <c r="G170" s="1" t="s">
        <v>4718</v>
      </c>
      <c r="H170" s="1" t="str">
        <f ca="1">IFERROR(__xludf.DUMMYFUNCTION("GOOGLETRANSLATE(G170,""pl"",""en"")"),"Szczytniki, Kórnik, Poznań, Greater Poland")</f>
        <v>Szczytniki, Kórnik, Poznań, Greater Poland</v>
      </c>
      <c r="I170" s="1" t="b">
        <v>1</v>
      </c>
      <c r="J170" s="1" t="s">
        <v>21</v>
      </c>
      <c r="K170" s="1" t="s">
        <v>22</v>
      </c>
      <c r="L170" s="1" t="s">
        <v>830</v>
      </c>
      <c r="M170" s="1">
        <v>4</v>
      </c>
      <c r="N170" s="1" t="s">
        <v>21</v>
      </c>
      <c r="O170" s="1" t="str">
        <f ca="1">IFERROR(__xludf.DUMMYFUNCTION("GOOGLETRANSLATE(N170,""pl"",""en"")"),"null")</f>
        <v>null</v>
      </c>
      <c r="P170" s="3" t="s">
        <v>831</v>
      </c>
      <c r="Q170" s="1" t="b">
        <v>1</v>
      </c>
      <c r="R170" s="1" t="s">
        <v>832</v>
      </c>
    </row>
    <row r="171" spans="1:18" x14ac:dyDescent="0.25">
      <c r="A171" s="2">
        <v>45308</v>
      </c>
      <c r="B171" s="1" t="s">
        <v>833</v>
      </c>
      <c r="C171" s="1" t="str">
        <f ca="1">IFERROR(__xludf.DUMMYFUNCTION("GOOGLETRANSLATE(B171,""pl"",""en"")"),"Apartment at the forum")</f>
        <v>Apartment at the forum</v>
      </c>
      <c r="D171" s="1">
        <v>1469000</v>
      </c>
      <c r="E171" s="1" t="s">
        <v>19</v>
      </c>
      <c r="F171" s="1">
        <v>90.37</v>
      </c>
      <c r="G171" s="1" t="s">
        <v>4722</v>
      </c>
      <c r="H171" s="1" t="str">
        <f ca="1">IFERROR(__xludf.DUMMYFUNCTION("GOOGLETRANSLATE(G171,""pl"",""en"")"),"Ludwinów, Dębniki, Kraków, Lesser Poland")</f>
        <v>Ludwinów, Dębniki, Kraków, Lesser Poland</v>
      </c>
      <c r="I171" s="1" t="s">
        <v>21</v>
      </c>
      <c r="J171" s="1" t="s">
        <v>21</v>
      </c>
      <c r="K171" s="1" t="s">
        <v>22</v>
      </c>
      <c r="L171" s="1" t="s">
        <v>834</v>
      </c>
      <c r="M171" s="1">
        <v>3</v>
      </c>
      <c r="N171" s="1" t="s">
        <v>24</v>
      </c>
      <c r="O171" s="1" t="str">
        <f ca="1">IFERROR(__xludf.DUMMYFUNCTION("GOOGLETRANSLATE(N171,""pl"",""en"")"),"full ownership")</f>
        <v>full ownership</v>
      </c>
      <c r="P171" s="3" t="s">
        <v>835</v>
      </c>
      <c r="Q171" s="1" t="b">
        <v>1</v>
      </c>
      <c r="R171" s="1" t="s">
        <v>836</v>
      </c>
    </row>
    <row r="172" spans="1:18" x14ac:dyDescent="0.25">
      <c r="A172" s="2">
        <v>45308</v>
      </c>
      <c r="B172" s="1" t="s">
        <v>837</v>
      </c>
      <c r="C172" s="1" t="str">
        <f ca="1">IFERROR(__xludf.DUMMYFUNCTION("GOOGLETRANSLATE(B172,""pl"",""en"")"),"Poniatowski, comfortable 3 room with loggia")</f>
        <v>Poniatowski, comfortable 3 room with loggia</v>
      </c>
      <c r="D172" s="1">
        <v>410000</v>
      </c>
      <c r="E172" s="1" t="s">
        <v>33</v>
      </c>
      <c r="F172" s="1">
        <v>58</v>
      </c>
      <c r="G172" s="1" t="s">
        <v>838</v>
      </c>
      <c r="H172" s="1" t="str">
        <f ca="1">IFERROR(__xludf.DUMMYFUNCTION("GOOGLETRANSLATE(G172,""pl"",""en"")"),"Pilchów, Zaleszany, Stalowolski, Podkarpackie")</f>
        <v>Pilchów, Zaleszany, Stalowolski, Podkarpackie</v>
      </c>
      <c r="I172" s="1" t="s">
        <v>21</v>
      </c>
      <c r="J172" s="1" t="s">
        <v>21</v>
      </c>
      <c r="K172" s="1" t="s">
        <v>22</v>
      </c>
      <c r="L172" s="1" t="s">
        <v>839</v>
      </c>
      <c r="M172" s="1">
        <v>3</v>
      </c>
      <c r="N172" s="1" t="s">
        <v>85</v>
      </c>
      <c r="O172" s="1" t="str">
        <f ca="1">IFERROR(__xludf.DUMMYFUNCTION("GOOGLETRANSLATE(N172,""pl"",""en"")"),"Cooperative ownership of the right to the premises")</f>
        <v>Cooperative ownership of the right to the premises</v>
      </c>
      <c r="P172" s="3" t="s">
        <v>840</v>
      </c>
      <c r="Q172" s="1" t="b">
        <v>1</v>
      </c>
      <c r="R172" s="1" t="s">
        <v>841</v>
      </c>
    </row>
    <row r="173" spans="1:18" x14ac:dyDescent="0.25">
      <c r="A173" s="2">
        <v>45308</v>
      </c>
      <c r="B173" s="1" t="s">
        <v>842</v>
      </c>
      <c r="C173" s="1" t="str">
        <f ca="1">IFERROR(__xludf.DUMMYFUNCTION("GOOGLETRANSLATE(B173,""pl"",""en"")"),"80 m2 apartment, soothing views")</f>
        <v>80 m2 apartment, soothing views</v>
      </c>
      <c r="D173" s="1">
        <v>369000</v>
      </c>
      <c r="E173" s="1" t="s">
        <v>33</v>
      </c>
      <c r="F173" s="1">
        <v>80</v>
      </c>
      <c r="G173" s="1" t="s">
        <v>4723</v>
      </c>
      <c r="H173" s="1" t="str">
        <f ca="1">IFERROR(__xludf.DUMMYFUNCTION("GOOGLETRANSLATE(G173,""pl"",""en"")"),"street. Osiedlowa, Nochowo, Śrem, Śremski, Greater Poland")</f>
        <v>street. Osiedlowa, Nochowo, Śrem, Śremski, Greater Poland</v>
      </c>
      <c r="I173" s="1" t="s">
        <v>21</v>
      </c>
      <c r="J173" s="1" t="s">
        <v>21</v>
      </c>
      <c r="K173" s="1" t="s">
        <v>22</v>
      </c>
      <c r="L173" s="1" t="s">
        <v>843</v>
      </c>
      <c r="M173" s="1">
        <v>4</v>
      </c>
      <c r="N173" s="1" t="s">
        <v>24</v>
      </c>
      <c r="O173" s="1" t="str">
        <f ca="1">IFERROR(__xludf.DUMMYFUNCTION("GOOGLETRANSLATE(N173,""pl"",""en"")"),"full ownership")</f>
        <v>full ownership</v>
      </c>
      <c r="P173" s="3" t="s">
        <v>844</v>
      </c>
      <c r="Q173" s="1" t="b">
        <v>1</v>
      </c>
      <c r="R173" s="1" t="s">
        <v>845</v>
      </c>
    </row>
    <row r="174" spans="1:18" x14ac:dyDescent="0.25">
      <c r="A174" s="2">
        <v>45308</v>
      </c>
      <c r="B174" s="1" t="s">
        <v>846</v>
      </c>
      <c r="C174" s="1" t="str">
        <f ca="1">IFERROR(__xludf.DUMMYFUNCTION("GOOGLETRANSLATE(B174,""pl"",""en"")"),"Piast apartments Sold A02")</f>
        <v>Piast apartments Sold A02</v>
      </c>
      <c r="D174" s="1">
        <v>353276</v>
      </c>
      <c r="E174" s="1" t="s">
        <v>19</v>
      </c>
      <c r="F174" s="1">
        <v>47.74</v>
      </c>
      <c r="G174" s="1" t="s">
        <v>847</v>
      </c>
      <c r="H174" s="1" t="str">
        <f ca="1">IFERROR(__xludf.DUMMYFUNCTION("GOOGLETRANSLATE(G174,""pl"",""en"")"),"street. Queen Jadwiga, Lubań, Lubański, Lower Silesia")</f>
        <v>street. Queen Jadwiga, Lubań, Lubański, Lower Silesia</v>
      </c>
      <c r="I174" s="1" t="s">
        <v>21</v>
      </c>
      <c r="J174" s="1" t="s">
        <v>21</v>
      </c>
      <c r="K174" s="1" t="s">
        <v>194</v>
      </c>
      <c r="L174" s="1" t="s">
        <v>848</v>
      </c>
      <c r="M174" s="1">
        <v>2</v>
      </c>
      <c r="N174" s="1" t="s">
        <v>24</v>
      </c>
      <c r="O174" s="1" t="str">
        <f ca="1">IFERROR(__xludf.DUMMYFUNCTION("GOOGLETRANSLATE(N174,""pl"",""en"")"),"full ownership")</f>
        <v>full ownership</v>
      </c>
      <c r="P174" s="3" t="s">
        <v>849</v>
      </c>
      <c r="Q174" s="1" t="b">
        <v>1</v>
      </c>
      <c r="R174" s="1" t="s">
        <v>850</v>
      </c>
    </row>
    <row r="175" spans="1:18" x14ac:dyDescent="0.25">
      <c r="A175" s="2">
        <v>45308</v>
      </c>
      <c r="B175" s="1" t="s">
        <v>851</v>
      </c>
      <c r="C175" s="1" t="str">
        <f ca="1">IFERROR(__xludf.DUMMYFUNCTION("GOOGLETRANSLATE(B175,""pl"",""en"")"),"A new corner apartment in the town of Ożarów")</f>
        <v>A new corner apartment in the town of Ożarów</v>
      </c>
      <c r="D175" s="1">
        <v>719000</v>
      </c>
      <c r="E175" s="1" t="s">
        <v>33</v>
      </c>
      <c r="F175" s="1">
        <v>63</v>
      </c>
      <c r="G175" s="1" t="s">
        <v>852</v>
      </c>
      <c r="H175" s="1" t="str">
        <f ca="1">IFERROR(__xludf.DUMMYFUNCTION("GOOGLETRANSLATE(G175,""pl"",""en"")"),"Engineering, Ożarów Mazowiecki, Ożarów Mazowiecki, Warsaw West, Masovian Voivodeship")</f>
        <v>Engineering, Ożarów Mazowiecki, Ożarów Mazowiecki, Warsaw West, Masovian Voivodeship</v>
      </c>
      <c r="I175" s="1" t="s">
        <v>21</v>
      </c>
      <c r="J175" s="1" t="s">
        <v>21</v>
      </c>
      <c r="K175" s="1" t="s">
        <v>22</v>
      </c>
      <c r="L175" s="1" t="s">
        <v>853</v>
      </c>
      <c r="M175" s="1">
        <v>3</v>
      </c>
      <c r="N175" s="1" t="s">
        <v>24</v>
      </c>
      <c r="O175" s="1" t="str">
        <f ca="1">IFERROR(__xludf.DUMMYFUNCTION("GOOGLETRANSLATE(N175,""pl"",""en"")"),"full ownership")</f>
        <v>full ownership</v>
      </c>
      <c r="P175" s="3" t="s">
        <v>854</v>
      </c>
      <c r="Q175" s="1" t="b">
        <v>1</v>
      </c>
      <c r="R175" s="1" t="s">
        <v>855</v>
      </c>
    </row>
    <row r="176" spans="1:18" x14ac:dyDescent="0.25">
      <c r="A176" s="2">
        <v>45308</v>
      </c>
      <c r="B176" s="1" t="s">
        <v>856</v>
      </c>
      <c r="C176" s="1" t="str">
        <f ca="1">IFERROR(__xludf.DUMMYFUNCTION("GOOGLETRANSLATE(B176,""pl"",""en"")"),"Apartment 3 rooms, garden, 2 parking spaces")</f>
        <v>Apartment 3 rooms, garden, 2 parking spaces</v>
      </c>
      <c r="D176" s="1">
        <v>650000</v>
      </c>
      <c r="E176" s="1" t="s">
        <v>33</v>
      </c>
      <c r="F176" s="1">
        <v>55.23</v>
      </c>
      <c r="G176" s="1" t="s">
        <v>857</v>
      </c>
      <c r="H176" s="1" t="str">
        <f ca="1">IFERROR(__xludf.DUMMYFUNCTION("GOOGLETRANSLATE(G176,""pl"",""en"")"),"street. Ignacy Mościckiego 3, Pruszcz Gdański, Gdański, Pomeranian")</f>
        <v>street. Ignacy Mościckiego 3, Pruszcz Gdański, Gdański, Pomeranian</v>
      </c>
      <c r="I176" s="1" t="s">
        <v>21</v>
      </c>
      <c r="J176" s="1" t="s">
        <v>21</v>
      </c>
      <c r="K176" s="1" t="s">
        <v>22</v>
      </c>
      <c r="L176" s="1" t="s">
        <v>858</v>
      </c>
      <c r="M176" s="1">
        <v>3</v>
      </c>
      <c r="N176" s="1" t="s">
        <v>24</v>
      </c>
      <c r="O176" s="1" t="str">
        <f ca="1">IFERROR(__xludf.DUMMYFUNCTION("GOOGLETRANSLATE(N176,""pl"",""en"")"),"full ownership")</f>
        <v>full ownership</v>
      </c>
      <c r="P176" s="3" t="s">
        <v>859</v>
      </c>
      <c r="Q176" s="1" t="b">
        <v>1</v>
      </c>
      <c r="R176" s="1" t="s">
        <v>860</v>
      </c>
    </row>
    <row r="177" spans="1:18" x14ac:dyDescent="0.25">
      <c r="A177" s="2">
        <v>45308</v>
      </c>
      <c r="B177" s="1" t="s">
        <v>861</v>
      </c>
      <c r="C177" s="1" t="str">
        <f ca="1">IFERROR(__xludf.DUMMYFUNCTION("GOOGLETRANSLATE(B177,""pl"",""en"")"),"Apartment 2 rooms, a bamber court estate")</f>
        <v>Apartment 2 rooms, a bamber court estate</v>
      </c>
      <c r="D177" s="1">
        <v>640000</v>
      </c>
      <c r="E177" s="1" t="s">
        <v>33</v>
      </c>
      <c r="F177" s="1">
        <v>45.3</v>
      </c>
      <c r="G177" s="1" t="s">
        <v>4724</v>
      </c>
      <c r="H177" s="1" t="str">
        <f ca="1">IFERROR(__xludf.DUMMYFUNCTION("GOOGLETRANSLATE(G177,""pl"",""en"")"),"street. Kościelna, Jeżyce, Jeżyce, Poznań, Greater Poland")</f>
        <v>street. Kościelna, Jeżyce, Jeżyce, Poznań, Greater Poland</v>
      </c>
      <c r="I177" s="1" t="s">
        <v>21</v>
      </c>
      <c r="J177" s="1" t="s">
        <v>21</v>
      </c>
      <c r="K177" s="1" t="s">
        <v>45</v>
      </c>
      <c r="L177" s="1" t="s">
        <v>862</v>
      </c>
      <c r="M177" s="1">
        <v>2</v>
      </c>
      <c r="N177" s="1" t="s">
        <v>24</v>
      </c>
      <c r="O177" s="1" t="str">
        <f ca="1">IFERROR(__xludf.DUMMYFUNCTION("GOOGLETRANSLATE(N177,""pl"",""en"")"),"full ownership")</f>
        <v>full ownership</v>
      </c>
      <c r="P177" s="3" t="s">
        <v>863</v>
      </c>
      <c r="Q177" s="1" t="b">
        <v>1</v>
      </c>
      <c r="R177" s="1" t="s">
        <v>864</v>
      </c>
    </row>
    <row r="178" spans="1:18" x14ac:dyDescent="0.25">
      <c r="A178" s="2">
        <v>45308</v>
      </c>
      <c r="B178" s="1" t="s">
        <v>865</v>
      </c>
      <c r="C178" s="1" t="str">
        <f ca="1">IFERROR(__xludf.DUMMYFUNCTION("GOOGLETRANSLATE(B178,""pl"",""en"")"),"New 4 rooms + terrace High standard Special offer")</f>
        <v>New 4 rooms + terrace High standard Special offer</v>
      </c>
      <c r="D178" s="1">
        <v>542263</v>
      </c>
      <c r="E178" s="1" t="s">
        <v>19</v>
      </c>
      <c r="F178" s="1">
        <v>59.07</v>
      </c>
      <c r="G178" s="1" t="s">
        <v>282</v>
      </c>
      <c r="H178" s="1" t="str">
        <f ca="1">IFERROR(__xludf.DUMMYFUNCTION("GOOGLETRANSLATE(G178,""pl"",""en"")"),"Orunia Górna - Gdańsk Południe, Gdańsk, Pomeranian Voivodeship")</f>
        <v>Orunia Górna - Gdańsk Południe, Gdańsk, Pomeranian Voivodeship</v>
      </c>
      <c r="I178" s="1" t="s">
        <v>21</v>
      </c>
      <c r="J178" s="1" t="s">
        <v>21</v>
      </c>
      <c r="K178" s="1" t="s">
        <v>22</v>
      </c>
      <c r="L178" s="1" t="s">
        <v>866</v>
      </c>
      <c r="M178" s="1">
        <v>4</v>
      </c>
      <c r="N178" s="1" t="s">
        <v>24</v>
      </c>
      <c r="O178" s="1" t="str">
        <f ca="1">IFERROR(__xludf.DUMMYFUNCTION("GOOGLETRANSLATE(N178,""pl"",""en"")"),"full ownership")</f>
        <v>full ownership</v>
      </c>
      <c r="P178" s="3" t="s">
        <v>867</v>
      </c>
      <c r="Q178" s="1" t="b">
        <v>1</v>
      </c>
      <c r="R178" s="1" t="s">
        <v>868</v>
      </c>
    </row>
    <row r="179" spans="1:18" x14ac:dyDescent="0.25">
      <c r="A179" s="2">
        <v>45308</v>
      </c>
      <c r="B179" s="1" t="s">
        <v>869</v>
      </c>
      <c r="C179" s="1" t="str">
        <f ca="1">IFERROR(__xludf.DUMMYFUNCTION("GOOGLETRANSLATE(B179,""pl"",""en"")"),"3pok apartment. 54m2 os.bóczyn")</f>
        <v>3pok apartment. 54m2 os.bóczyn</v>
      </c>
      <c r="D179" s="1">
        <v>387000</v>
      </c>
      <c r="E179" s="1" t="s">
        <v>33</v>
      </c>
      <c r="F179" s="1">
        <v>53.61</v>
      </c>
      <c r="G179" s="1" t="s">
        <v>4841</v>
      </c>
      <c r="H179" s="1" t="str">
        <f ca="1">IFERROR(__xludf.DUMMYFUNCTION("GOOGLETRANSLATE(G179,""pl"",""en"")"),"Gorzów Wielkopolski, Lubusz Voivodeship")</f>
        <v>Gorzów Wielkopolski, Lubusz Voivodeship</v>
      </c>
      <c r="I179" s="1" t="s">
        <v>21</v>
      </c>
      <c r="J179" s="1" t="s">
        <v>21</v>
      </c>
      <c r="K179" s="1" t="s">
        <v>22</v>
      </c>
      <c r="L179" s="1" t="s">
        <v>870</v>
      </c>
      <c r="M179" s="1">
        <v>3</v>
      </c>
      <c r="N179" s="1" t="s">
        <v>24</v>
      </c>
      <c r="O179" s="1" t="str">
        <f ca="1">IFERROR(__xludf.DUMMYFUNCTION("GOOGLETRANSLATE(N179,""pl"",""en"")"),"full ownership")</f>
        <v>full ownership</v>
      </c>
      <c r="P179" s="3" t="s">
        <v>871</v>
      </c>
      <c r="Q179" s="1" t="b">
        <v>1</v>
      </c>
      <c r="R179" s="1" t="s">
        <v>872</v>
      </c>
    </row>
    <row r="180" spans="1:18" x14ac:dyDescent="0.25">
      <c r="A180" s="2">
        <v>45308</v>
      </c>
      <c r="B180" s="1" t="s">
        <v>873</v>
      </c>
      <c r="C180" s="1" t="str">
        <f ca="1">IFERROR(__xludf.DUMMYFUNCTION("GOOGLETRANSLATE(B180,""pl"",""en"")"),"2 rooms for pickup!-Centrum-Wrocław")</f>
        <v>2 rooms for pickup!-Centrum-Wrocław</v>
      </c>
      <c r="D180" s="1">
        <v>659000</v>
      </c>
      <c r="E180" s="1" t="s">
        <v>19</v>
      </c>
      <c r="F180" s="1">
        <v>37</v>
      </c>
      <c r="G180" s="1" t="s">
        <v>874</v>
      </c>
      <c r="H180" s="1" t="str">
        <f ca="1">IFERROR(__xludf.DUMMYFUNCTION("GOOGLETRANSLATE(G180,""pl"",""en"")"),"street. Gniezno, Szczepin, Old Town, Wrocław, DolnoSilesian Voivodeship")</f>
        <v>street. Gniezno, Szczepin, Old Town, Wrocław, DolnoSilesian Voivodeship</v>
      </c>
      <c r="I180" s="1" t="s">
        <v>21</v>
      </c>
      <c r="J180" s="1" t="s">
        <v>21</v>
      </c>
      <c r="K180" s="1" t="s">
        <v>22</v>
      </c>
      <c r="L180" s="1" t="s">
        <v>875</v>
      </c>
      <c r="M180" s="1">
        <v>2</v>
      </c>
      <c r="N180" s="1" t="s">
        <v>24</v>
      </c>
      <c r="O180" s="1" t="str">
        <f ca="1">IFERROR(__xludf.DUMMYFUNCTION("GOOGLETRANSLATE(N180,""pl"",""en"")"),"full ownership")</f>
        <v>full ownership</v>
      </c>
      <c r="P180" s="3" t="s">
        <v>876</v>
      </c>
      <c r="Q180" s="1" t="b">
        <v>1</v>
      </c>
      <c r="R180" s="1" t="s">
        <v>877</v>
      </c>
    </row>
    <row r="181" spans="1:18" x14ac:dyDescent="0.25">
      <c r="A181" s="2">
        <v>45308</v>
      </c>
      <c r="B181" s="1" t="s">
        <v>878</v>
      </c>
      <c r="C181" s="1" t="str">
        <f ca="1">IFERROR(__xludf.DUMMYFUNCTION("GOOGLETRANSLATE(B181,""pl"",""en"")"),"Jaworzno Pieczyska single -family house for sale")</f>
        <v>Jaworzno Pieczyska single -family house for sale</v>
      </c>
      <c r="D181" s="1">
        <v>450000</v>
      </c>
      <c r="E181" s="1" t="s">
        <v>33</v>
      </c>
      <c r="F181" s="1">
        <v>70</v>
      </c>
      <c r="G181" s="1" t="s">
        <v>879</v>
      </c>
      <c r="H181" s="1" t="str">
        <f ca="1">IFERROR(__xludf.DUMMYFUNCTION("GOOGLETRANSLATE(G181,""pl"",""en"")"),"Jaworzno, Silesian Voivodeship")</f>
        <v>Jaworzno, Silesian Voivodeship</v>
      </c>
      <c r="I181" s="1" t="b">
        <v>1</v>
      </c>
      <c r="J181" s="1" t="s">
        <v>21</v>
      </c>
      <c r="K181" s="1" t="s">
        <v>45</v>
      </c>
      <c r="L181" s="1" t="s">
        <v>880</v>
      </c>
      <c r="M181" s="1">
        <v>3</v>
      </c>
      <c r="N181" s="1" t="s">
        <v>21</v>
      </c>
      <c r="O181" s="1" t="str">
        <f ca="1">IFERROR(__xludf.DUMMYFUNCTION("GOOGLETRANSLATE(N181,""pl"",""en"")"),"null")</f>
        <v>null</v>
      </c>
      <c r="P181" s="3" t="s">
        <v>881</v>
      </c>
      <c r="Q181" s="1" t="b">
        <v>1</v>
      </c>
      <c r="R181" s="1" t="s">
        <v>882</v>
      </c>
    </row>
    <row r="182" spans="1:18" x14ac:dyDescent="0.25">
      <c r="A182" s="2">
        <v>45308</v>
      </c>
      <c r="B182" s="1" t="s">
        <v>883</v>
      </c>
      <c r="C182" s="1" t="str">
        <f ca="1">IFERROR(__xludf.DUMMYFUNCTION("GOOGLETRANSLATE(B182,""pl"",""en"")"),"Studio apartment with an area 26.38m2 ul. Long!")</f>
        <v>Studio apartment with an area 26.38m2 ul. Long!</v>
      </c>
      <c r="D182" s="1">
        <v>175000</v>
      </c>
      <c r="E182" s="1" t="s">
        <v>33</v>
      </c>
      <c r="F182" s="1">
        <v>26.38</v>
      </c>
      <c r="G182" s="1" t="s">
        <v>388</v>
      </c>
      <c r="H182" s="1" t="str">
        <f ca="1">IFERROR(__xludf.DUMMYFUNCTION("GOOGLETRANSLATE(G182,""pl"",""en"")"),"Tomaszów Mazowiecki, Tomaszowski, Łódź")</f>
        <v>Tomaszów Mazowiecki, Tomaszowski, Łódź</v>
      </c>
      <c r="I182" s="1" t="s">
        <v>21</v>
      </c>
      <c r="J182" s="1" t="s">
        <v>21</v>
      </c>
      <c r="K182" s="1" t="s">
        <v>22</v>
      </c>
      <c r="L182" s="1" t="s">
        <v>884</v>
      </c>
      <c r="M182" s="1">
        <v>1</v>
      </c>
      <c r="N182" s="1" t="s">
        <v>24</v>
      </c>
      <c r="O182" s="1" t="str">
        <f ca="1">IFERROR(__xludf.DUMMYFUNCTION("GOOGLETRANSLATE(N182,""pl"",""en"")"),"full ownership")</f>
        <v>full ownership</v>
      </c>
      <c r="P182" s="3" t="s">
        <v>885</v>
      </c>
      <c r="Q182" s="1" t="b">
        <v>1</v>
      </c>
      <c r="R182" s="1" t="s">
        <v>886</v>
      </c>
    </row>
    <row r="183" spans="1:18" x14ac:dyDescent="0.25">
      <c r="A183" s="2">
        <v>45308</v>
      </c>
      <c r="B183" s="1" t="s">
        <v>887</v>
      </c>
      <c r="C183" s="1" t="str">
        <f ca="1">IFERROR(__xludf.DUMMYFUNCTION("GOOGLETRANSLATE(B183,""pl"",""en"")"),"Reservation*3 rooms*balcony*great investment")</f>
        <v>Reservation*3 rooms*balcony*great investment</v>
      </c>
      <c r="D183" s="1">
        <v>589000</v>
      </c>
      <c r="E183" s="1" t="s">
        <v>33</v>
      </c>
      <c r="F183" s="1">
        <v>59.41</v>
      </c>
      <c r="G183" s="1" t="s">
        <v>888</v>
      </c>
      <c r="H183" s="1" t="str">
        <f ca="1">IFERROR(__xludf.DUMMYFUNCTION("GOOGLETRANSLATE(G183,""pl"",""en"")"),"street. Obornicka, Różanka, Psie Pole, Wrocław, DolnoSilesian Voivodeship")</f>
        <v>street. Obornicka, Różanka, Psie Pole, Wrocław, DolnoSilesian Voivodeship</v>
      </c>
      <c r="I183" s="1" t="s">
        <v>21</v>
      </c>
      <c r="J183" s="1" t="s">
        <v>21</v>
      </c>
      <c r="K183" s="1" t="s">
        <v>22</v>
      </c>
      <c r="L183" s="1" t="s">
        <v>889</v>
      </c>
      <c r="M183" s="1">
        <v>3</v>
      </c>
      <c r="N183" s="1" t="s">
        <v>24</v>
      </c>
      <c r="O183" s="1" t="str">
        <f ca="1">IFERROR(__xludf.DUMMYFUNCTION("GOOGLETRANSLATE(N183,""pl"",""en"")"),"full ownership")</f>
        <v>full ownership</v>
      </c>
      <c r="P183" s="3" t="s">
        <v>890</v>
      </c>
      <c r="Q183" s="1" t="b">
        <v>1</v>
      </c>
      <c r="R183" s="1" t="s">
        <v>891</v>
      </c>
    </row>
    <row r="184" spans="1:18" x14ac:dyDescent="0.25">
      <c r="A184" s="2">
        <v>45308</v>
      </c>
      <c r="B184" s="1" t="s">
        <v>892</v>
      </c>
      <c r="C184" s="1" t="str">
        <f ca="1">IFERROR(__xludf.DUMMYFUNCTION("GOOGLETRANSLATE(B184,""pl"",""en"")"),"3-room apartment + 2 garages + basement")</f>
        <v>3-room apartment + 2 garages + basement</v>
      </c>
      <c r="D184" s="1">
        <v>280000</v>
      </c>
      <c r="E184" s="1" t="s">
        <v>33</v>
      </c>
      <c r="F184" s="1">
        <v>73.400000000000006</v>
      </c>
      <c r="G184" s="1" t="s">
        <v>893</v>
      </c>
      <c r="H184" s="1" t="str">
        <f ca="1">IFERROR(__xludf.DUMMYFUNCTION("GOOGLETRANSLATE(G184,""pl"",""en"")"),"Laski, Laski, Złoty Stok, Ząbkowicki, DolnoSilesian Voivodeship")</f>
        <v>Laski, Laski, Złoty Stok, Ząbkowicki, DolnoSilesian Voivodeship</v>
      </c>
      <c r="I184" s="1" t="s">
        <v>21</v>
      </c>
      <c r="J184" s="1" t="s">
        <v>21</v>
      </c>
      <c r="K184" s="1" t="s">
        <v>22</v>
      </c>
      <c r="L184" s="1" t="s">
        <v>894</v>
      </c>
      <c r="M184" s="1">
        <v>3</v>
      </c>
      <c r="N184" s="1" t="s">
        <v>24</v>
      </c>
      <c r="O184" s="1" t="str">
        <f ca="1">IFERROR(__xludf.DUMMYFUNCTION("GOOGLETRANSLATE(N184,""pl"",""en"")"),"full ownership")</f>
        <v>full ownership</v>
      </c>
      <c r="P184" s="3" t="s">
        <v>895</v>
      </c>
      <c r="Q184" s="1" t="b">
        <v>1</v>
      </c>
      <c r="R184" s="1" t="s">
        <v>896</v>
      </c>
    </row>
    <row r="185" spans="1:18" x14ac:dyDescent="0.25">
      <c r="A185" s="2">
        <v>45308</v>
      </c>
      <c r="B185" s="1" t="s">
        <v>897</v>
      </c>
      <c r="C185" s="1" t="str">
        <f ca="1">IFERROR(__xludf.DUMMYFUNCTION("GOOGLETRANSLATE(B185,""pl"",""en"")"),"Decorative corner M11 B6 - 3 rooms")</f>
        <v>Decorative corner M11 B6 - 3 rooms</v>
      </c>
      <c r="D185" s="1">
        <v>469878</v>
      </c>
      <c r="E185" s="1" t="s">
        <v>19</v>
      </c>
      <c r="F185" s="1">
        <v>58.37</v>
      </c>
      <c r="G185" s="1" t="s">
        <v>898</v>
      </c>
      <c r="H185" s="1" t="str">
        <f ca="1">IFERROR(__xludf.DUMMYFUNCTION("GOOGLETRANSLATE(G185,""pl"",""en"")"),"street. Decorative, Radom, Masovian Voivodeship")</f>
        <v>street. Decorative, Radom, Masovian Voivodeship</v>
      </c>
      <c r="I185" s="1" t="s">
        <v>21</v>
      </c>
      <c r="J185" s="1" t="s">
        <v>21</v>
      </c>
      <c r="K185" s="1" t="s">
        <v>194</v>
      </c>
      <c r="L185" s="1" t="s">
        <v>899</v>
      </c>
      <c r="M185" s="1">
        <v>3</v>
      </c>
      <c r="N185" s="1" t="s">
        <v>787</v>
      </c>
      <c r="O185" s="1" t="str">
        <f ca="1">IFERROR(__xludf.DUMMYFUNCTION("GOOGLETRANSLATE(N185,""pl"",""en"")"),"perpetual usufruct / lease")</f>
        <v>perpetual usufruct / lease</v>
      </c>
      <c r="P185" s="3" t="s">
        <v>900</v>
      </c>
      <c r="Q185" s="1" t="b">
        <v>1</v>
      </c>
      <c r="R185" s="1" t="s">
        <v>901</v>
      </c>
    </row>
    <row r="186" spans="1:18" x14ac:dyDescent="0.25">
      <c r="A186" s="2">
        <v>45308</v>
      </c>
      <c r="B186" s="1" t="s">
        <v>902</v>
      </c>
      <c r="C186" s="1" t="str">
        <f ca="1">IFERROR(__xludf.DUMMYFUNCTION("GOOGLETRANSLATE(B186,""pl"",""en"")"),"A large apartment in a quiet area of ​​Sadlinka")</f>
        <v>A large apartment in a quiet area of ​​Sadlinka</v>
      </c>
      <c r="D186" s="1">
        <v>270000</v>
      </c>
      <c r="E186" s="1" t="s">
        <v>33</v>
      </c>
      <c r="F186" s="1">
        <v>81</v>
      </c>
      <c r="G186" s="1" t="s">
        <v>903</v>
      </c>
      <c r="H186" s="1" t="str">
        <f ca="1">IFERROR(__xludf.DUMMYFUNCTION("GOOGLETRANSLATE(G186,""pl"",""en"")"),"Sadlinki, Sadlinki, Kwidzyński, Pomeranian")</f>
        <v>Sadlinki, Sadlinki, Kwidzyński, Pomeranian</v>
      </c>
      <c r="I186" s="1" t="s">
        <v>21</v>
      </c>
      <c r="J186" s="1" t="s">
        <v>21</v>
      </c>
      <c r="K186" s="1" t="s">
        <v>22</v>
      </c>
      <c r="L186" s="1" t="s">
        <v>904</v>
      </c>
      <c r="M186" s="1">
        <v>4</v>
      </c>
      <c r="N186" s="1" t="s">
        <v>24</v>
      </c>
      <c r="O186" s="1" t="str">
        <f ca="1">IFERROR(__xludf.DUMMYFUNCTION("GOOGLETRANSLATE(N186,""pl"",""en"")"),"full ownership")</f>
        <v>full ownership</v>
      </c>
      <c r="P186" s="3" t="s">
        <v>905</v>
      </c>
      <c r="Q186" s="1" t="b">
        <v>1</v>
      </c>
      <c r="R186" s="1" t="s">
        <v>906</v>
      </c>
    </row>
    <row r="187" spans="1:18" x14ac:dyDescent="0.25">
      <c r="A187" s="2">
        <v>45308</v>
      </c>
      <c r="B187" s="1" t="s">
        <v>907</v>
      </c>
      <c r="C187" s="1" t="str">
        <f ca="1">IFERROR(__xludf.DUMMYFUNCTION("GOOGLETRANSLATE(B187,""pl"",""en"")"),"Apartment at ul. Mickiewicza, 4 rooms, 70 sq m.")</f>
        <v>Apartment at ul. Mickiewicza, 4 rooms, 70 sq m.</v>
      </c>
      <c r="D187" s="1">
        <v>657993</v>
      </c>
      <c r="E187" s="1" t="s">
        <v>19</v>
      </c>
      <c r="F187" s="1">
        <v>70.790000000000006</v>
      </c>
      <c r="G187" s="1" t="s">
        <v>908</v>
      </c>
      <c r="H187" s="1" t="str">
        <f ca="1">IFERROR(__xludf.DUMMYFUNCTION("GOOGLETRANSLATE(G187,""pl"",""en"")"),"Dolne Przedmieście, Bielsko-Biała, Silesian Voivodeship")</f>
        <v>Dolne Przedmieście, Bielsko-Biała, Silesian Voivodeship</v>
      </c>
      <c r="I187" s="1" t="s">
        <v>21</v>
      </c>
      <c r="J187" s="1" t="s">
        <v>21</v>
      </c>
      <c r="K187" s="1" t="s">
        <v>22</v>
      </c>
      <c r="L187" s="1" t="s">
        <v>909</v>
      </c>
      <c r="M187" s="1">
        <v>4</v>
      </c>
      <c r="N187" s="1" t="s">
        <v>24</v>
      </c>
      <c r="O187" s="1" t="str">
        <f ca="1">IFERROR(__xludf.DUMMYFUNCTION("GOOGLETRANSLATE(N187,""pl"",""en"")"),"full ownership")</f>
        <v>full ownership</v>
      </c>
      <c r="P187" s="3" t="s">
        <v>910</v>
      </c>
      <c r="Q187" s="1" t="b">
        <v>1</v>
      </c>
      <c r="R187" s="1" t="s">
        <v>911</v>
      </c>
    </row>
    <row r="188" spans="1:18" x14ac:dyDescent="0.25">
      <c r="A188" s="2">
        <v>45308</v>
      </c>
      <c r="B188" s="1" t="s">
        <v>912</v>
      </c>
      <c r="C188" s="1" t="str">
        <f ca="1">IFERROR(__xludf.DUMMYFUNCTION("GOOGLETRANSLATE(B188,""pl"",""en"")"),"New and functional segment in Legionowo")</f>
        <v>New and functional segment in Legionowo</v>
      </c>
      <c r="D188" s="1">
        <v>740000</v>
      </c>
      <c r="E188" s="1" t="s">
        <v>33</v>
      </c>
      <c r="F188" s="1">
        <v>106</v>
      </c>
      <c r="G188" s="1" t="s">
        <v>913</v>
      </c>
      <c r="H188" s="1" t="str">
        <f ca="1">IFERROR(__xludf.DUMMYFUNCTION("GOOGLETRANSLATE(G188,""pl"",""en"")"),"street. Olszankowa, Legionowo, Legionowski, Masovian Voivodeship")</f>
        <v>street. Olszankowa, Legionowo, Legionowski, Masovian Voivodeship</v>
      </c>
      <c r="I188" s="1" t="b">
        <v>1</v>
      </c>
      <c r="J188" s="1" t="s">
        <v>21</v>
      </c>
      <c r="K188" s="1" t="s">
        <v>22</v>
      </c>
      <c r="L188" s="1" t="s">
        <v>914</v>
      </c>
      <c r="M188" s="1">
        <v>5</v>
      </c>
      <c r="N188" s="1" t="s">
        <v>21</v>
      </c>
      <c r="O188" s="1" t="str">
        <f ca="1">IFERROR(__xludf.DUMMYFUNCTION("GOOGLETRANSLATE(N188,""pl"",""en"")"),"null")</f>
        <v>null</v>
      </c>
      <c r="P188" s="3" t="s">
        <v>915</v>
      </c>
      <c r="Q188" s="1" t="b">
        <v>1</v>
      </c>
      <c r="R188" s="1" t="s">
        <v>916</v>
      </c>
    </row>
    <row r="189" spans="1:18" x14ac:dyDescent="0.25">
      <c r="A189" s="2">
        <v>45308</v>
      </c>
      <c r="B189" s="1" t="s">
        <v>917</v>
      </c>
      <c r="C189" s="1" t="str">
        <f ca="1">IFERROR(__xludf.DUMMYFUNCTION("GOOGLETRANSLATE(B189,""pl"",""en"")"),"Double -level apartment 74 m² in Piaseczno")</f>
        <v>Double -level apartment 74 m² in Piaseczno</v>
      </c>
      <c r="D189" s="1">
        <v>770000</v>
      </c>
      <c r="E189" s="1" t="s">
        <v>33</v>
      </c>
      <c r="F189" s="1">
        <v>73.63</v>
      </c>
      <c r="G189" s="1" t="s">
        <v>918</v>
      </c>
      <c r="H189" s="1" t="str">
        <f ca="1">IFERROR(__xludf.DUMMYFUNCTION("GOOGLETRANSLATE(G189,""pl"",""en"")"),"street. Stanisława Staszica, Piaseczno, Piaseczno, Piaseczyński, and Masovian Voivodeship")</f>
        <v>street. Stanisława Staszica, Piaseczno, Piaseczno, Piaseczyński, and Masovian Voivodeship</v>
      </c>
      <c r="I189" s="1" t="s">
        <v>21</v>
      </c>
      <c r="J189" s="1" t="s">
        <v>21</v>
      </c>
      <c r="K189" s="1" t="s">
        <v>45</v>
      </c>
      <c r="L189" s="1" t="s">
        <v>919</v>
      </c>
      <c r="M189" s="1">
        <v>3</v>
      </c>
      <c r="N189" s="1" t="s">
        <v>24</v>
      </c>
      <c r="O189" s="1" t="str">
        <f ca="1">IFERROR(__xludf.DUMMYFUNCTION("GOOGLETRANSLATE(N189,""pl"",""en"")"),"full ownership")</f>
        <v>full ownership</v>
      </c>
      <c r="P189" s="3" t="s">
        <v>920</v>
      </c>
      <c r="Q189" s="1" t="b">
        <v>1</v>
      </c>
      <c r="R189" s="1" t="s">
        <v>921</v>
      </c>
    </row>
    <row r="190" spans="1:18" x14ac:dyDescent="0.25">
      <c r="A190" s="2">
        <v>45308</v>
      </c>
      <c r="B190" s="1" t="s">
        <v>922</v>
      </c>
      <c r="C190" s="1" t="str">
        <f ca="1">IFERROR(__xludf.DUMMYFUNCTION("GOOGLETRANSLATE(B190,""pl"",""en"")"),"Apartment - Rumia")</f>
        <v>Apartment - Rumia</v>
      </c>
      <c r="D190" s="1">
        <v>780000</v>
      </c>
      <c r="E190" s="1" t="s">
        <v>33</v>
      </c>
      <c r="F190" s="1">
        <v>147</v>
      </c>
      <c r="G190" s="1" t="s">
        <v>923</v>
      </c>
      <c r="H190" s="1" t="str">
        <f ca="1">IFERROR(__xludf.DUMMYFUNCTION("GOOGLETRANSLATE(G190,""pl"",""en"")"),"street. Tysiąclecia, Rumia, Wejherowski, Pomeranian")</f>
        <v>street. Tysiąclecia, Rumia, Wejherowski, Pomeranian</v>
      </c>
      <c r="I190" s="1" t="s">
        <v>21</v>
      </c>
      <c r="J190" s="1" t="s">
        <v>21</v>
      </c>
      <c r="K190" s="1" t="s">
        <v>22</v>
      </c>
      <c r="L190" s="1" t="s">
        <v>924</v>
      </c>
      <c r="M190" s="1">
        <v>5</v>
      </c>
      <c r="N190" s="1" t="s">
        <v>24</v>
      </c>
      <c r="O190" s="1" t="str">
        <f ca="1">IFERROR(__xludf.DUMMYFUNCTION("GOOGLETRANSLATE(N190,""pl"",""en"")"),"full ownership")</f>
        <v>full ownership</v>
      </c>
      <c r="P190" s="3" t="s">
        <v>925</v>
      </c>
      <c r="Q190" s="1" t="b">
        <v>1</v>
      </c>
      <c r="R190" s="1" t="s">
        <v>926</v>
      </c>
    </row>
    <row r="191" spans="1:18" x14ac:dyDescent="0.25">
      <c r="A191" s="2">
        <v>45308</v>
      </c>
      <c r="B191" s="1" t="s">
        <v>927</v>
      </c>
      <c r="C191" s="1" t="str">
        <f ca="1">IFERROR(__xludf.DUMMYFUNCTION("GOOGLETRANSLATE(B191,""pl"",""en"")"),"4-Pokoju + Garden 76 m2 || ul. Płochocińska || 2025")</f>
        <v>4-Pokoju + Garden 76 m2 || ul. Płochocińska || 2025</v>
      </c>
      <c r="D191" s="1">
        <v>1011420</v>
      </c>
      <c r="E191" s="1" t="s">
        <v>19</v>
      </c>
      <c r="F191" s="1">
        <v>106.8</v>
      </c>
      <c r="G191" s="1" t="s">
        <v>928</v>
      </c>
      <c r="H191" s="1" t="str">
        <f ca="1">IFERROR(__xludf.DUMMYFUNCTION("GOOGLETRANSLATE(G191,""pl"",""en"")"),"street. Płochocińska, Szamocin, Białołęka, Warsaw, Masovian Voivodeship")</f>
        <v>street. Płochocińska, Szamocin, Białołęka, Warsaw, Masovian Voivodeship</v>
      </c>
      <c r="I191" s="1" t="s">
        <v>21</v>
      </c>
      <c r="J191" s="1" t="s">
        <v>21</v>
      </c>
      <c r="K191" s="1" t="s">
        <v>194</v>
      </c>
      <c r="L191" s="1" t="s">
        <v>929</v>
      </c>
      <c r="M191" s="1">
        <v>4</v>
      </c>
      <c r="N191" s="1" t="s">
        <v>24</v>
      </c>
      <c r="O191" s="1" t="str">
        <f ca="1">IFERROR(__xludf.DUMMYFUNCTION("GOOGLETRANSLATE(N191,""pl"",""en"")"),"full ownership")</f>
        <v>full ownership</v>
      </c>
      <c r="P191" s="3" t="s">
        <v>930</v>
      </c>
      <c r="Q191" s="1" t="b">
        <v>1</v>
      </c>
      <c r="R191" s="1" t="s">
        <v>931</v>
      </c>
    </row>
    <row r="192" spans="1:18" x14ac:dyDescent="0.25">
      <c r="A192" s="2">
        <v>45308</v>
      </c>
      <c r="B192" s="1" t="s">
        <v>932</v>
      </c>
      <c r="C192" s="1" t="str">
        <f ca="1">IFERROR(__xludf.DUMMYFUNCTION("GOOGLETRANSLATE(B192,""pl"",""en"")"),"Wola Tower/ Two rooms with balcony/ 2 garages")</f>
        <v>Wola Tower/ Two rooms with balcony/ 2 garages</v>
      </c>
      <c r="D192" s="1">
        <v>940000</v>
      </c>
      <c r="E192" s="1" t="s">
        <v>33</v>
      </c>
      <c r="F192" s="1">
        <v>61.13</v>
      </c>
      <c r="G192" s="1" t="s">
        <v>933</v>
      </c>
      <c r="H192" s="1" t="str">
        <f ca="1">IFERROR(__xludf.DUMMYFUNCTION("GOOGLETRANSLATE(G192,""pl"",""en"")"),"Młynów, Wola, Warsaw, Masovian Voivodeship")</f>
        <v>Młynów, Wola, Warsaw, Masovian Voivodeship</v>
      </c>
      <c r="I192" s="1" t="s">
        <v>21</v>
      </c>
      <c r="J192" s="1" t="s">
        <v>21</v>
      </c>
      <c r="K192" s="1" t="s">
        <v>22</v>
      </c>
      <c r="L192" s="1" t="s">
        <v>934</v>
      </c>
      <c r="M192" s="1">
        <v>2</v>
      </c>
      <c r="N192" s="1" t="s">
        <v>24</v>
      </c>
      <c r="O192" s="1" t="str">
        <f ca="1">IFERROR(__xludf.DUMMYFUNCTION("GOOGLETRANSLATE(N192,""pl"",""en"")"),"full ownership")</f>
        <v>full ownership</v>
      </c>
      <c r="P192" s="3" t="s">
        <v>935</v>
      </c>
      <c r="Q192" s="1" t="b">
        <v>1</v>
      </c>
      <c r="R192" s="1" t="s">
        <v>936</v>
      </c>
    </row>
    <row r="193" spans="1:18" x14ac:dyDescent="0.25">
      <c r="A193" s="2">
        <v>45308</v>
      </c>
      <c r="B193" s="1" t="s">
        <v>937</v>
      </c>
      <c r="C193" s="1" t="str">
        <f ca="1">IFERROR(__xludf.DUMMYFUNCTION("GOOGLETRANSLATE(B193,""pl"",""en"")"),"48.5 m2 on the fourth floor in the center of Ostrołęka")</f>
        <v>48.5 m2 on the fourth floor in the center of Ostrołęka</v>
      </c>
      <c r="D193" s="1">
        <v>315000</v>
      </c>
      <c r="E193" s="1" t="s">
        <v>33</v>
      </c>
      <c r="F193" s="1">
        <v>48.5</v>
      </c>
      <c r="G193" s="1" t="s">
        <v>938</v>
      </c>
      <c r="H193" s="1" t="str">
        <f ca="1">IFERROR(__xludf.DUMMYFUNCTION("GOOGLETRANSLATE(G193,""pl"",""en"")"),"Ostrołęka, Masovian Voivodeship")</f>
        <v>Ostrołęka, Masovian Voivodeship</v>
      </c>
      <c r="I193" s="1" t="s">
        <v>21</v>
      </c>
      <c r="J193" s="1" t="s">
        <v>21</v>
      </c>
      <c r="K193" s="1" t="s">
        <v>22</v>
      </c>
      <c r="L193" s="1" t="s">
        <v>939</v>
      </c>
      <c r="M193" s="1">
        <v>2</v>
      </c>
      <c r="N193" s="1" t="s">
        <v>24</v>
      </c>
      <c r="O193" s="1" t="str">
        <f ca="1">IFERROR(__xludf.DUMMYFUNCTION("GOOGLETRANSLATE(N193,""pl"",""en"")"),"full ownership")</f>
        <v>full ownership</v>
      </c>
      <c r="P193" s="3" t="s">
        <v>940</v>
      </c>
      <c r="Q193" s="1" t="b">
        <v>1</v>
      </c>
      <c r="R193" s="1" t="s">
        <v>941</v>
      </c>
    </row>
    <row r="194" spans="1:18" x14ac:dyDescent="0.25">
      <c r="A194" s="2">
        <v>45308</v>
      </c>
      <c r="B194" s="1" t="s">
        <v>942</v>
      </c>
      <c r="C194" s="1" t="str">
        <f ca="1">IFERROR(__xludf.DUMMYFUNCTION("GOOGLETRANSLATE(B194,""pl"",""en"")"),"RESERVATION! 2 room apartment, ul. Cypriot")</f>
        <v>RESERVATION! 2 room apartment, ul. Cypriot</v>
      </c>
      <c r="D194" s="1">
        <v>435000</v>
      </c>
      <c r="E194" s="1" t="s">
        <v>33</v>
      </c>
      <c r="F194" s="1">
        <v>51</v>
      </c>
      <c r="G194" s="1" t="s">
        <v>263</v>
      </c>
      <c r="H194" s="1" t="str">
        <f ca="1">IFERROR(__xludf.DUMMYFUNCTION("GOOGLETRANSLATE(G194,""pl"",""en"")"),"Koszalin, West Pomeranian Voivodeship")</f>
        <v>Koszalin, West Pomeranian Voivodeship</v>
      </c>
      <c r="I194" s="1" t="b">
        <v>1</v>
      </c>
      <c r="J194" s="1" t="s">
        <v>21</v>
      </c>
      <c r="K194" s="1" t="s">
        <v>22</v>
      </c>
      <c r="L194" s="1" t="s">
        <v>943</v>
      </c>
      <c r="M194" s="1">
        <v>2</v>
      </c>
      <c r="N194" s="1" t="s">
        <v>24</v>
      </c>
      <c r="O194" s="1" t="str">
        <f ca="1">IFERROR(__xludf.DUMMYFUNCTION("GOOGLETRANSLATE(N194,""pl"",""en"")"),"full ownership")</f>
        <v>full ownership</v>
      </c>
      <c r="P194" s="3" t="s">
        <v>944</v>
      </c>
      <c r="Q194" s="1" t="b">
        <v>1</v>
      </c>
      <c r="R194" s="1" t="s">
        <v>945</v>
      </c>
    </row>
    <row r="195" spans="1:18" x14ac:dyDescent="0.25">
      <c r="A195" s="2">
        <v>45308</v>
      </c>
      <c r="B195" s="1" t="s">
        <v>946</v>
      </c>
      <c r="C195" s="1" t="str">
        <f ca="1">IFERROR(__xludf.DUMMYFUNCTION("GOOGLETRANSLATE(B195,""pl"",""en"")"),"2 room, 38m2, os. Metallurgical, balcony, elevator")</f>
        <v>2 room, 38m2, os. Metallurgical, balcony, elevator</v>
      </c>
      <c r="D195" s="1">
        <v>509000</v>
      </c>
      <c r="E195" s="1" t="s">
        <v>33</v>
      </c>
      <c r="F195" s="1">
        <v>37.64</v>
      </c>
      <c r="G195" s="1" t="s">
        <v>4725</v>
      </c>
      <c r="H195" s="1" t="str">
        <f ca="1">IFERROR(__xludf.DUMMYFUNCTION("GOOGLETRANSLATE(G195,""pl"",""en"")"),"axis. Hutnicze, Nowa Huta, Nowa Huta, Kraków, Lesser Poland")</f>
        <v>axis. Hutnicze, Nowa Huta, Nowa Huta, Kraków, Lesser Poland</v>
      </c>
      <c r="I195" s="1" t="s">
        <v>21</v>
      </c>
      <c r="J195" s="1" t="s">
        <v>21</v>
      </c>
      <c r="K195" s="1" t="s">
        <v>22</v>
      </c>
      <c r="L195" s="1" t="s">
        <v>947</v>
      </c>
      <c r="M195" s="1">
        <v>2</v>
      </c>
      <c r="N195" s="1" t="s">
        <v>24</v>
      </c>
      <c r="O195" s="1" t="str">
        <f ca="1">IFERROR(__xludf.DUMMYFUNCTION("GOOGLETRANSLATE(N195,""pl"",""en"")"),"full ownership")</f>
        <v>full ownership</v>
      </c>
      <c r="P195" s="3" t="s">
        <v>948</v>
      </c>
      <c r="Q195" s="1" t="b">
        <v>1</v>
      </c>
      <c r="R195" s="1" t="s">
        <v>949</v>
      </c>
    </row>
    <row r="196" spans="1:18" x14ac:dyDescent="0.25">
      <c r="A196" s="2">
        <v>45308</v>
      </c>
      <c r="B196" s="1" t="s">
        <v>950</v>
      </c>
      <c r="C196" s="1" t="str">
        <f ca="1">IFERROR(__xludf.DUMMYFUNCTION("GOOGLETRANSLATE(B196,""pl"",""en"")"),"Wałbrzyska 21 - new investment - 36 m2")</f>
        <v>Wałbrzyska 21 - new investment - 36 m2</v>
      </c>
      <c r="D196" s="1">
        <v>830000</v>
      </c>
      <c r="E196" s="1" t="s">
        <v>33</v>
      </c>
      <c r="F196" s="1">
        <v>36.200000000000003</v>
      </c>
      <c r="G196" s="1" t="s">
        <v>951</v>
      </c>
      <c r="H196" s="1" t="str">
        <f ca="1">IFERROR(__xludf.DUMMYFUNCTION("GOOGLETRANSLATE(G196,""pl"",""en"")"),"street. Wałbrzyska, Służew, Mokotów, Warsaw, Masovian Voivodeship")</f>
        <v>street. Wałbrzyska, Służew, Mokotów, Warsaw, Masovian Voivodeship</v>
      </c>
      <c r="I196" s="1" t="s">
        <v>21</v>
      </c>
      <c r="J196" s="1" t="s">
        <v>21</v>
      </c>
      <c r="K196" s="1" t="s">
        <v>22</v>
      </c>
      <c r="L196" s="1" t="s">
        <v>952</v>
      </c>
      <c r="M196" s="1">
        <v>2</v>
      </c>
      <c r="N196" s="1" t="s">
        <v>24</v>
      </c>
      <c r="O196" s="1" t="str">
        <f ca="1">IFERROR(__xludf.DUMMYFUNCTION("GOOGLETRANSLATE(N196,""pl"",""en"")"),"full ownership")</f>
        <v>full ownership</v>
      </c>
      <c r="P196" s="3" t="s">
        <v>953</v>
      </c>
      <c r="Q196" s="1" t="b">
        <v>1</v>
      </c>
      <c r="R196" s="1" t="s">
        <v>954</v>
      </c>
    </row>
    <row r="197" spans="1:18" x14ac:dyDescent="0.25">
      <c r="A197" s="2">
        <v>45308</v>
      </c>
      <c r="B197" s="1" t="s">
        <v>955</v>
      </c>
      <c r="C197" s="1" t="str">
        <f ca="1">IFERROR(__xludf.DUMMYFUNCTION("GOOGLETRANSLATE(B197,""pl"",""en"")"),"Post -industrial investment in a quiet area !!")</f>
        <v>Post -industrial investment in a quiet area !!</v>
      </c>
      <c r="D197" s="1">
        <v>359392</v>
      </c>
      <c r="E197" s="1" t="s">
        <v>19</v>
      </c>
      <c r="F197" s="1">
        <v>40.840000000000003</v>
      </c>
      <c r="G197" s="1" t="s">
        <v>956</v>
      </c>
      <c r="H197" s="1" t="str">
        <f ca="1">IFERROR(__xludf.DUMMYFUNCTION("GOOGLETRANSLATE(G197,""pl"",""en"")"),"Bocianowo, Bydgoszcz, Kujawsko-Pomeranian Voivodeship")</f>
        <v>Bocianowo, Bydgoszcz, Kujawsko-Pomeranian Voivodeship</v>
      </c>
      <c r="I197" s="1" t="s">
        <v>21</v>
      </c>
      <c r="J197" s="1" t="s">
        <v>21</v>
      </c>
      <c r="K197" s="1" t="s">
        <v>22</v>
      </c>
      <c r="L197" s="1" t="s">
        <v>957</v>
      </c>
      <c r="M197" s="1">
        <v>2</v>
      </c>
      <c r="N197" s="1" t="s">
        <v>24</v>
      </c>
      <c r="O197" s="1" t="str">
        <f ca="1">IFERROR(__xludf.DUMMYFUNCTION("GOOGLETRANSLATE(N197,""pl"",""en"")"),"full ownership")</f>
        <v>full ownership</v>
      </c>
      <c r="P197" s="3" t="s">
        <v>958</v>
      </c>
      <c r="Q197" s="1" t="b">
        <v>1</v>
      </c>
      <c r="R197" s="1" t="s">
        <v>959</v>
      </c>
    </row>
    <row r="198" spans="1:18" x14ac:dyDescent="0.25">
      <c r="A198" s="2">
        <v>45308</v>
      </c>
      <c r="B198" s="1" t="s">
        <v>960</v>
      </c>
      <c r="C198" s="1" t="str">
        <f ca="1">IFERROR(__xludf.DUMMYFUNCTION("GOOGLETRANSLATE(B198,""pl"",""en"")"),"Two -pack Polytechnic C.O city ROI 11%")</f>
        <v>Two -pack Polytechnic C.O city ROI 11%</v>
      </c>
      <c r="D198" s="1">
        <v>266000</v>
      </c>
      <c r="E198" s="1" t="s">
        <v>33</v>
      </c>
      <c r="F198" s="1">
        <v>34</v>
      </c>
      <c r="G198" s="1" t="s">
        <v>961</v>
      </c>
      <c r="H198" s="1" t="str">
        <f ca="1">IFERROR(__xludf.DUMMYFUNCTION("GOOGLETRANSLATE(G198,""pl"",""en"")"),"Centrum Południe, Zabrze, Silesian Voivodeship")</f>
        <v>Centrum Południe, Zabrze, Silesian Voivodeship</v>
      </c>
      <c r="I198" s="1" t="s">
        <v>21</v>
      </c>
      <c r="J198" s="1" t="s">
        <v>21</v>
      </c>
      <c r="K198" s="1" t="s">
        <v>45</v>
      </c>
      <c r="L198" s="1" t="s">
        <v>962</v>
      </c>
      <c r="M198" s="1">
        <v>2</v>
      </c>
      <c r="N198" s="1" t="s">
        <v>24</v>
      </c>
      <c r="O198" s="1" t="str">
        <f ca="1">IFERROR(__xludf.DUMMYFUNCTION("GOOGLETRANSLATE(N198,""pl"",""en"")"),"full ownership")</f>
        <v>full ownership</v>
      </c>
      <c r="P198" s="3" t="s">
        <v>963</v>
      </c>
      <c r="Q198" s="1" t="b">
        <v>1</v>
      </c>
      <c r="R198" s="1" t="s">
        <v>964</v>
      </c>
    </row>
    <row r="199" spans="1:18" x14ac:dyDescent="0.25">
      <c r="A199" s="2">
        <v>45308</v>
      </c>
      <c r="B199" s="1" t="s">
        <v>965</v>
      </c>
      <c r="C199" s="1" t="str">
        <f ca="1">IFERROR(__xludf.DUMMYFUNCTION("GOOGLETRANSLATE(B199,""pl"",""en"")"),"Olsza: 4-Pok. with great potential !!")</f>
        <v>Olsza: 4-Pok. with great potential !!</v>
      </c>
      <c r="D199" s="1">
        <v>929000</v>
      </c>
      <c r="E199" s="1" t="s">
        <v>33</v>
      </c>
      <c r="F199" s="1">
        <v>72</v>
      </c>
      <c r="G199" s="1" t="s">
        <v>4726</v>
      </c>
      <c r="H199" s="1" t="str">
        <f ca="1">IFERROR(__xludf.DUMMYFUNCTION("GOOGLETRANSLATE(G199,""pl"",""en"")"),"street. Młyńska, Rakowice, Prądnik Czerwony, Kraków, Lesser Poland")</f>
        <v>street. Młyńska, Rakowice, Prądnik Czerwony, Kraków, Lesser Poland</v>
      </c>
      <c r="I199" s="1" t="s">
        <v>21</v>
      </c>
      <c r="J199" s="1" t="s">
        <v>21</v>
      </c>
      <c r="K199" s="1" t="s">
        <v>22</v>
      </c>
      <c r="L199" s="1" t="s">
        <v>966</v>
      </c>
      <c r="M199" s="1">
        <v>4</v>
      </c>
      <c r="N199" s="1" t="s">
        <v>24</v>
      </c>
      <c r="O199" s="1" t="str">
        <f ca="1">IFERROR(__xludf.DUMMYFUNCTION("GOOGLETRANSLATE(N199,""pl"",""en"")"),"full ownership")</f>
        <v>full ownership</v>
      </c>
      <c r="P199" s="3" t="s">
        <v>967</v>
      </c>
      <c r="Q199" s="1" t="b">
        <v>1</v>
      </c>
      <c r="R199" s="1" t="s">
        <v>968</v>
      </c>
    </row>
    <row r="200" spans="1:18" x14ac:dyDescent="0.25">
      <c r="A200" s="2">
        <v>45308</v>
      </c>
      <c r="B200" s="1" t="s">
        <v>969</v>
      </c>
      <c r="C200" s="1" t="str">
        <f ca="1">IFERROR(__xludf.DUMMYFUNCTION("GOOGLETRANSLATE(B200,""pl"",""en"")"),"Without intermediaries, a new apartment ul. Solec 18")</f>
        <v>Without intermediaries, a new apartment ul. Solec 18</v>
      </c>
      <c r="D200" s="1">
        <v>2000000</v>
      </c>
      <c r="E200" s="1" t="s">
        <v>33</v>
      </c>
      <c r="F200" s="1">
        <v>60.9</v>
      </c>
      <c r="G200" s="1" t="s">
        <v>970</v>
      </c>
      <c r="H200" s="1" t="str">
        <f ca="1">IFERROR(__xludf.DUMMYFUNCTION("GOOGLETRANSLATE(G200,""pl"",""en"")"),"street. Solec 18, Solec, Śródmieście, Warsaw, Masovian Voivodeship")</f>
        <v>street. Solec 18, Solec, Śródmieście, Warsaw, Masovian Voivodeship</v>
      </c>
      <c r="I200" s="1" t="s">
        <v>21</v>
      </c>
      <c r="J200" s="1" t="s">
        <v>21</v>
      </c>
      <c r="K200" s="1" t="s">
        <v>45</v>
      </c>
      <c r="L200" s="1" t="s">
        <v>971</v>
      </c>
      <c r="M200" s="1">
        <v>3</v>
      </c>
      <c r="N200" s="1" t="s">
        <v>24</v>
      </c>
      <c r="O200" s="1" t="str">
        <f ca="1">IFERROR(__xludf.DUMMYFUNCTION("GOOGLETRANSLATE(N200,""pl"",""en"")"),"full ownership")</f>
        <v>full ownership</v>
      </c>
      <c r="P200" s="3" t="s">
        <v>972</v>
      </c>
      <c r="Q200" s="1" t="b">
        <v>1</v>
      </c>
      <c r="R200" s="1" t="s">
        <v>973</v>
      </c>
    </row>
    <row r="201" spans="1:18" x14ac:dyDescent="0.25">
      <c r="A201" s="2">
        <v>45308</v>
      </c>
      <c r="B201" s="1" t="s">
        <v>974</v>
      </c>
      <c r="C201" s="1" t="str">
        <f ca="1">IFERROR(__xludf.DUMMYFUNCTION("GOOGLETRANSLATE(B201,""pl"",""en"")"),"4-room apartments with balcony-sucper location")</f>
        <v>4-room apartments with balcony-sucper location</v>
      </c>
      <c r="D201" s="1">
        <v>465000</v>
      </c>
      <c r="E201" s="1" t="s">
        <v>19</v>
      </c>
      <c r="F201" s="1">
        <v>61.65</v>
      </c>
      <c r="G201" s="1" t="s">
        <v>975</v>
      </c>
      <c r="H201" s="1" t="str">
        <f ca="1">IFERROR(__xludf.DUMMYFUNCTION("GOOGLETRANSLATE(G201,""pl"",""en"")"),"street. Krakowska, Przybyszówka, Rzeszów, Podkarpackie")</f>
        <v>street. Krakowska, Przybyszówka, Rzeszów, Podkarpackie</v>
      </c>
      <c r="I201" s="1" t="s">
        <v>21</v>
      </c>
      <c r="J201" s="1" t="s">
        <v>21</v>
      </c>
      <c r="K201" s="1" t="s">
        <v>194</v>
      </c>
      <c r="L201" s="1" t="s">
        <v>976</v>
      </c>
      <c r="M201" s="1">
        <v>4</v>
      </c>
      <c r="N201" s="1" t="s">
        <v>24</v>
      </c>
      <c r="O201" s="1" t="str">
        <f ca="1">IFERROR(__xludf.DUMMYFUNCTION("GOOGLETRANSLATE(N201,""pl"",""en"")"),"full ownership")</f>
        <v>full ownership</v>
      </c>
      <c r="P201" s="3" t="s">
        <v>977</v>
      </c>
      <c r="Q201" s="1" t="b">
        <v>1</v>
      </c>
      <c r="R201" s="1" t="s">
        <v>978</v>
      </c>
    </row>
    <row r="202" spans="1:18" x14ac:dyDescent="0.25">
      <c r="A202" s="2">
        <v>45308</v>
      </c>
      <c r="B202" s="1" t="s">
        <v>979</v>
      </c>
      <c r="C202" s="1" t="str">
        <f ca="1">IFERROR(__xludf.DUMMYFUNCTION("GOOGLETRANSLATE(B202,""pl"",""en"")"),"Apartment 3 rooms 55 sq m in the center of Puławy.")</f>
        <v>Apartment 3 rooms 55 sq m in the center of Puławy.</v>
      </c>
      <c r="D202" s="1">
        <v>340000</v>
      </c>
      <c r="E202" s="1" t="s">
        <v>33</v>
      </c>
      <c r="F202" s="1">
        <v>55</v>
      </c>
      <c r="G202" s="1" t="s">
        <v>980</v>
      </c>
      <c r="H202" s="1" t="str">
        <f ca="1">IFERROR(__xludf.DUMMYFUNCTION("GOOGLETRANSLATE(G202,""pl"",""en"")"),"street. Polna, Puławy, Puławski, Lublin Voivodeship")</f>
        <v>street. Polna, Puławy, Puławski, Lublin Voivodeship</v>
      </c>
      <c r="I202" s="1" t="b">
        <v>1</v>
      </c>
      <c r="J202" s="1" t="s">
        <v>21</v>
      </c>
      <c r="K202" s="1" t="s">
        <v>22</v>
      </c>
      <c r="L202" s="1" t="s">
        <v>981</v>
      </c>
      <c r="M202" s="1">
        <v>3</v>
      </c>
      <c r="N202" s="1" t="s">
        <v>24</v>
      </c>
      <c r="O202" s="1" t="str">
        <f ca="1">IFERROR(__xludf.DUMMYFUNCTION("GOOGLETRANSLATE(N202,""pl"",""en"")"),"full ownership")</f>
        <v>full ownership</v>
      </c>
      <c r="P202" s="3" t="s">
        <v>982</v>
      </c>
      <c r="Q202" s="1" t="b">
        <v>1</v>
      </c>
      <c r="R202" s="1" t="s">
        <v>983</v>
      </c>
    </row>
    <row r="203" spans="1:18" x14ac:dyDescent="0.25">
      <c r="A203" s="2">
        <v>45308</v>
      </c>
      <c r="B203" s="1" t="s">
        <v>984</v>
      </c>
      <c r="C203" s="1" t="str">
        <f ca="1">IFERROR(__xludf.DUMMYFUNCTION("GOOGLETRANSLATE(B203,""pl"",""en"")"),"New Kapuściska !! Silence, and full infrastructure !!")</f>
        <v>New Kapuściska !! Silence, and full infrastructure !!</v>
      </c>
      <c r="D203" s="1">
        <v>608108</v>
      </c>
      <c r="E203" s="1" t="s">
        <v>19</v>
      </c>
      <c r="F203" s="1">
        <v>69</v>
      </c>
      <c r="G203" s="1" t="s">
        <v>985</v>
      </c>
      <c r="H203" s="1" t="str">
        <f ca="1">IFERROR(__xludf.DUMMYFUNCTION("GOOGLETRANSLATE(G203,""pl"",""en"")"),"Kapuściska, Bydgoszcz, Kujawsko-Pomeranian Voivodeship")</f>
        <v>Kapuściska, Bydgoszcz, Kujawsko-Pomeranian Voivodeship</v>
      </c>
      <c r="I203" s="1" t="s">
        <v>21</v>
      </c>
      <c r="J203" s="1" t="s">
        <v>21</v>
      </c>
      <c r="K203" s="1" t="s">
        <v>22</v>
      </c>
      <c r="L203" s="1" t="s">
        <v>986</v>
      </c>
      <c r="M203" s="1">
        <v>4</v>
      </c>
      <c r="N203" s="1" t="s">
        <v>24</v>
      </c>
      <c r="O203" s="1" t="str">
        <f ca="1">IFERROR(__xludf.DUMMYFUNCTION("GOOGLETRANSLATE(N203,""pl"",""en"")"),"full ownership")</f>
        <v>full ownership</v>
      </c>
      <c r="P203" s="3" t="s">
        <v>987</v>
      </c>
      <c r="Q203" s="1" t="b">
        <v>1</v>
      </c>
      <c r="R203" s="1" t="s">
        <v>988</v>
      </c>
    </row>
    <row r="204" spans="1:18" x14ac:dyDescent="0.25">
      <c r="A204" s="2">
        <v>45308</v>
      </c>
      <c r="B204" s="1" t="s">
        <v>989</v>
      </c>
      <c r="C204" s="1" t="str">
        <f ca="1">IFERROR(__xludf.DUMMYFUNCTION("GOOGLETRANSLATE(B204,""pl"",""en"")"),"Finished Air conditioning Modern housing estate")</f>
        <v>Finished Air conditioning Modern housing estate</v>
      </c>
      <c r="D204" s="1">
        <v>498800</v>
      </c>
      <c r="E204" s="1" t="s">
        <v>33</v>
      </c>
      <c r="F204" s="1">
        <v>30</v>
      </c>
      <c r="G204" s="1" t="s">
        <v>4727</v>
      </c>
      <c r="H204" s="1" t="str">
        <f ca="1">IFERROR(__xludf.DUMMYFUNCTION("GOOGLETRANSLATE(G204,""pl"",""en"")"),"Bieżanów, Bieżanów-Prokocim, Kraków, Lesser Poland")</f>
        <v>Bieżanów, Bieżanów-Prokocim, Kraków, Lesser Poland</v>
      </c>
      <c r="I204" s="1" t="s">
        <v>21</v>
      </c>
      <c r="J204" s="1" t="s">
        <v>21</v>
      </c>
      <c r="K204" s="1" t="s">
        <v>22</v>
      </c>
      <c r="L204" s="1" t="s">
        <v>990</v>
      </c>
      <c r="M204" s="1">
        <v>2</v>
      </c>
      <c r="N204" s="1" t="s">
        <v>24</v>
      </c>
      <c r="O204" s="1" t="str">
        <f ca="1">IFERROR(__xludf.DUMMYFUNCTION("GOOGLETRANSLATE(N204,""pl"",""en"")"),"full ownership")</f>
        <v>full ownership</v>
      </c>
      <c r="P204" s="3" t="s">
        <v>991</v>
      </c>
      <c r="Q204" s="1" t="b">
        <v>1</v>
      </c>
      <c r="R204" s="1" t="s">
        <v>992</v>
      </c>
    </row>
    <row r="205" spans="1:18" x14ac:dyDescent="0.25">
      <c r="A205" s="2">
        <v>45308</v>
      </c>
      <c r="B205" s="1" t="s">
        <v>993</v>
      </c>
      <c r="C205" s="1" t="str">
        <f ca="1">IFERROR(__xludf.DUMMYFUNCTION("GOOGLETRANSLATE(B205,""pl"",""en"")"),"A large family home, quick access to Warsaw S7!")</f>
        <v>A large family home, quick access to Warsaw S7!</v>
      </c>
      <c r="D205" s="1">
        <v>1120000</v>
      </c>
      <c r="E205" s="1" t="s">
        <v>19</v>
      </c>
      <c r="F205" s="1">
        <v>180</v>
      </c>
      <c r="G205" s="1" t="s">
        <v>994</v>
      </c>
      <c r="H205" s="1" t="str">
        <f ca="1">IFERROR(__xludf.DUMMYFUNCTION("GOOGLETRANSLATE(G205,""pl"",""en"")"),"Głosków, Piaseczno, Piaseczyński, and Masovian Voivodeship")</f>
        <v>Głosków, Piaseczno, Piaseczyński, and Masovian Voivodeship</v>
      </c>
      <c r="I205" s="1" t="b">
        <v>1</v>
      </c>
      <c r="J205" s="1" t="s">
        <v>21</v>
      </c>
      <c r="K205" s="1" t="s">
        <v>22</v>
      </c>
      <c r="L205" s="1" t="s">
        <v>995</v>
      </c>
      <c r="M205" s="1">
        <v>6</v>
      </c>
      <c r="N205" s="1" t="s">
        <v>21</v>
      </c>
      <c r="O205" s="1" t="str">
        <f ca="1">IFERROR(__xludf.DUMMYFUNCTION("GOOGLETRANSLATE(N205,""pl"",""en"")"),"null")</f>
        <v>null</v>
      </c>
      <c r="P205" s="3" t="s">
        <v>996</v>
      </c>
      <c r="Q205" s="1" t="b">
        <v>1</v>
      </c>
      <c r="R205" s="1" t="s">
        <v>997</v>
      </c>
    </row>
    <row r="206" spans="1:18" x14ac:dyDescent="0.25">
      <c r="A206" s="2">
        <v>45308</v>
      </c>
      <c r="B206" s="1" t="s">
        <v>998</v>
      </c>
      <c r="C206" s="1" t="str">
        <f ca="1">IFERROR(__xludf.DUMMYFUNCTION("GOOGLETRANSLATE(B206,""pl"",""en"")"),"Siemianowice Śląskie, ul. Boss")</f>
        <v>Siemianowice Śląskie, ul. Boss</v>
      </c>
      <c r="D206" s="1">
        <v>169999</v>
      </c>
      <c r="E206" s="1" t="s">
        <v>33</v>
      </c>
      <c r="F206" s="1">
        <v>33</v>
      </c>
      <c r="G206" s="1" t="s">
        <v>999</v>
      </c>
      <c r="H206" s="1" t="str">
        <f ca="1">IFERROR(__xludf.DUMMYFUNCTION("GOOGLETRANSLATE(G206,""pl"",""en"")"),"street. Antoni Boss, Centrum, Siemianowice Silesian Voivodeship, Silesian Voivodeship")</f>
        <v>street. Antoni Boss, Centrum, Siemianowice Silesian Voivodeship, Silesian Voivodeship</v>
      </c>
      <c r="I206" s="1" t="s">
        <v>21</v>
      </c>
      <c r="J206" s="1" t="s">
        <v>21</v>
      </c>
      <c r="K206" s="1" t="s">
        <v>22</v>
      </c>
      <c r="L206" s="1" t="s">
        <v>1000</v>
      </c>
      <c r="M206" s="1">
        <v>1</v>
      </c>
      <c r="N206" s="1" t="s">
        <v>24</v>
      </c>
      <c r="O206" s="1" t="str">
        <f ca="1">IFERROR(__xludf.DUMMYFUNCTION("GOOGLETRANSLATE(N206,""pl"",""en"")"),"full ownership")</f>
        <v>full ownership</v>
      </c>
      <c r="P206" s="3" t="s">
        <v>1001</v>
      </c>
      <c r="Q206" s="1" t="b">
        <v>1</v>
      </c>
      <c r="R206" s="1" t="s">
        <v>1002</v>
      </c>
    </row>
    <row r="207" spans="1:18" x14ac:dyDescent="0.25">
      <c r="A207" s="2">
        <v>45308</v>
      </c>
      <c r="B207" s="1" t="s">
        <v>1003</v>
      </c>
      <c r="C207" s="1" t="str">
        <f ca="1">IFERROR(__xludf.DUMMYFUNCTION("GOOGLETRANSLATE(B207,""pl"",""en"")"),"Honey estate M11 - 42.29m²")</f>
        <v>Honey estate M11 - 42.29m²</v>
      </c>
      <c r="D207" s="1">
        <v>270656</v>
      </c>
      <c r="E207" s="1" t="s">
        <v>19</v>
      </c>
      <c r="F207" s="1">
        <v>42.29</v>
      </c>
      <c r="G207" s="1" t="s">
        <v>1004</v>
      </c>
      <c r="H207" s="1" t="str">
        <f ca="1">IFERROR(__xludf.DUMMYFUNCTION("GOOGLETRANSLATE(G207,""pl"",""en"")"),"street. Wojska Polskiego, Gomunice, Gomunice, Radomszczański, Łódź")</f>
        <v>street. Wojska Polskiego, Gomunice, Gomunice, Radomszczański, Łódź</v>
      </c>
      <c r="I207" s="1" t="b">
        <v>1</v>
      </c>
      <c r="J207" s="1" t="s">
        <v>21</v>
      </c>
      <c r="K207" s="1" t="s">
        <v>22</v>
      </c>
      <c r="L207" s="1" t="s">
        <v>1005</v>
      </c>
      <c r="M207" s="1">
        <v>2</v>
      </c>
      <c r="N207" s="1" t="s">
        <v>24</v>
      </c>
      <c r="O207" s="1" t="str">
        <f ca="1">IFERROR(__xludf.DUMMYFUNCTION("GOOGLETRANSLATE(N207,""pl"",""en"")"),"full ownership")</f>
        <v>full ownership</v>
      </c>
      <c r="P207" s="3" t="s">
        <v>1006</v>
      </c>
      <c r="Q207" s="1" t="b">
        <v>1</v>
      </c>
      <c r="R207" s="1" t="s">
        <v>1007</v>
      </c>
    </row>
    <row r="208" spans="1:18" x14ac:dyDescent="0.25">
      <c r="A208" s="2">
        <v>45308</v>
      </c>
      <c r="B208" s="1" t="s">
        <v>1008</v>
      </c>
      <c r="C208" s="1" t="str">
        <f ca="1">IFERROR(__xludf.DUMMYFUNCTION("GOOGLETRANSLATE(B208,""pl"",""en"")"),"Beautiful apartment after the general renovation of Chełm!")</f>
        <v>Beautiful apartment after the general renovation of Chełm!</v>
      </c>
      <c r="D208" s="1">
        <v>329000</v>
      </c>
      <c r="E208" s="1" t="s">
        <v>33</v>
      </c>
      <c r="F208" s="1">
        <v>48.7</v>
      </c>
      <c r="G208" s="1" t="s">
        <v>1009</v>
      </c>
      <c r="H208" s="1" t="str">
        <f ca="1">IFERROR(__xludf.DUMMYFUNCTION("GOOGLETRANSLATE(G208,""pl"",""en"")"),"Avenue of soldiers of the 1st Army of the Polish Army, Chełm, Lublin Voivodeship")</f>
        <v>Avenue of soldiers of the 1st Army of the Polish Army, Chełm, Lublin Voivodeship</v>
      </c>
      <c r="I208" s="1" t="s">
        <v>21</v>
      </c>
      <c r="J208" s="1" t="s">
        <v>21</v>
      </c>
      <c r="K208" s="1" t="s">
        <v>22</v>
      </c>
      <c r="L208" s="1" t="s">
        <v>1010</v>
      </c>
      <c r="M208" s="1">
        <v>2</v>
      </c>
      <c r="N208" s="1" t="s">
        <v>24</v>
      </c>
      <c r="O208" s="1" t="str">
        <f ca="1">IFERROR(__xludf.DUMMYFUNCTION("GOOGLETRANSLATE(N208,""pl"",""en"")"),"full ownership")</f>
        <v>full ownership</v>
      </c>
      <c r="P208" s="3" t="s">
        <v>1011</v>
      </c>
      <c r="Q208" s="1" t="b">
        <v>1</v>
      </c>
      <c r="R208" s="1" t="s">
        <v>1012</v>
      </c>
    </row>
    <row r="209" spans="1:18" x14ac:dyDescent="0.25">
      <c r="A209" s="2">
        <v>45308</v>
      </c>
      <c r="B209" s="1" t="s">
        <v>1013</v>
      </c>
      <c r="C209" s="1" t="str">
        <f ca="1">IFERROR(__xludf.DUMMYFUNCTION("GOOGLETRANSLATE(B209,""pl"",""en"")"),"A three -room apartment (64 sq m) in the center of Łódź")</f>
        <v>A three -room apartment (64 sq m) in the center of Łódź</v>
      </c>
      <c r="D209" s="1">
        <v>330000</v>
      </c>
      <c r="E209" s="1" t="s">
        <v>33</v>
      </c>
      <c r="F209" s="1">
        <v>64</v>
      </c>
      <c r="G209" s="1" t="s">
        <v>1014</v>
      </c>
      <c r="H209" s="1" t="str">
        <f ca="1">IFERROR(__xludf.DUMMYFUNCTION("GOOGLETRANSLATE(G209,""pl"",""en"")"),"street. Jstreetiana Tuwima, Centrum, Śródmieście, Łódź, Łódź")</f>
        <v>street. Jstreetiana Tuwima, Centrum, Śródmieście, Łódź, Łódź</v>
      </c>
      <c r="I209" s="1" t="s">
        <v>21</v>
      </c>
      <c r="J209" s="1" t="s">
        <v>21</v>
      </c>
      <c r="K209" s="1" t="s">
        <v>22</v>
      </c>
      <c r="L209" s="1" t="s">
        <v>1015</v>
      </c>
      <c r="M209" s="1">
        <v>3</v>
      </c>
      <c r="N209" s="1" t="s">
        <v>24</v>
      </c>
      <c r="O209" s="1" t="str">
        <f ca="1">IFERROR(__xludf.DUMMYFUNCTION("GOOGLETRANSLATE(N209,""pl"",""en"")"),"full ownership")</f>
        <v>full ownership</v>
      </c>
      <c r="P209" s="3" t="s">
        <v>1016</v>
      </c>
      <c r="Q209" s="1" t="b">
        <v>1</v>
      </c>
      <c r="R209" s="1" t="s">
        <v>1017</v>
      </c>
    </row>
    <row r="210" spans="1:18" x14ac:dyDescent="0.25">
      <c r="A210" s="2">
        <v>45308</v>
      </c>
      <c r="B210" s="1" t="s">
        <v>1018</v>
      </c>
      <c r="C210" s="1" t="str">
        <f ca="1">IFERROR(__xludf.DUMMYFUNCTION("GOOGLETRANSLATE(B210,""pl"",""en"")"),"A two -level free apartment immediately")</f>
        <v>A two -level free apartment immediately</v>
      </c>
      <c r="D210" s="1">
        <v>980000</v>
      </c>
      <c r="E210" s="1" t="s">
        <v>33</v>
      </c>
      <c r="F210" s="1">
        <v>92.6</v>
      </c>
      <c r="G210" s="1" t="s">
        <v>1019</v>
      </c>
      <c r="H210" s="1" t="str">
        <f ca="1">IFERROR(__xludf.DUMMYFUNCTION("GOOGLETRANSLATE(G210,""pl"",""en"")"),"street. Discovered, Nowodwory, Białołęka, Warsaw, Masovian Voivodeship")</f>
        <v>street. Discovered, Nowodwory, Białołęka, Warsaw, Masovian Voivodeship</v>
      </c>
      <c r="I210" s="1" t="b">
        <v>1</v>
      </c>
      <c r="J210" s="1" t="s">
        <v>21</v>
      </c>
      <c r="K210" s="1" t="s">
        <v>22</v>
      </c>
      <c r="L210" s="1" t="s">
        <v>1020</v>
      </c>
      <c r="M210" s="1">
        <v>4</v>
      </c>
      <c r="N210" s="1" t="s">
        <v>24</v>
      </c>
      <c r="O210" s="1" t="str">
        <f ca="1">IFERROR(__xludf.DUMMYFUNCTION("GOOGLETRANSLATE(N210,""pl"",""en"")"),"full ownership")</f>
        <v>full ownership</v>
      </c>
      <c r="P210" s="3" t="s">
        <v>1021</v>
      </c>
      <c r="Q210" s="1" t="b">
        <v>1</v>
      </c>
      <c r="R210" s="1" t="s">
        <v>1022</v>
      </c>
    </row>
    <row r="211" spans="1:18" x14ac:dyDescent="0.25">
      <c r="A211" s="2">
        <v>45308</v>
      </c>
      <c r="B211" s="1" t="s">
        <v>1023</v>
      </c>
      <c r="C211" s="1" t="str">
        <f ca="1">IFERROR(__xludf.DUMMYFUNCTION("GOOGLETRANSLATE(B211,""pl"",""en"")"),"Comfortable 3 rooms - two balconies - IQ2024")</f>
        <v>Comfortable 3 rooms - two balconies - IQ2024</v>
      </c>
      <c r="D211" s="1">
        <v>614409</v>
      </c>
      <c r="E211" s="1" t="s">
        <v>19</v>
      </c>
      <c r="F211" s="1">
        <v>56.5</v>
      </c>
      <c r="G211" s="1" t="s">
        <v>4728</v>
      </c>
      <c r="H211" s="1" t="str">
        <f ca="1">IFERROR(__xludf.DUMMYFUNCTION("GOOGLETRANSLATE(G211,""pl"",""en"")"),"Naramowice, Old Town, Poznań, Greater Poland")</f>
        <v>Naramowice, Old Town, Poznań, Greater Poland</v>
      </c>
      <c r="I211" s="1" t="s">
        <v>21</v>
      </c>
      <c r="J211" s="1" t="s">
        <v>21</v>
      </c>
      <c r="K211" s="1" t="s">
        <v>22</v>
      </c>
      <c r="L211" s="1" t="s">
        <v>1024</v>
      </c>
      <c r="M211" s="1">
        <v>3</v>
      </c>
      <c r="N211" s="1" t="s">
        <v>24</v>
      </c>
      <c r="O211" s="1" t="str">
        <f ca="1">IFERROR(__xludf.DUMMYFUNCTION("GOOGLETRANSLATE(N211,""pl"",""en"")"),"full ownership")</f>
        <v>full ownership</v>
      </c>
      <c r="P211" s="3" t="s">
        <v>1025</v>
      </c>
      <c r="Q211" s="1" t="b">
        <v>1</v>
      </c>
      <c r="R211" s="1" t="s">
        <v>1026</v>
      </c>
    </row>
    <row r="212" spans="1:18" x14ac:dyDescent="0.25">
      <c r="A212" s="2">
        <v>45308</v>
      </c>
      <c r="B212" s="1" t="s">
        <v>1027</v>
      </c>
      <c r="C212" s="1" t="str">
        <f ca="1">IFERROR(__xludf.DUMMYFUNCTION("GOOGLETRANSLATE(B212,""pl"",""en"")"),"Apartment, 1p, 2 rooms - 300m from the lake, Olecko")</f>
        <v>Apartment, 1p, 2 rooms - 300m from the lake, Olecko</v>
      </c>
      <c r="D212" s="1">
        <v>150000</v>
      </c>
      <c r="E212" s="1" t="s">
        <v>33</v>
      </c>
      <c r="F212" s="1">
        <v>35.43</v>
      </c>
      <c r="G212" s="1" t="s">
        <v>1028</v>
      </c>
      <c r="H212" s="1" t="str">
        <f ca="1">IFERROR(__xludf.DUMMYFUNCTION("GOOGLETRANSLATE(G212,""pl"",""en"")"),"Olecko, Olecko, Olecki, Warmian-Masurian Voivodeship")</f>
        <v>Olecko, Olecko, Olecki, Warmian-Masurian Voivodeship</v>
      </c>
      <c r="I212" s="1" t="s">
        <v>21</v>
      </c>
      <c r="J212" s="1" t="s">
        <v>21</v>
      </c>
      <c r="K212" s="1" t="s">
        <v>22</v>
      </c>
      <c r="L212" s="1" t="s">
        <v>1029</v>
      </c>
      <c r="M212" s="1">
        <v>2</v>
      </c>
      <c r="N212" s="1" t="s">
        <v>85</v>
      </c>
      <c r="O212" s="1" t="str">
        <f ca="1">IFERROR(__xludf.DUMMYFUNCTION("GOOGLETRANSLATE(N212,""pl"",""en"")"),"Cooperative ownership of the right to the premises")</f>
        <v>Cooperative ownership of the right to the premises</v>
      </c>
      <c r="P212" s="3" t="s">
        <v>1030</v>
      </c>
      <c r="Q212" s="1" t="b">
        <v>1</v>
      </c>
      <c r="R212" s="1" t="s">
        <v>1031</v>
      </c>
    </row>
    <row r="213" spans="1:18" x14ac:dyDescent="0.25">
      <c r="A213" s="2">
        <v>45308</v>
      </c>
      <c r="B213" s="1" t="s">
        <v>1032</v>
      </c>
      <c r="C213" s="1" t="str">
        <f ca="1">IFERROR(__xludf.DUMMYFUNCTION("GOOGLETRANSLATE(B213,""pl"",""en"")"),"Mysłowice- Centrum/Anek M3/furnished/loan 2%")</f>
        <v>Mysłowice- Centrum/Anek M3/furnished/loan 2%</v>
      </c>
      <c r="D213" s="1">
        <v>255000</v>
      </c>
      <c r="E213" s="1" t="s">
        <v>33</v>
      </c>
      <c r="F213" s="1">
        <v>49</v>
      </c>
      <c r="G213" s="1" t="s">
        <v>592</v>
      </c>
      <c r="H213" s="1" t="str">
        <f ca="1">IFERROR(__xludf.DUMMYFUNCTION("GOOGLETRANSLATE(G213,""pl"",""en"")"),"street. Krakowska, Mysłowice, Silesian Voivodeship")</f>
        <v>street. Krakowska, Mysłowice, Silesian Voivodeship</v>
      </c>
      <c r="I213" s="1" t="b">
        <v>1</v>
      </c>
      <c r="J213" s="1" t="s">
        <v>21</v>
      </c>
      <c r="K213" s="1" t="s">
        <v>22</v>
      </c>
      <c r="L213" s="1" t="s">
        <v>1033</v>
      </c>
      <c r="M213" s="1">
        <v>2</v>
      </c>
      <c r="N213" s="1" t="s">
        <v>24</v>
      </c>
      <c r="O213" s="1" t="str">
        <f ca="1">IFERROR(__xludf.DUMMYFUNCTION("GOOGLETRANSLATE(N213,""pl"",""en"")"),"full ownership")</f>
        <v>full ownership</v>
      </c>
      <c r="P213" s="3" t="s">
        <v>1034</v>
      </c>
      <c r="Q213" s="1" t="b">
        <v>1</v>
      </c>
      <c r="R213" s="1" t="s">
        <v>1035</v>
      </c>
    </row>
    <row r="214" spans="1:18" x14ac:dyDescent="0.25">
      <c r="A214" s="2">
        <v>45308</v>
      </c>
      <c r="B214" s="1" t="s">
        <v>1036</v>
      </c>
      <c r="C214" s="1" t="str">
        <f ca="1">IFERROR(__xludf.DUMMYFUNCTION("GOOGLETRANSLATE(B214,""pl"",""en"")"),"I will sell a 3pok70m-w-wa-vena-academic apartment")</f>
        <v>I will sell a 3pok70m-w-wa-vena-academic apartment</v>
      </c>
      <c r="D214" s="1">
        <v>1500000</v>
      </c>
      <c r="E214" s="1" t="s">
        <v>33</v>
      </c>
      <c r="F214" s="1">
        <v>69.3</v>
      </c>
      <c r="G214" s="1" t="s">
        <v>1037</v>
      </c>
      <c r="H214" s="1" t="str">
        <f ca="1">IFERROR(__xludf.DUMMYFUNCTION("GOOGLETRANSLATE(G214,""pl"",""en"")"),"street. Akademicka, Stara Ochota, Ochota, Warsaw, Masovian Voivodeship")</f>
        <v>street. Akademicka, Stara Ochota, Ochota, Warsaw, Masovian Voivodeship</v>
      </c>
      <c r="I214" s="1" t="s">
        <v>21</v>
      </c>
      <c r="J214" s="1" t="s">
        <v>21</v>
      </c>
      <c r="K214" s="1" t="s">
        <v>22</v>
      </c>
      <c r="L214" s="1" t="s">
        <v>1038</v>
      </c>
      <c r="M214" s="1">
        <v>3</v>
      </c>
      <c r="N214" s="1" t="s">
        <v>85</v>
      </c>
      <c r="O214" s="1" t="str">
        <f ca="1">IFERROR(__xludf.DUMMYFUNCTION("GOOGLETRANSLATE(N214,""pl"",""en"")"),"Cooperative ownership of the right to the premises")</f>
        <v>Cooperative ownership of the right to the premises</v>
      </c>
      <c r="P214" s="3" t="s">
        <v>1039</v>
      </c>
      <c r="Q214" s="1" t="b">
        <v>1</v>
      </c>
      <c r="R214" s="1" t="s">
        <v>1040</v>
      </c>
    </row>
    <row r="215" spans="1:18" x14ac:dyDescent="0.25">
      <c r="A215" s="2">
        <v>45308</v>
      </c>
      <c r="B215" s="1" t="s">
        <v>1041</v>
      </c>
      <c r="C215" s="1" t="str">
        <f ca="1">IFERROR(__xludf.DUMMYFUNCTION("GOOGLETRANSLATE(B215,""pl"",""en"")"),"Apartment on the top floor in the center of Wrocław")</f>
        <v>Apartment on the top floor in the center of Wrocław</v>
      </c>
      <c r="D215" s="1">
        <v>2026919</v>
      </c>
      <c r="E215" s="1" t="s">
        <v>19</v>
      </c>
      <c r="F215" s="1">
        <v>87.67</v>
      </c>
      <c r="G215" s="1" t="s">
        <v>1042</v>
      </c>
      <c r="H215" s="1" t="str">
        <f ca="1">IFERROR(__xludf.DUMMYFUNCTION("GOOGLETRANSLATE(G215,""pl"",""en"")"),"Kościuszki Square, Przedmieście Świdnickie, Old Town, Wrocław, DolnoSilesian Voivodeship")</f>
        <v>Kościuszki Square, Przedmieście Świdnickie, Old Town, Wrocław, DolnoSilesian Voivodeship</v>
      </c>
      <c r="I215" s="1" t="s">
        <v>21</v>
      </c>
      <c r="J215" s="1" t="s">
        <v>21</v>
      </c>
      <c r="K215" s="1" t="s">
        <v>22</v>
      </c>
      <c r="L215" s="1" t="s">
        <v>1043</v>
      </c>
      <c r="M215" s="1">
        <v>4</v>
      </c>
      <c r="N215" s="1" t="s">
        <v>24</v>
      </c>
      <c r="O215" s="1" t="str">
        <f ca="1">IFERROR(__xludf.DUMMYFUNCTION("GOOGLETRANSLATE(N215,""pl"",""en"")"),"full ownership")</f>
        <v>full ownership</v>
      </c>
      <c r="P215" s="3" t="s">
        <v>1044</v>
      </c>
      <c r="Q215" s="1" t="b">
        <v>1</v>
      </c>
      <c r="R215" s="1" t="s">
        <v>1045</v>
      </c>
    </row>
    <row r="216" spans="1:18" x14ac:dyDescent="0.25">
      <c r="A216" s="2">
        <v>45308</v>
      </c>
      <c r="B216" s="1" t="s">
        <v>1046</v>
      </c>
      <c r="C216" s="1" t="str">
        <f ca="1">IFERROR(__xludf.DUMMYFUNCTION("GOOGLETRANSLATE(B216,""pl"",""en"")"),"3 room. A large public parking lot.")</f>
        <v>3 room. A large public parking lot.</v>
      </c>
      <c r="D216" s="1">
        <v>467495</v>
      </c>
      <c r="E216" s="1" t="s">
        <v>19</v>
      </c>
      <c r="F216" s="1">
        <v>58.51</v>
      </c>
      <c r="G216" s="1" t="s">
        <v>4729</v>
      </c>
      <c r="H216" s="1" t="str">
        <f ca="1">IFERROR(__xludf.DUMMYFUNCTION("GOOGLETRANSLATE(G216,""pl"",""en"")"),"street. Jachtowa, Luboń, Poznań, Greater Poland")</f>
        <v>street. Jachtowa, Luboń, Poznań, Greater Poland</v>
      </c>
      <c r="I216" s="1" t="b">
        <v>1</v>
      </c>
      <c r="J216" s="1" t="s">
        <v>21</v>
      </c>
      <c r="K216" s="1" t="s">
        <v>194</v>
      </c>
      <c r="L216" s="1" t="s">
        <v>1047</v>
      </c>
      <c r="M216" s="1">
        <v>3</v>
      </c>
      <c r="N216" s="1" t="s">
        <v>24</v>
      </c>
      <c r="O216" s="1" t="str">
        <f ca="1">IFERROR(__xludf.DUMMYFUNCTION("GOOGLETRANSLATE(N216,""pl"",""en"")"),"full ownership")</f>
        <v>full ownership</v>
      </c>
      <c r="P216" s="3" t="s">
        <v>1048</v>
      </c>
      <c r="Q216" s="1" t="b">
        <v>1</v>
      </c>
      <c r="R216" s="1" t="s">
        <v>1049</v>
      </c>
    </row>
    <row r="217" spans="1:18" x14ac:dyDescent="0.25">
      <c r="A217" s="2">
        <v>45308</v>
      </c>
      <c r="B217" s="1" t="s">
        <v>1050</v>
      </c>
      <c r="C217" s="1" t="str">
        <f ca="1">IFERROR(__xludf.DUMMYFUNCTION("GOOGLETRANSLATE(B217,""pl"",""en"")"),"Apartment 51m2, 3 rooms, directly, 0% PCC")</f>
        <v>Apartment 51m2, 3 rooms, directly, 0% PCC</v>
      </c>
      <c r="D217" s="1">
        <v>564680</v>
      </c>
      <c r="E217" s="1" t="s">
        <v>19</v>
      </c>
      <c r="F217" s="1">
        <v>51.01</v>
      </c>
      <c r="G217" s="1" t="s">
        <v>1051</v>
      </c>
      <c r="H217" s="1" t="str">
        <f ca="1">IFERROR(__xludf.DUMMYFUNCTION("GOOGLETRANSLATE(G217,""pl"",""en"")"),"Stare Bielsko, Bielsko-Biała, Silesian Voivodeship")</f>
        <v>Stare Bielsko, Bielsko-Biała, Silesian Voivodeship</v>
      </c>
      <c r="I217" s="1" t="s">
        <v>21</v>
      </c>
      <c r="J217" s="1" t="s">
        <v>21</v>
      </c>
      <c r="K217" s="1" t="s">
        <v>22</v>
      </c>
      <c r="L217" s="1" t="s">
        <v>1052</v>
      </c>
      <c r="M217" s="1">
        <v>3</v>
      </c>
      <c r="N217" s="1" t="s">
        <v>24</v>
      </c>
      <c r="O217" s="1" t="str">
        <f ca="1">IFERROR(__xludf.DUMMYFUNCTION("GOOGLETRANSLATE(N217,""pl"",""en"")"),"full ownership")</f>
        <v>full ownership</v>
      </c>
      <c r="P217" s="3" t="s">
        <v>1053</v>
      </c>
      <c r="Q217" s="1" t="b">
        <v>1</v>
      </c>
      <c r="R217" s="1" t="s">
        <v>1054</v>
      </c>
    </row>
    <row r="218" spans="1:18" x14ac:dyDescent="0.25">
      <c r="A218" s="2">
        <v>45308</v>
      </c>
      <c r="B218" s="1" t="s">
        <v>1055</v>
      </c>
      <c r="C218" s="1" t="str">
        <f ca="1">IFERROR(__xludf.DUMMYFUNCTION("GOOGLETRANSLATE(B218,""pl"",""en"")"),"Charming apartment with a large garden")</f>
        <v>Charming apartment with a large garden</v>
      </c>
      <c r="D218" s="1">
        <v>715400</v>
      </c>
      <c r="E218" s="1" t="s">
        <v>33</v>
      </c>
      <c r="F218" s="1">
        <v>96.2</v>
      </c>
      <c r="G218" s="1" t="s">
        <v>1056</v>
      </c>
      <c r="H218" s="1" t="str">
        <f ca="1">IFERROR(__xludf.DUMMYFUNCTION("GOOGLETRANSLATE(G218,""pl"",""en"")"),"Podjuchy, Prawabrzeże, Szczecin, West Pomeranian Voivodeship")</f>
        <v>Podjuchy, Prawabrzeże, Szczecin, West Pomeranian Voivodeship</v>
      </c>
      <c r="I218" s="1" t="s">
        <v>21</v>
      </c>
      <c r="J218" s="1" t="s">
        <v>21</v>
      </c>
      <c r="K218" s="1" t="s">
        <v>22</v>
      </c>
      <c r="L218" s="1" t="s">
        <v>1057</v>
      </c>
      <c r="M218" s="1">
        <v>4</v>
      </c>
      <c r="N218" s="1" t="s">
        <v>24</v>
      </c>
      <c r="O218" s="1" t="str">
        <f ca="1">IFERROR(__xludf.DUMMYFUNCTION("GOOGLETRANSLATE(N218,""pl"",""en"")"),"full ownership")</f>
        <v>full ownership</v>
      </c>
      <c r="P218" s="3" t="s">
        <v>1058</v>
      </c>
      <c r="Q218" s="1" t="b">
        <v>1</v>
      </c>
      <c r="R218" s="1" t="s">
        <v>1059</v>
      </c>
    </row>
    <row r="219" spans="1:18" x14ac:dyDescent="0.25">
      <c r="A219" s="2">
        <v>45308</v>
      </c>
      <c r="B219" s="1" t="s">
        <v>1060</v>
      </c>
      <c r="C219" s="1" t="str">
        <f ca="1">IFERROR(__xludf.DUMMYFUNCTION("GOOGLETRANSLATE(B219,""pl"",""en"")"),"Double -sided apartment with a balcony")</f>
        <v>Double -sided apartment with a balcony</v>
      </c>
      <c r="D219" s="1">
        <v>209000</v>
      </c>
      <c r="E219" s="1" t="s">
        <v>33</v>
      </c>
      <c r="F219" s="1">
        <v>39</v>
      </c>
      <c r="G219" s="1" t="s">
        <v>1061</v>
      </c>
      <c r="H219" s="1" t="str">
        <f ca="1">IFERROR(__xludf.DUMMYFUNCTION("GOOGLETRANSLATE(G219,""pl"",""en"")"),"street. Śniadeckich, Grudziądz, Kujawsko-Pomeranian Voivodeship")</f>
        <v>street. Śniadeckich, Grudziądz, Kujawsko-Pomeranian Voivodeship</v>
      </c>
      <c r="I219" s="1" t="s">
        <v>21</v>
      </c>
      <c r="J219" s="1" t="s">
        <v>21</v>
      </c>
      <c r="K219" s="1" t="s">
        <v>22</v>
      </c>
      <c r="L219" s="1" t="s">
        <v>1062</v>
      </c>
      <c r="M219" s="1">
        <v>2</v>
      </c>
      <c r="N219" s="1" t="s">
        <v>85</v>
      </c>
      <c r="O219" s="1" t="str">
        <f ca="1">IFERROR(__xludf.DUMMYFUNCTION("GOOGLETRANSLATE(N219,""pl"",""en"")"),"Cooperative ownership of the right to the premises")</f>
        <v>Cooperative ownership of the right to the premises</v>
      </c>
      <c r="P219" s="3" t="s">
        <v>1063</v>
      </c>
      <c r="Q219" s="1" t="b">
        <v>1</v>
      </c>
      <c r="R219" s="1" t="s">
        <v>1064</v>
      </c>
    </row>
    <row r="220" spans="1:18" x14ac:dyDescent="0.25">
      <c r="A220" s="2">
        <v>45308</v>
      </c>
      <c r="B220" s="1" t="s">
        <v>1065</v>
      </c>
      <c r="C220" s="1" t="str">
        <f ca="1">IFERROR(__xludf.DUMMYFUNCTION("GOOGLETRANSLATE(B220,""pl"",""en"")"),"The latest offer! Great houses in Czekanów!")</f>
        <v>The latest offer! Great houses in Czekanów!</v>
      </c>
      <c r="D220" s="1">
        <v>890000</v>
      </c>
      <c r="E220" s="1" t="s">
        <v>19</v>
      </c>
      <c r="F220" s="1">
        <v>135.04</v>
      </c>
      <c r="G220" s="1" t="s">
        <v>1066</v>
      </c>
      <c r="H220" s="1" t="str">
        <f ca="1">IFERROR(__xludf.DUMMYFUNCTION("GOOGLETRANSLATE(G220,""pl"",""en"")"),"street. Kolejowa, Czekanów, Zbrosławice, Tarnogórski, Silesian Voivodeship")</f>
        <v>street. Kolejowa, Czekanów, Zbrosławice, Tarnogórski, Silesian Voivodeship</v>
      </c>
      <c r="I220" s="1" t="b">
        <v>1</v>
      </c>
      <c r="J220" s="1" t="s">
        <v>21</v>
      </c>
      <c r="K220" s="1" t="s">
        <v>22</v>
      </c>
      <c r="L220" s="1" t="s">
        <v>1067</v>
      </c>
      <c r="M220" s="1">
        <v>5</v>
      </c>
      <c r="N220" s="1" t="s">
        <v>21</v>
      </c>
      <c r="O220" s="1" t="str">
        <f ca="1">IFERROR(__xludf.DUMMYFUNCTION("GOOGLETRANSLATE(N220,""pl"",""en"")"),"null")</f>
        <v>null</v>
      </c>
      <c r="P220" s="3" t="s">
        <v>1068</v>
      </c>
      <c r="Q220" s="1" t="b">
        <v>1</v>
      </c>
      <c r="R220" s="1" t="s">
        <v>1069</v>
      </c>
    </row>
    <row r="221" spans="1:18" x14ac:dyDescent="0.25">
      <c r="A221" s="2">
        <v>45308</v>
      </c>
      <c r="B221" s="1" t="s">
        <v>1070</v>
      </c>
      <c r="C221" s="1" t="str">
        <f ca="1">IFERROR(__xludf.DUMMYFUNCTION("GOOGLETRANSLATE(B221,""pl"",""en"")"),"69.59 m2 on the border of Morena/Jasień - floor 3/3")</f>
        <v>69.59 m2 on the border of Morena/Jasień - floor 3/3</v>
      </c>
      <c r="D221" s="1">
        <v>646000</v>
      </c>
      <c r="E221" s="1" t="s">
        <v>19</v>
      </c>
      <c r="F221" s="1">
        <v>69.59</v>
      </c>
      <c r="G221" s="1" t="s">
        <v>1071</v>
      </c>
      <c r="H221" s="1" t="str">
        <f ca="1">IFERROR(__xludf.DUMMYFUNCTION("GOOGLETRANSLATE(G221,""pl"",""en"")"),"Jasień, Gdańsk, Pomeranian Voivodeship")</f>
        <v>Jasień, Gdańsk, Pomeranian Voivodeship</v>
      </c>
      <c r="I221" s="1" t="s">
        <v>21</v>
      </c>
      <c r="J221" s="1" t="s">
        <v>21</v>
      </c>
      <c r="K221" s="1" t="s">
        <v>22</v>
      </c>
      <c r="L221" s="1" t="s">
        <v>1072</v>
      </c>
      <c r="M221" s="1">
        <v>4</v>
      </c>
      <c r="N221" s="1" t="s">
        <v>24</v>
      </c>
      <c r="O221" s="1" t="str">
        <f ca="1">IFERROR(__xludf.DUMMYFUNCTION("GOOGLETRANSLATE(N221,""pl"",""en"")"),"full ownership")</f>
        <v>full ownership</v>
      </c>
      <c r="P221" s="3" t="s">
        <v>1073</v>
      </c>
      <c r="Q221" s="1" t="b">
        <v>1</v>
      </c>
      <c r="R221" s="1" t="s">
        <v>1074</v>
      </c>
    </row>
    <row r="222" spans="1:18" x14ac:dyDescent="0.25">
      <c r="A222" s="2">
        <v>45308</v>
      </c>
      <c r="B222" s="1" t="s">
        <v>1075</v>
      </c>
      <c r="C222" s="1" t="str">
        <f ca="1">IFERROR(__xludf.DUMMYFUNCTION("GOOGLETRANSLATE(B222,""pl"",""en"")"),"Studio after renovation with air conditioning")</f>
        <v>Studio after renovation with air conditioning</v>
      </c>
      <c r="D222" s="1">
        <v>219000</v>
      </c>
      <c r="E222" s="1" t="s">
        <v>33</v>
      </c>
      <c r="F222" s="1">
        <v>33.5</v>
      </c>
      <c r="G222" s="1" t="s">
        <v>1076</v>
      </c>
      <c r="H222" s="1" t="str">
        <f ca="1">IFERROR(__xludf.DUMMYFUNCTION("GOOGLETRANSLATE(G222,""pl"",""en"")"),"street. Kaszubska, Jastrzębie-Zdrój, Silesian Voivodeship")</f>
        <v>street. Kaszubska, Jastrzębie-Zdrój, Silesian Voivodeship</v>
      </c>
      <c r="I222" s="1" t="b">
        <v>1</v>
      </c>
      <c r="J222" s="1" t="s">
        <v>21</v>
      </c>
      <c r="K222" s="1" t="s">
        <v>22</v>
      </c>
      <c r="L222" s="1" t="s">
        <v>1077</v>
      </c>
      <c r="M222" s="1">
        <v>1</v>
      </c>
      <c r="N222" s="1" t="s">
        <v>85</v>
      </c>
      <c r="O222" s="1" t="str">
        <f ca="1">IFERROR(__xludf.DUMMYFUNCTION("GOOGLETRANSLATE(N222,""pl"",""en"")"),"Cooperative ownership of the right to the premises")</f>
        <v>Cooperative ownership of the right to the premises</v>
      </c>
      <c r="P222" s="3" t="s">
        <v>1078</v>
      </c>
      <c r="Q222" s="1" t="b">
        <v>1</v>
      </c>
      <c r="R222" s="1" t="s">
        <v>1079</v>
      </c>
    </row>
    <row r="223" spans="1:18" x14ac:dyDescent="0.25">
      <c r="A223" s="2">
        <v>45308</v>
      </c>
      <c r="B223" s="1" t="s">
        <v>1080</v>
      </c>
      <c r="C223" s="1" t="str">
        <f ca="1">IFERROR(__xludf.DUMMYFUNCTION("GOOGLETRANSLATE(B223,""pl"",""en"")"),"New, ready to live, beautifully furnished")</f>
        <v>New, ready to live, beautifully furnished</v>
      </c>
      <c r="D223" s="1">
        <v>509000</v>
      </c>
      <c r="E223" s="1" t="s">
        <v>33</v>
      </c>
      <c r="F223" s="1">
        <v>49.47</v>
      </c>
      <c r="G223" s="1" t="s">
        <v>263</v>
      </c>
      <c r="H223" s="1" t="str">
        <f ca="1">IFERROR(__xludf.DUMMYFUNCTION("GOOGLETRANSLATE(G223,""pl"",""en"")"),"Koszalin, West Pomeranian Voivodeship")</f>
        <v>Koszalin, West Pomeranian Voivodeship</v>
      </c>
      <c r="I223" s="1" t="s">
        <v>21</v>
      </c>
      <c r="J223" s="1" t="s">
        <v>21</v>
      </c>
      <c r="K223" s="1" t="s">
        <v>45</v>
      </c>
      <c r="L223" s="1" t="s">
        <v>1081</v>
      </c>
      <c r="M223" s="1">
        <v>3</v>
      </c>
      <c r="N223" s="1" t="s">
        <v>24</v>
      </c>
      <c r="O223" s="1" t="str">
        <f ca="1">IFERROR(__xludf.DUMMYFUNCTION("GOOGLETRANSLATE(N223,""pl"",""en"")"),"full ownership")</f>
        <v>full ownership</v>
      </c>
      <c r="P223" s="3" t="s">
        <v>1082</v>
      </c>
      <c r="Q223" s="1" t="b">
        <v>1</v>
      </c>
      <c r="R223" s="1" t="s">
        <v>1083</v>
      </c>
    </row>
    <row r="224" spans="1:18" x14ac:dyDescent="0.25">
      <c r="A224" s="2">
        <v>45308</v>
      </c>
      <c r="B224" s="1" t="s">
        <v>1084</v>
      </c>
      <c r="C224" s="1" t="str">
        <f ca="1">IFERROR(__xludf.DUMMYFUNCTION("GOOGLETRANSLATE(B224,""pl"",""en"")"),"Antoniuk 49 m2 for entrance, 3 rooms after renovation")</f>
        <v>Antoniuk 49 m2 for entrance, 3 rooms after renovation</v>
      </c>
      <c r="D224" s="1">
        <v>485000</v>
      </c>
      <c r="E224" s="1" t="s">
        <v>33</v>
      </c>
      <c r="F224" s="1">
        <v>49</v>
      </c>
      <c r="G224" s="1" t="s">
        <v>1085</v>
      </c>
      <c r="H224" s="1" t="str">
        <f ca="1">IFERROR(__xludf.DUMMYFUNCTION("GOOGLETRANSLATE(G224,""pl"",""en"")"),"Antoniuk, Białystok, Podlasie")</f>
        <v>Antoniuk, Białystok, Podlasie</v>
      </c>
      <c r="I224" s="1" t="s">
        <v>21</v>
      </c>
      <c r="J224" s="1" t="s">
        <v>21</v>
      </c>
      <c r="K224" s="1" t="s">
        <v>22</v>
      </c>
      <c r="L224" s="1" t="s">
        <v>1086</v>
      </c>
      <c r="M224" s="1">
        <v>3</v>
      </c>
      <c r="N224" s="1" t="s">
        <v>24</v>
      </c>
      <c r="O224" s="1" t="str">
        <f ca="1">IFERROR(__xludf.DUMMYFUNCTION("GOOGLETRANSLATE(N224,""pl"",""en"")"),"full ownership")</f>
        <v>full ownership</v>
      </c>
      <c r="P224" s="3" t="s">
        <v>1087</v>
      </c>
      <c r="Q224" s="1" t="b">
        <v>1</v>
      </c>
      <c r="R224" s="1" t="s">
        <v>1088</v>
      </c>
    </row>
    <row r="225" spans="1:18" x14ac:dyDescent="0.25">
      <c r="A225" s="2">
        <v>45308</v>
      </c>
      <c r="B225" s="1" t="s">
        <v>1089</v>
      </c>
      <c r="C225" s="1" t="str">
        <f ca="1">IFERROR(__xludf.DUMMYFUNCTION("GOOGLETRANSLATE(B225,""pl"",""en"")"),"Mixing for renovation")</f>
        <v>Mixing for renovation</v>
      </c>
      <c r="D225" s="1">
        <v>269000</v>
      </c>
      <c r="E225" s="1" t="s">
        <v>33</v>
      </c>
      <c r="F225" s="1">
        <v>40.51</v>
      </c>
      <c r="G225" s="1" t="s">
        <v>4730</v>
      </c>
      <c r="H225" s="1" t="str">
        <f ca="1">IFERROR(__xludf.DUMMYFUNCTION("GOOGLETRANSLATE(G225,""pl"",""en"")"),"Grotowice, Opole, Opole Voivodeship")</f>
        <v>Grotowice, Opole, Opole Voivodeship</v>
      </c>
      <c r="I225" s="1" t="s">
        <v>21</v>
      </c>
      <c r="J225" s="1" t="s">
        <v>21</v>
      </c>
      <c r="K225" s="1" t="s">
        <v>22</v>
      </c>
      <c r="L225" s="1" t="s">
        <v>1090</v>
      </c>
      <c r="M225" s="1">
        <v>3</v>
      </c>
      <c r="N225" s="1" t="s">
        <v>24</v>
      </c>
      <c r="O225" s="1" t="str">
        <f ca="1">IFERROR(__xludf.DUMMYFUNCTION("GOOGLETRANSLATE(N225,""pl"",""en"")"),"full ownership")</f>
        <v>full ownership</v>
      </c>
      <c r="P225" s="3" t="s">
        <v>1091</v>
      </c>
      <c r="Q225" s="1" t="b">
        <v>1</v>
      </c>
      <c r="R225" s="1" t="s">
        <v>1092</v>
      </c>
    </row>
    <row r="226" spans="1:18" x14ac:dyDescent="0.25">
      <c r="A226" s="2">
        <v>45308</v>
      </c>
      <c r="B226" s="1" t="s">
        <v>1093</v>
      </c>
      <c r="C226" s="1" t="str">
        <f ca="1">IFERROR(__xludf.DUMMYFUNCTION("GOOGLETRANSLATE(B226,""pl"",""en"")"),"Opportunity! Apartment near the sea ul. Spa")</f>
        <v>Opportunity! Apartment near the sea ul. Spa</v>
      </c>
      <c r="D226" s="1">
        <v>675000</v>
      </c>
      <c r="E226" s="1" t="s">
        <v>33</v>
      </c>
      <c r="F226" s="1">
        <v>28.21</v>
      </c>
      <c r="G226" s="1" t="s">
        <v>1094</v>
      </c>
      <c r="H226" s="1" t="str">
        <f ca="1">IFERROR(__xludf.DUMMYFUNCTION("GOOGLETRANSLATE(G226,""pl"",""en"")"),"street. Zdrojowa, Świnoujście, ZachodnioPomeranian Voivodeship")</f>
        <v>street. Zdrojowa, Świnoujście, ZachodnioPomeranian Voivodeship</v>
      </c>
      <c r="I226" s="1" t="s">
        <v>21</v>
      </c>
      <c r="J226" s="1" t="s">
        <v>21</v>
      </c>
      <c r="K226" s="1" t="s">
        <v>22</v>
      </c>
      <c r="L226" s="1" t="s">
        <v>1095</v>
      </c>
      <c r="M226" s="1">
        <v>1</v>
      </c>
      <c r="N226" s="1" t="s">
        <v>24</v>
      </c>
      <c r="O226" s="1" t="str">
        <f ca="1">IFERROR(__xludf.DUMMYFUNCTION("GOOGLETRANSLATE(N226,""pl"",""en"")"),"full ownership")</f>
        <v>full ownership</v>
      </c>
      <c r="P226" s="3" t="s">
        <v>1096</v>
      </c>
      <c r="Q226" s="1" t="b">
        <v>1</v>
      </c>
      <c r="R226" s="1" t="s">
        <v>1097</v>
      </c>
    </row>
    <row r="227" spans="1:18" x14ac:dyDescent="0.25">
      <c r="A227" s="2">
        <v>45308</v>
      </c>
      <c r="B227" s="1" t="s">
        <v>1098</v>
      </c>
      <c r="C227" s="1" t="str">
        <f ca="1">IFERROR(__xludf.DUMMYFUNCTION("GOOGLETRANSLATE(B227,""pl"",""en"")"),"44.70m2 - Gdańsk Suchanino - ready for collection")</f>
        <v>44.70m2 - Gdańsk Suchanino - ready for collection</v>
      </c>
      <c r="D227" s="1">
        <v>853770</v>
      </c>
      <c r="E227" s="1" t="s">
        <v>19</v>
      </c>
      <c r="F227" s="1">
        <v>44.7</v>
      </c>
      <c r="G227" s="1" t="s">
        <v>1099</v>
      </c>
      <c r="H227" s="1" t="str">
        <f ca="1">IFERROR(__xludf.DUMMYFUNCTION("GOOGLETRANSLATE(G227,""pl"",""en"")"),"Orunia-Św. Wojciech-Lipka, Gdańsk, Pomeranian Voivodeship")</f>
        <v>Orunia-Św. Wojciech-Lipka, Gdańsk, Pomeranian Voivodeship</v>
      </c>
      <c r="I227" s="1" t="s">
        <v>21</v>
      </c>
      <c r="J227" s="1" t="s">
        <v>21</v>
      </c>
      <c r="K227" s="1" t="s">
        <v>22</v>
      </c>
      <c r="L227" s="1" t="s">
        <v>1100</v>
      </c>
      <c r="M227" s="1">
        <v>2</v>
      </c>
      <c r="N227" s="1" t="s">
        <v>24</v>
      </c>
      <c r="O227" s="1" t="str">
        <f ca="1">IFERROR(__xludf.DUMMYFUNCTION("GOOGLETRANSLATE(N227,""pl"",""en"")"),"full ownership")</f>
        <v>full ownership</v>
      </c>
      <c r="P227" s="3" t="s">
        <v>1101</v>
      </c>
      <c r="Q227" s="1" t="b">
        <v>1</v>
      </c>
      <c r="R227" s="1" t="s">
        <v>1102</v>
      </c>
    </row>
    <row r="228" spans="1:18" x14ac:dyDescent="0.25">
      <c r="A228" s="2">
        <v>45308</v>
      </c>
      <c r="B228" s="1" t="s">
        <v>1103</v>
      </c>
      <c r="C228" s="1" t="str">
        <f ca="1">IFERROR(__xludf.DUMMYFUNCTION("GOOGLETRANSLATE(B228,""pl"",""en"")"),"Modern architecture Unique design, 237 m2")</f>
        <v>Modern architecture Unique design, 237 m2</v>
      </c>
      <c r="D228" s="1">
        <v>3800000</v>
      </c>
      <c r="E228" s="1" t="s">
        <v>19</v>
      </c>
      <c r="F228" s="1">
        <v>237.15</v>
      </c>
      <c r="G228" s="1" t="s">
        <v>1104</v>
      </c>
      <c r="H228" s="1" t="str">
        <f ca="1">IFERROR(__xludf.DUMMYFUNCTION("GOOGLETRANSLATE(G228,""pl"",""en"")"),"street. Bielawska, Konstancin-Jeziorna, Konstancin-Jeziorna, Piaseczyński, Masovian Voivodeship")</f>
        <v>street. Bielawska, Konstancin-Jeziorna, Konstancin-Jeziorna, Piaseczyński, Masovian Voivodeship</v>
      </c>
      <c r="I228" s="1" t="b">
        <v>1</v>
      </c>
      <c r="J228" s="1" t="s">
        <v>21</v>
      </c>
      <c r="K228" s="1" t="s">
        <v>22</v>
      </c>
      <c r="L228" s="1" t="s">
        <v>1105</v>
      </c>
      <c r="M228" s="1">
        <v>5</v>
      </c>
      <c r="N228" s="1" t="s">
        <v>21</v>
      </c>
      <c r="O228" s="1" t="str">
        <f ca="1">IFERROR(__xludf.DUMMYFUNCTION("GOOGLETRANSLATE(N228,""pl"",""en"")"),"null")</f>
        <v>null</v>
      </c>
      <c r="P228" s="3" t="s">
        <v>1106</v>
      </c>
      <c r="Q228" s="1" t="b">
        <v>1</v>
      </c>
      <c r="R228" s="1" t="s">
        <v>1107</v>
      </c>
    </row>
    <row r="229" spans="1:18" x14ac:dyDescent="0.25">
      <c r="A229" s="2">
        <v>45308</v>
      </c>
      <c r="B229" s="1" t="s">
        <v>1108</v>
      </c>
      <c r="C229" s="1" t="str">
        <f ca="1">IFERROR(__xludf.DUMMYFUNCTION("GOOGLETRANSLATE(B229,""pl"",""en"")"),"Apartment, 37 m², Krakow")</f>
        <v>Apartment, 37 m², Krakow</v>
      </c>
      <c r="D229" s="1">
        <v>600000</v>
      </c>
      <c r="E229" s="1" t="s">
        <v>33</v>
      </c>
      <c r="F229" s="1">
        <v>37</v>
      </c>
      <c r="G229" s="1" t="s">
        <v>4731</v>
      </c>
      <c r="H229" s="1" t="str">
        <f ca="1">IFERROR(__xludf.DUMMYFUNCTION("GOOGLETRANSLATE(G229,""pl"",""en"")"),"street. Józef Chełmoński, Azory, Prądnik Biały, Kraków, Lesser Poland")</f>
        <v>street. Józef Chełmoński, Azory, Prądnik Biały, Kraków, Lesser Poland</v>
      </c>
      <c r="I229" s="1" t="s">
        <v>21</v>
      </c>
      <c r="J229" s="1" t="s">
        <v>21</v>
      </c>
      <c r="K229" s="1" t="s">
        <v>22</v>
      </c>
      <c r="L229" s="1" t="s">
        <v>1109</v>
      </c>
      <c r="M229" s="1">
        <v>2</v>
      </c>
      <c r="N229" s="1" t="s">
        <v>24</v>
      </c>
      <c r="O229" s="1" t="str">
        <f ca="1">IFERROR(__xludf.DUMMYFUNCTION("GOOGLETRANSLATE(N229,""pl"",""en"")"),"full ownership")</f>
        <v>full ownership</v>
      </c>
      <c r="P229" s="3" t="s">
        <v>1110</v>
      </c>
      <c r="Q229" s="1" t="b">
        <v>1</v>
      </c>
      <c r="R229" s="1" t="s">
        <v>1111</v>
      </c>
    </row>
    <row r="230" spans="1:18" x14ac:dyDescent="0.25">
      <c r="A230" s="2">
        <v>45308</v>
      </c>
      <c r="B230" s="1" t="s">
        <v>1112</v>
      </c>
      <c r="C230" s="1" t="str">
        <f ca="1">IFERROR(__xludf.DUMMYFUNCTION("GOOGLETRANSLATE(B230,""pl"",""en"")"),"Studio apartment Good standard MPEC Communication!")</f>
        <v>Studio apartment Good standard MPEC Communication!</v>
      </c>
      <c r="D230" s="1">
        <v>346000</v>
      </c>
      <c r="E230" s="1" t="s">
        <v>33</v>
      </c>
      <c r="F230" s="1">
        <v>20</v>
      </c>
      <c r="G230" s="1" t="s">
        <v>4732</v>
      </c>
      <c r="H230" s="1" t="str">
        <f ca="1">IFERROR(__xludf.DUMMYFUNCTION("GOOGLETRANSLATE(G230,""pl"",""en"")"),"Bieńczyce, Bieńczyce, Kraków, Lesser Poland")</f>
        <v>Bieńczyce, Bieńczyce, Kraków, Lesser Poland</v>
      </c>
      <c r="I230" s="1" t="s">
        <v>21</v>
      </c>
      <c r="J230" s="1" t="s">
        <v>21</v>
      </c>
      <c r="K230" s="1" t="s">
        <v>22</v>
      </c>
      <c r="L230" s="1" t="s">
        <v>1113</v>
      </c>
      <c r="M230" s="1">
        <v>1</v>
      </c>
      <c r="N230" s="1" t="s">
        <v>85</v>
      </c>
      <c r="O230" s="1" t="str">
        <f ca="1">IFERROR(__xludf.DUMMYFUNCTION("GOOGLETRANSLATE(N230,""pl"",""en"")"),"Cooperative ownership of the right to the premises")</f>
        <v>Cooperative ownership of the right to the premises</v>
      </c>
      <c r="P230" s="3" t="s">
        <v>1114</v>
      </c>
      <c r="Q230" s="1" t="b">
        <v>1</v>
      </c>
      <c r="R230" s="1" t="s">
        <v>1115</v>
      </c>
    </row>
    <row r="231" spans="1:18" x14ac:dyDescent="0.25">
      <c r="A231" s="2">
        <v>45308</v>
      </c>
      <c r="B231" s="1" t="s">
        <v>1116</v>
      </c>
      <c r="C231" s="1" t="str">
        <f ca="1">IFERROR(__xludf.DUMMYFUNCTION("GOOGLETRANSLATE(B231,""pl"",""en"")"),"2-level premises with a garden, M.Postojowe included")</f>
        <v>2-level premises with a garden, M.Postojowe included</v>
      </c>
      <c r="D231" s="1">
        <v>659000</v>
      </c>
      <c r="E231" s="1" t="s">
        <v>33</v>
      </c>
      <c r="F231" s="1">
        <v>64</v>
      </c>
      <c r="G231" s="1" t="s">
        <v>4733</v>
      </c>
      <c r="H231" s="1" t="str">
        <f ca="1">IFERROR(__xludf.DUMMYFUNCTION("GOOGLETRANSLATE(G231,""pl"",""en"")"),"Podolany, Jeżyce, Poznań, Greater Poland")</f>
        <v>Podolany, Jeżyce, Poznań, Greater Poland</v>
      </c>
      <c r="I231" s="1" t="b">
        <v>1</v>
      </c>
      <c r="J231" s="1" t="s">
        <v>21</v>
      </c>
      <c r="K231" s="1" t="s">
        <v>22</v>
      </c>
      <c r="L231" s="1" t="s">
        <v>1117</v>
      </c>
      <c r="M231" s="1">
        <v>3</v>
      </c>
      <c r="N231" s="1" t="s">
        <v>24</v>
      </c>
      <c r="O231" s="1" t="str">
        <f ca="1">IFERROR(__xludf.DUMMYFUNCTION("GOOGLETRANSLATE(N231,""pl"",""en"")"),"full ownership")</f>
        <v>full ownership</v>
      </c>
      <c r="P231" s="3" t="s">
        <v>1118</v>
      </c>
      <c r="Q231" s="1" t="b">
        <v>1</v>
      </c>
      <c r="R231" s="1" t="s">
        <v>1119</v>
      </c>
    </row>
    <row r="232" spans="1:18" x14ac:dyDescent="0.25">
      <c r="A232" s="2">
        <v>45308</v>
      </c>
      <c r="B232" s="1" t="s">
        <v>1120</v>
      </c>
      <c r="C232" s="1" t="str">
        <f ca="1">IFERROR(__xludf.DUMMYFUNCTION("GOOGLETRANSLATE(B232,""pl"",""en"")"),"Apartment/premises in the market in Limanowa")</f>
        <v>Apartment/premises in the market in Limanowa</v>
      </c>
      <c r="D232" s="1">
        <v>549000</v>
      </c>
      <c r="E232" s="1" t="s">
        <v>33</v>
      </c>
      <c r="F232" s="1">
        <v>68.099999999999994</v>
      </c>
      <c r="G232" s="1" t="s">
        <v>4734</v>
      </c>
      <c r="H232" s="1" t="str">
        <f ca="1">IFERROR(__xludf.DUMMYFUNCTION("GOOGLETRANSLATE(G232,""pl"",""en"")"),"street. Rynek, Limanowa, Limanowski, Lesser Poland")</f>
        <v>street. Rynek, Limanowa, Limanowski, Lesser Poland</v>
      </c>
      <c r="I232" s="1" t="s">
        <v>21</v>
      </c>
      <c r="J232" s="1" t="s">
        <v>21</v>
      </c>
      <c r="K232" s="1" t="s">
        <v>45</v>
      </c>
      <c r="L232" s="1" t="s">
        <v>1121</v>
      </c>
      <c r="M232" s="1">
        <v>2</v>
      </c>
      <c r="N232" s="1" t="s">
        <v>24</v>
      </c>
      <c r="O232" s="1" t="str">
        <f ca="1">IFERROR(__xludf.DUMMYFUNCTION("GOOGLETRANSLATE(N232,""pl"",""en"")"),"full ownership")</f>
        <v>full ownership</v>
      </c>
      <c r="P232" s="3" t="s">
        <v>1122</v>
      </c>
      <c r="Q232" s="1" t="b">
        <v>1</v>
      </c>
      <c r="R232" s="1" t="s">
        <v>1123</v>
      </c>
    </row>
    <row r="233" spans="1:18" x14ac:dyDescent="0.25">
      <c r="A233" s="2">
        <v>45308</v>
      </c>
      <c r="B233" s="1" t="s">
        <v>1124</v>
      </c>
      <c r="C233" s="1" t="str">
        <f ca="1">IFERROR(__xludf.DUMMYFUNCTION("GOOGLETRANSLATE(B233,""pl"",""en"")"),"Chrobrego 3 rooms, two two -sided floor, sunny")</f>
        <v>Chrobrego 3 rooms, two two -sided floor, sunny</v>
      </c>
      <c r="D233" s="1">
        <v>399000</v>
      </c>
      <c r="E233" s="1" t="s">
        <v>33</v>
      </c>
      <c r="F233" s="1">
        <v>48</v>
      </c>
      <c r="G233" s="1" t="s">
        <v>1125</v>
      </c>
      <c r="H233" s="1" t="str">
        <f ca="1">IFERROR(__xludf.DUMMYFUNCTION("GOOGLETRANSLATE(G233,""pl"",""en"")"),"Piast II, Białystok, Podlasie")</f>
        <v>Piast II, Białystok, Podlasie</v>
      </c>
      <c r="I233" s="1" t="s">
        <v>21</v>
      </c>
      <c r="J233" s="1" t="s">
        <v>21</v>
      </c>
      <c r="K233" s="1" t="s">
        <v>22</v>
      </c>
      <c r="L233" s="1" t="s">
        <v>1126</v>
      </c>
      <c r="M233" s="1">
        <v>3</v>
      </c>
      <c r="N233" s="1" t="s">
        <v>24</v>
      </c>
      <c r="O233" s="1" t="str">
        <f ca="1">IFERROR(__xludf.DUMMYFUNCTION("GOOGLETRANSLATE(N233,""pl"",""en"")"),"full ownership")</f>
        <v>full ownership</v>
      </c>
      <c r="P233" s="3" t="s">
        <v>1127</v>
      </c>
      <c r="Q233" s="1" t="b">
        <v>1</v>
      </c>
      <c r="R233" s="1" t="s">
        <v>1128</v>
      </c>
    </row>
    <row r="234" spans="1:18" x14ac:dyDescent="0.25">
      <c r="A234" s="2">
        <v>45308</v>
      </c>
      <c r="B234" s="1" t="s">
        <v>1129</v>
      </c>
      <c r="C234" s="1" t="str">
        <f ca="1">IFERROR(__xludf.DUMMYFUNCTION("GOOGLETRANSLATE(B234,""pl"",""en"")"),"A flat in Rumia surrounded by greenery and park.")</f>
        <v>A flat in Rumia surrounded by greenery and park.</v>
      </c>
      <c r="D234" s="1">
        <v>530000</v>
      </c>
      <c r="E234" s="1" t="s">
        <v>33</v>
      </c>
      <c r="F234" s="1">
        <v>55.7</v>
      </c>
      <c r="G234" s="1" t="s">
        <v>1130</v>
      </c>
      <c r="H234" s="1" t="str">
        <f ca="1">IFERROR(__xludf.DUMMYFUNCTION("GOOGLETRANSLATE(G234,""pl"",""en"")"),"street. Mickiewicza, Rumia, Wejherowski, Pomeranian")</f>
        <v>street. Mickiewicza, Rumia, Wejherowski, Pomeranian</v>
      </c>
      <c r="I234" s="1" t="s">
        <v>21</v>
      </c>
      <c r="J234" s="1" t="s">
        <v>21</v>
      </c>
      <c r="K234" s="1" t="s">
        <v>22</v>
      </c>
      <c r="L234" s="1" t="s">
        <v>1131</v>
      </c>
      <c r="M234" s="1">
        <v>2</v>
      </c>
      <c r="N234" s="1" t="s">
        <v>24</v>
      </c>
      <c r="O234" s="1" t="str">
        <f ca="1">IFERROR(__xludf.DUMMYFUNCTION("GOOGLETRANSLATE(N234,""pl"",""en"")"),"full ownership")</f>
        <v>full ownership</v>
      </c>
      <c r="P234" s="3" t="s">
        <v>1132</v>
      </c>
      <c r="Q234" s="1" t="b">
        <v>1</v>
      </c>
      <c r="R234" s="1" t="s">
        <v>1133</v>
      </c>
    </row>
    <row r="235" spans="1:18" x14ac:dyDescent="0.25">
      <c r="A235" s="2">
        <v>45308</v>
      </c>
      <c r="B235" s="1" t="s">
        <v>1134</v>
      </c>
      <c r="C235" s="1" t="str">
        <f ca="1">IFERROR(__xludf.DUMMYFUNCTION("GOOGLETRANSLATE(B235,""pl"",""en"")"),"300m apartment from the beach in Ustka")</f>
        <v>300m apartment from the beach in Ustka</v>
      </c>
      <c r="D235" s="1">
        <v>720000</v>
      </c>
      <c r="E235" s="1" t="s">
        <v>33</v>
      </c>
      <c r="F235" s="1">
        <v>85.12</v>
      </c>
      <c r="G235" s="1" t="s">
        <v>1135</v>
      </c>
      <c r="H235" s="1" t="str">
        <f ca="1">IFERROR(__xludf.DUMMYFUNCTION("GOOGLETRANSLATE(G235,""pl"",""en"")"),"street. Uroczysko, Ustka, Słupski, Pomeranian")</f>
        <v>street. Uroczysko, Ustka, Słupski, Pomeranian</v>
      </c>
      <c r="I235" s="1" t="s">
        <v>21</v>
      </c>
      <c r="J235" s="1" t="s">
        <v>21</v>
      </c>
      <c r="K235" s="1" t="s">
        <v>22</v>
      </c>
      <c r="L235" s="1" t="s">
        <v>1136</v>
      </c>
      <c r="M235" s="1">
        <v>4</v>
      </c>
      <c r="N235" s="1" t="s">
        <v>24</v>
      </c>
      <c r="O235" s="1" t="str">
        <f ca="1">IFERROR(__xludf.DUMMYFUNCTION("GOOGLETRANSLATE(N235,""pl"",""en"")"),"full ownership")</f>
        <v>full ownership</v>
      </c>
      <c r="P235" s="3" t="s">
        <v>1137</v>
      </c>
      <c r="Q235" s="1" t="b">
        <v>1</v>
      </c>
      <c r="R235" s="1" t="s">
        <v>1138</v>
      </c>
    </row>
    <row r="236" spans="1:18" x14ac:dyDescent="0.25">
      <c r="A236" s="2">
        <v>45308</v>
      </c>
      <c r="B236" s="1" t="s">
        <v>1139</v>
      </c>
      <c r="C236" s="1" t="str">
        <f ca="1">IFERROR(__xludf.DUMMYFUNCTION("GOOGLETRANSLATE(B236,""pl"",""en"")"),"Apartment with terrace on the roof 0% commission")</f>
        <v>Apartment with terrace on the roof 0% commission</v>
      </c>
      <c r="D236" s="1">
        <v>1302708</v>
      </c>
      <c r="E236" s="1" t="s">
        <v>19</v>
      </c>
      <c r="F236" s="1">
        <v>93.72</v>
      </c>
      <c r="G236" s="1" t="s">
        <v>1140</v>
      </c>
      <c r="H236" s="1" t="str">
        <f ca="1">IFERROR(__xludf.DUMMYFUNCTION("GOOGLETRANSLATE(G236,""pl"",""en"")"),"street. Beautifstreet, Tarnogaj, Krzyki, Wrocław, DolnoSilesian Voivodeship")</f>
        <v>street. Beautifstreet, Tarnogaj, Krzyki, Wrocław, DolnoSilesian Voivodeship</v>
      </c>
      <c r="I236" s="1" t="b">
        <v>1</v>
      </c>
      <c r="J236" s="1" t="s">
        <v>21</v>
      </c>
      <c r="K236" s="1" t="s">
        <v>22</v>
      </c>
      <c r="L236" s="1" t="s">
        <v>1141</v>
      </c>
      <c r="M236" s="1">
        <v>3</v>
      </c>
      <c r="N236" s="1" t="s">
        <v>24</v>
      </c>
      <c r="O236" s="1" t="str">
        <f ca="1">IFERROR(__xludf.DUMMYFUNCTION("GOOGLETRANSLATE(N236,""pl"",""en"")"),"full ownership")</f>
        <v>full ownership</v>
      </c>
      <c r="P236" s="3" t="s">
        <v>1142</v>
      </c>
      <c r="Q236" s="1" t="b">
        <v>1</v>
      </c>
      <c r="R236" s="1" t="s">
        <v>1143</v>
      </c>
    </row>
    <row r="237" spans="1:18" x14ac:dyDescent="0.25">
      <c r="A237" s="2">
        <v>45308</v>
      </c>
      <c r="B237" s="1" t="s">
        <v>1144</v>
      </c>
      <c r="C237" s="1" t="str">
        <f ca="1">IFERROR(__xludf.DUMMYFUNCTION("GOOGLETRANSLATE(B237,""pl"",""en"")"),"An attractive apartment with investment potential")</f>
        <v>An attractive apartment with investment potential</v>
      </c>
      <c r="D237" s="1">
        <v>1425000</v>
      </c>
      <c r="E237" s="1" t="s">
        <v>19</v>
      </c>
      <c r="F237" s="1">
        <v>54.93</v>
      </c>
      <c r="G237" s="1" t="s">
        <v>1145</v>
      </c>
      <c r="H237" s="1" t="str">
        <f ca="1">IFERROR(__xludf.DUMMYFUNCTION("GOOGLETRANSLATE(G237,""pl"",""en"")"),"street. Zygmunt Modzelewskiego 26, Wyczółki, Ursynów, Warsaw, Masovian Voivodeship")</f>
        <v>street. Zygmunt Modzelewskiego 26, Wyczółki, Ursynów, Warsaw, Masovian Voivodeship</v>
      </c>
      <c r="I237" s="1" t="b">
        <v>1</v>
      </c>
      <c r="J237" s="1" t="s">
        <v>21</v>
      </c>
      <c r="K237" s="1" t="s">
        <v>45</v>
      </c>
      <c r="L237" s="1" t="s">
        <v>1146</v>
      </c>
      <c r="M237" s="1">
        <v>4</v>
      </c>
      <c r="N237" s="1" t="s">
        <v>24</v>
      </c>
      <c r="O237" s="1" t="str">
        <f ca="1">IFERROR(__xludf.DUMMYFUNCTION("GOOGLETRANSLATE(N237,""pl"",""en"")"),"full ownership")</f>
        <v>full ownership</v>
      </c>
      <c r="P237" s="3" t="s">
        <v>1147</v>
      </c>
      <c r="Q237" s="1" t="b">
        <v>1</v>
      </c>
      <c r="R237" s="1" t="s">
        <v>1148</v>
      </c>
    </row>
    <row r="238" spans="1:18" x14ac:dyDescent="0.25">
      <c r="A238" s="2">
        <v>45308</v>
      </c>
      <c r="B238" s="1" t="s">
        <v>1149</v>
      </c>
      <c r="C238" s="1" t="str">
        <f ca="1">IFERROR(__xludf.DUMMYFUNCTION("GOOGLETRANSLATE(B238,""pl"",""en"")"),"I will sell a flat Gdańsk Angels ul. Dębinki")</f>
        <v>I will sell a flat Gdańsk Angels ul. Dębinki</v>
      </c>
      <c r="D238" s="1">
        <v>819000</v>
      </c>
      <c r="E238" s="1" t="s">
        <v>33</v>
      </c>
      <c r="F238" s="1">
        <v>58.5</v>
      </c>
      <c r="G238" s="1" t="s">
        <v>1150</v>
      </c>
      <c r="H238" s="1" t="str">
        <f ca="1">IFERROR(__xludf.DUMMYFUNCTION("GOOGLETRANSLATE(G238,""pl"",""en"")"),"street. Dębinki, Angels, Gdańsk, Pomeranian Voivodeship")</f>
        <v>street. Dębinki, Angels, Gdańsk, Pomeranian Voivodeship</v>
      </c>
      <c r="I238" s="1" t="s">
        <v>21</v>
      </c>
      <c r="J238" s="1" t="s">
        <v>21</v>
      </c>
      <c r="K238" s="1" t="s">
        <v>22</v>
      </c>
      <c r="L238" s="1" t="s">
        <v>1151</v>
      </c>
      <c r="M238" s="1">
        <v>2</v>
      </c>
      <c r="N238" s="1" t="s">
        <v>24</v>
      </c>
      <c r="O238" s="1" t="str">
        <f ca="1">IFERROR(__xludf.DUMMYFUNCTION("GOOGLETRANSLATE(N238,""pl"",""en"")"),"full ownership")</f>
        <v>full ownership</v>
      </c>
      <c r="P238" s="3" t="s">
        <v>1152</v>
      </c>
      <c r="Q238" s="1" t="b">
        <v>1</v>
      </c>
      <c r="R238" s="1" t="s">
        <v>1153</v>
      </c>
    </row>
    <row r="239" spans="1:18" x14ac:dyDescent="0.25">
      <c r="A239" s="2">
        <v>45308</v>
      </c>
      <c r="B239" s="1" t="s">
        <v>1154</v>
      </c>
      <c r="C239" s="1" t="str">
        <f ca="1">IFERROR(__xludf.DUMMYFUNCTION("GOOGLETRANSLATE(B239,""pl"",""en"")"),"3 SUPERCATION ROOMS. Well connected.")</f>
        <v>3 SUPERCATION ROOMS. Well connected.</v>
      </c>
      <c r="D239" s="1">
        <v>459318</v>
      </c>
      <c r="E239" s="1" t="s">
        <v>19</v>
      </c>
      <c r="F239" s="1">
        <v>62.07</v>
      </c>
      <c r="G239" s="1" t="s">
        <v>1155</v>
      </c>
      <c r="H239" s="1" t="str">
        <f ca="1">IFERROR(__xludf.DUMMYFUNCTION("GOOGLETRANSLATE(G239,""pl"",""en"")"),"street. Tadeusza Kościuszko, Zacharzyce, Siechnice, Wrocław, Lower Silesia")</f>
        <v>street. Tadeusza Kościuszko, Zacharzyce, Siechnice, Wrocław, Lower Silesia</v>
      </c>
      <c r="I239" s="1" t="s">
        <v>21</v>
      </c>
      <c r="J239" s="1" t="s">
        <v>21</v>
      </c>
      <c r="K239" s="1" t="s">
        <v>22</v>
      </c>
      <c r="L239" s="1" t="s">
        <v>1156</v>
      </c>
      <c r="M239" s="1">
        <v>3</v>
      </c>
      <c r="N239" s="1" t="s">
        <v>24</v>
      </c>
      <c r="O239" s="1" t="str">
        <f ca="1">IFERROR(__xludf.DUMMYFUNCTION("GOOGLETRANSLATE(N239,""pl"",""en"")"),"full ownership")</f>
        <v>full ownership</v>
      </c>
      <c r="P239" s="3" t="s">
        <v>1157</v>
      </c>
      <c r="Q239" s="1" t="b">
        <v>1</v>
      </c>
      <c r="R239" s="1" t="s">
        <v>1158</v>
      </c>
    </row>
    <row r="240" spans="1:18" x14ac:dyDescent="0.25">
      <c r="A240" s="2">
        <v>45308</v>
      </c>
      <c r="B240" s="1" t="s">
        <v>1159</v>
      </c>
      <c r="C240" s="1" t="str">
        <f ca="1">IFERROR(__xludf.DUMMYFUNCTION("GOOGLETRANSLATE(B240,""pl"",""en"")"),"Profession ul. 1 Maja 850M EU and investment")</f>
        <v>Profession ul. 1 Maja 850M EU and investment</v>
      </c>
      <c r="D240" s="1">
        <v>369000</v>
      </c>
      <c r="E240" s="1" t="s">
        <v>33</v>
      </c>
      <c r="F240" s="1">
        <v>49</v>
      </c>
      <c r="G240" s="1" t="s">
        <v>1160</v>
      </c>
      <c r="H240" s="1" t="str">
        <f ca="1">IFERROR(__xludf.DUMMYFUNCTION("GOOGLETRANSLATE(G240,""pl"",""en"")"),"street. 1 Maja 122, Profession, Katowice, Silesian Voivodeship")</f>
        <v>street. 1 Maja 122, Profession, Katowice, Silesian Voivodeship</v>
      </c>
      <c r="I240" s="1" t="s">
        <v>21</v>
      </c>
      <c r="J240" s="1" t="s">
        <v>21</v>
      </c>
      <c r="K240" s="1" t="s">
        <v>45</v>
      </c>
      <c r="L240" s="1" t="s">
        <v>1161</v>
      </c>
      <c r="M240" s="1">
        <v>2</v>
      </c>
      <c r="N240" s="1" t="s">
        <v>24</v>
      </c>
      <c r="O240" s="1" t="str">
        <f ca="1">IFERROR(__xludf.DUMMYFUNCTION("GOOGLETRANSLATE(N240,""pl"",""en"")"),"full ownership")</f>
        <v>full ownership</v>
      </c>
      <c r="P240" s="3" t="s">
        <v>1162</v>
      </c>
      <c r="Q240" s="1" t="b">
        <v>1</v>
      </c>
      <c r="R240" s="1" t="s">
        <v>1163</v>
      </c>
    </row>
    <row r="241" spans="1:18" x14ac:dyDescent="0.25">
      <c r="A241" s="2">
        <v>45308</v>
      </c>
      <c r="B241" s="1" t="s">
        <v>1164</v>
      </c>
      <c r="C241" s="1" t="str">
        <f ca="1">IFERROR(__xludf.DUMMYFUNCTION("GOOGLETRANSLATE(B241,""pl"",""en"")"),"Apartment 3 rooms Garage")</f>
        <v>Apartment 3 rooms Garage</v>
      </c>
      <c r="D241" s="1">
        <v>750000</v>
      </c>
      <c r="E241" s="1" t="s">
        <v>33</v>
      </c>
      <c r="F241" s="1">
        <v>61</v>
      </c>
      <c r="G241" s="1" t="s">
        <v>1165</v>
      </c>
      <c r="H241" s="1" t="str">
        <f ca="1">IFERROR(__xludf.DUMMYFUNCTION("GOOGLETRANSLATE(G241,""pl"",""en"")"),"street. Żeromski, Władysławowo, Władysławowo, Puck, Pomeranian")</f>
        <v>street. Żeromski, Władysławowo, Władysławowo, Puck, Pomeranian</v>
      </c>
      <c r="I241" s="1" t="s">
        <v>21</v>
      </c>
      <c r="J241" s="1" t="s">
        <v>21</v>
      </c>
      <c r="K241" s="1" t="s">
        <v>22</v>
      </c>
      <c r="L241" s="1" t="s">
        <v>1166</v>
      </c>
      <c r="M241" s="1">
        <v>3</v>
      </c>
      <c r="N241" s="1" t="s">
        <v>24</v>
      </c>
      <c r="O241" s="1" t="str">
        <f ca="1">IFERROR(__xludf.DUMMYFUNCTION("GOOGLETRANSLATE(N241,""pl"",""en"")"),"full ownership")</f>
        <v>full ownership</v>
      </c>
      <c r="P241" s="3" t="s">
        <v>1167</v>
      </c>
      <c r="Q241" s="1" t="b">
        <v>1</v>
      </c>
      <c r="R241" s="1" t="s">
        <v>1168</v>
      </c>
    </row>
    <row r="242" spans="1:18" x14ac:dyDescent="0.25">
      <c r="A242" s="2">
        <v>45308</v>
      </c>
      <c r="B242" s="1" t="s">
        <v>1169</v>
      </c>
      <c r="C242" s="1" t="str">
        <f ca="1">IFERROR(__xludf.DUMMYFUNCTION("GOOGLETRANSLATE(B242,""pl"",""en"")"),"Apartment at the Sudecki estate in Świebodzice")</f>
        <v>Apartment at the Sudecki estate in Świebodzice</v>
      </c>
      <c r="D242" s="1">
        <v>246000</v>
      </c>
      <c r="E242" s="1" t="s">
        <v>33</v>
      </c>
      <c r="F242" s="1">
        <v>42.94</v>
      </c>
      <c r="G242" s="1" t="s">
        <v>1170</v>
      </c>
      <c r="H242" s="1" t="str">
        <f ca="1">IFERROR(__xludf.DUMMYFUNCTION("GOOGLETRANSLATE(G242,""pl"",""en"")"),"Świebodzice, Świdnicki, DolnoSilesian Voivodeship")</f>
        <v>Świebodzice, Świdnicki, DolnoSilesian Voivodeship</v>
      </c>
      <c r="I242" s="1" t="s">
        <v>21</v>
      </c>
      <c r="J242" s="1" t="s">
        <v>21</v>
      </c>
      <c r="K242" s="1" t="s">
        <v>22</v>
      </c>
      <c r="L242" s="1" t="s">
        <v>1171</v>
      </c>
      <c r="M242" s="1">
        <v>3</v>
      </c>
      <c r="N242" s="1" t="s">
        <v>24</v>
      </c>
      <c r="O242" s="1" t="str">
        <f ca="1">IFERROR(__xludf.DUMMYFUNCTION("GOOGLETRANSLATE(N242,""pl"",""en"")"),"full ownership")</f>
        <v>full ownership</v>
      </c>
      <c r="P242" s="3" t="s">
        <v>1172</v>
      </c>
      <c r="Q242" s="1" t="b">
        <v>1</v>
      </c>
      <c r="R242" s="1" t="s">
        <v>1173</v>
      </c>
    </row>
    <row r="243" spans="1:18" x14ac:dyDescent="0.25">
      <c r="A243" s="2">
        <v>45308</v>
      </c>
      <c r="B243" s="1" t="s">
        <v>1174</v>
      </c>
      <c r="C243" s="1" t="str">
        <f ca="1">IFERROR(__xludf.DUMMYFUNCTION("GOOGLETRANSLATE(B243,""pl"",""en"")"),"A comfortable, three -room apartment in Gocław")</f>
        <v>A comfortable, three -room apartment in Gocław</v>
      </c>
      <c r="D243" s="1">
        <v>950000</v>
      </c>
      <c r="E243" s="1" t="s">
        <v>33</v>
      </c>
      <c r="F243" s="1">
        <v>70.099999999999994</v>
      </c>
      <c r="G243" s="1" t="s">
        <v>1175</v>
      </c>
      <c r="H243" s="1" t="str">
        <f ca="1">IFERROR(__xludf.DUMMYFUNCTION("GOOGLETRANSLATE(G243,""pl"",""en"")"),"street. Floriana Znaniecki, Gocław, Praga-Południe, Warsaw, Masovian Voivodeship")</f>
        <v>street. Floriana Znaniecki, Gocław, Praga-Południe, Warsaw, Masovian Voivodeship</v>
      </c>
      <c r="I243" s="1" t="s">
        <v>21</v>
      </c>
      <c r="J243" s="1" t="s">
        <v>21</v>
      </c>
      <c r="K243" s="1" t="s">
        <v>22</v>
      </c>
      <c r="L243" s="1" t="s">
        <v>1176</v>
      </c>
      <c r="M243" s="1">
        <v>3</v>
      </c>
      <c r="N243" s="1" t="s">
        <v>24</v>
      </c>
      <c r="O243" s="1" t="str">
        <f ca="1">IFERROR(__xludf.DUMMYFUNCTION("GOOGLETRANSLATE(N243,""pl"",""en"")"),"full ownership")</f>
        <v>full ownership</v>
      </c>
      <c r="P243" s="3" t="s">
        <v>1177</v>
      </c>
      <c r="Q243" s="1" t="b">
        <v>1</v>
      </c>
      <c r="R243" s="1" t="s">
        <v>1178</v>
      </c>
    </row>
    <row r="244" spans="1:18" x14ac:dyDescent="0.25">
      <c r="A244" s="2">
        <v>45308</v>
      </c>
      <c r="B244" s="1" t="s">
        <v>1179</v>
      </c>
      <c r="C244" s="1" t="str">
        <f ca="1">IFERROR(__xludf.DUMMYFUNCTION("GOOGLETRANSLATE(B244,""pl"",""en"")"),"Ready 2 rooms + beautiful terrace _ high standard")</f>
        <v>Ready 2 rooms + beautiful terrace _ high standard</v>
      </c>
      <c r="D244" s="1">
        <v>331999</v>
      </c>
      <c r="E244" s="1" t="s">
        <v>19</v>
      </c>
      <c r="F244" s="1">
        <v>43.87</v>
      </c>
      <c r="G244" s="1" t="s">
        <v>1180</v>
      </c>
      <c r="H244" s="1" t="str">
        <f ca="1">IFERROR(__xludf.DUMMYFUNCTION("GOOGLETRANSLATE(G244,""pl"",""en"")"),"New Fordon, Bydgoszcz, Kuyavian-Pomeranian")</f>
        <v>New Fordon, Bydgoszcz, Kuyavian-Pomeranian</v>
      </c>
      <c r="I244" s="1" t="b">
        <v>1</v>
      </c>
      <c r="J244" s="1" t="s">
        <v>21</v>
      </c>
      <c r="K244" s="1" t="s">
        <v>22</v>
      </c>
      <c r="L244" s="1" t="s">
        <v>1181</v>
      </c>
      <c r="M244" s="1">
        <v>2</v>
      </c>
      <c r="N244" s="1" t="s">
        <v>24</v>
      </c>
      <c r="O244" s="1" t="str">
        <f ca="1">IFERROR(__xludf.DUMMYFUNCTION("GOOGLETRANSLATE(N244,""pl"",""en"")"),"full ownership")</f>
        <v>full ownership</v>
      </c>
      <c r="P244" s="3" t="s">
        <v>1182</v>
      </c>
      <c r="Q244" s="1" t="b">
        <v>1</v>
      </c>
      <c r="R244" s="1" t="s">
        <v>1183</v>
      </c>
    </row>
    <row r="245" spans="1:18" x14ac:dyDescent="0.25">
      <c r="A245" s="2">
        <v>45308</v>
      </c>
      <c r="B245" s="1" t="s">
        <v>1184</v>
      </c>
      <c r="C245" s="1" t="str">
        <f ca="1">IFERROR(__xludf.DUMMYFUNCTION("GOOGLETRANSLATE(B245,""pl"",""en"")"),"5 rooms, Wiatracna 13A, investment cash")</f>
        <v>5 rooms, Wiatracna 13A, investment cash</v>
      </c>
      <c r="D245" s="1">
        <v>829000</v>
      </c>
      <c r="E245" s="1" t="s">
        <v>33</v>
      </c>
      <c r="F245" s="1">
        <v>85.37</v>
      </c>
      <c r="G245" s="1" t="s">
        <v>1185</v>
      </c>
      <c r="H245" s="1" t="str">
        <f ca="1">IFERROR(__xludf.DUMMYFUNCTION("GOOGLETRANSLATE(G245,""pl"",""en"")"),"street. Wiatraczna, Grochów, Praga-Południe, Warsaw, Masovian Voivodeship")</f>
        <v>street. Wiatraczna, Grochów, Praga-Południe, Warsaw, Masovian Voivodeship</v>
      </c>
      <c r="I245" s="1" t="b">
        <v>1</v>
      </c>
      <c r="J245" s="1" t="s">
        <v>21</v>
      </c>
      <c r="K245" s="1" t="s">
        <v>22</v>
      </c>
      <c r="L245" s="1" t="s">
        <v>1186</v>
      </c>
      <c r="M245" s="1">
        <v>5</v>
      </c>
      <c r="N245" s="1" t="s">
        <v>24</v>
      </c>
      <c r="O245" s="1" t="str">
        <f ca="1">IFERROR(__xludf.DUMMYFUNCTION("GOOGLETRANSLATE(N245,""pl"",""en"")"),"full ownership")</f>
        <v>full ownership</v>
      </c>
      <c r="P245" s="3" t="s">
        <v>1187</v>
      </c>
      <c r="Q245" s="1" t="b">
        <v>1</v>
      </c>
      <c r="R245" s="1" t="s">
        <v>1188</v>
      </c>
    </row>
    <row r="246" spans="1:18" x14ac:dyDescent="0.25">
      <c r="A246" s="2">
        <v>45308</v>
      </c>
      <c r="B246" s="1" t="s">
        <v>1189</v>
      </c>
      <c r="C246" s="1" t="str">
        <f ca="1">IFERROR(__xludf.DUMMYFUNCTION("GOOGLETRANSLATE(B246,""pl"",""en"")"),"New Guzikarnia studio apartment 28.76 m2")</f>
        <v>New Guzikarnia studio apartment 28.76 m2</v>
      </c>
      <c r="D246" s="1">
        <v>235750</v>
      </c>
      <c r="E246" s="1" t="s">
        <v>19</v>
      </c>
      <c r="F246" s="1">
        <v>28.76</v>
      </c>
      <c r="G246" s="1" t="s">
        <v>1190</v>
      </c>
      <c r="H246" s="1" t="str">
        <f ca="1">IFERROR(__xludf.DUMMYFUNCTION("GOOGLETRANSLATE(G246,""pl"",""en"")"),"street. Ogrodowa, Old Town, Częstochowa, Silesian Voivodeship")</f>
        <v>street. Ogrodowa, Old Town, Częstochowa, Silesian Voivodeship</v>
      </c>
      <c r="I246" s="1" t="b">
        <v>1</v>
      </c>
      <c r="J246" s="1" t="s">
        <v>21</v>
      </c>
      <c r="K246" s="1" t="s">
        <v>22</v>
      </c>
      <c r="L246" s="1" t="s">
        <v>1191</v>
      </c>
      <c r="M246" s="1">
        <v>1</v>
      </c>
      <c r="N246" s="1" t="s">
        <v>24</v>
      </c>
      <c r="O246" s="1" t="str">
        <f ca="1">IFERROR(__xludf.DUMMYFUNCTION("GOOGLETRANSLATE(N246,""pl"",""en"")"),"full ownership")</f>
        <v>full ownership</v>
      </c>
      <c r="P246" s="3" t="s">
        <v>1192</v>
      </c>
      <c r="Q246" s="1" t="b">
        <v>1</v>
      </c>
      <c r="R246" s="1" t="s">
        <v>1193</v>
      </c>
    </row>
    <row r="247" spans="1:18" x14ac:dyDescent="0.25">
      <c r="A247" s="2">
        <v>45308</v>
      </c>
      <c r="B247" s="1" t="s">
        <v>1194</v>
      </c>
      <c r="C247" s="1" t="str">
        <f ca="1">IFERROR(__xludf.DUMMYFUNCTION("GOOGLETRANSLATE(B247,""pl"",""en"")"),"A two -level apartment for sale Bronowice")</f>
        <v>A two -level apartment for sale Bronowice</v>
      </c>
      <c r="D247" s="1">
        <v>975000</v>
      </c>
      <c r="E247" s="1" t="s">
        <v>33</v>
      </c>
      <c r="F247" s="1">
        <v>74.8</v>
      </c>
      <c r="G247" s="1" t="s">
        <v>4735</v>
      </c>
      <c r="H247" s="1" t="str">
        <f ca="1">IFERROR(__xludf.DUMMYFUNCTION("GOOGLETRANSLATE(G247,""pl"",""en"")"),"street. Szarotki, Bronowice Wielkie, Prądnik Biały, Kraków, Lesser Poland")</f>
        <v>street. Szarotki, Bronowice Wielkie, Prądnik Biały, Kraków, Lesser Poland</v>
      </c>
      <c r="I247" s="1" t="b">
        <v>1</v>
      </c>
      <c r="J247" s="1" t="s">
        <v>21</v>
      </c>
      <c r="K247" s="1" t="s">
        <v>22</v>
      </c>
      <c r="L247" s="1" t="s">
        <v>1195</v>
      </c>
      <c r="M247" s="1">
        <v>4</v>
      </c>
      <c r="N247" s="1" t="s">
        <v>21</v>
      </c>
      <c r="O247" s="1" t="str">
        <f ca="1">IFERROR(__xludf.DUMMYFUNCTION("GOOGLETRANSLATE(N247,""pl"",""en"")"),"null")</f>
        <v>null</v>
      </c>
      <c r="P247" s="3" t="s">
        <v>1196</v>
      </c>
      <c r="Q247" s="1" t="b">
        <v>1</v>
      </c>
      <c r="R247" s="1" t="s">
        <v>1197</v>
      </c>
    </row>
    <row r="248" spans="1:18" x14ac:dyDescent="0.25">
      <c r="A248" s="2">
        <v>45308</v>
      </c>
      <c r="B248" s="1" t="s">
        <v>1198</v>
      </c>
      <c r="C248" s="1" t="str">
        <f ca="1">IFERROR(__xludf.DUMMYFUNCTION("GOOGLETRANSLATE(B248,""pl"",""en"")"),"&gt; 30m2 | Investment apartments High discounts")</f>
        <v>&gt; 30m2 | Investment apartments High discounts</v>
      </c>
      <c r="D248" s="1">
        <v>651845</v>
      </c>
      <c r="E248" s="1" t="s">
        <v>19</v>
      </c>
      <c r="F248" s="1">
        <v>38.71</v>
      </c>
      <c r="G248" s="1" t="s">
        <v>1199</v>
      </c>
      <c r="H248" s="1" t="str">
        <f ca="1">IFERROR(__xludf.DUMMYFUNCTION("GOOGLETRANSLATE(G248,""pl"",""en"")"),"Siedlce, Gdańsk, Pomeranian Voivodeship")</f>
        <v>Siedlce, Gdańsk, Pomeranian Voivodeship</v>
      </c>
      <c r="I248" s="1" t="s">
        <v>21</v>
      </c>
      <c r="J248" s="1" t="s">
        <v>21</v>
      </c>
      <c r="K248" s="1" t="s">
        <v>22</v>
      </c>
      <c r="L248" s="1" t="s">
        <v>1200</v>
      </c>
      <c r="M248" s="1">
        <v>2</v>
      </c>
      <c r="N248" s="1" t="s">
        <v>24</v>
      </c>
      <c r="O248" s="1" t="str">
        <f ca="1">IFERROR(__xludf.DUMMYFUNCTION("GOOGLETRANSLATE(N248,""pl"",""en"")"),"full ownership")</f>
        <v>full ownership</v>
      </c>
      <c r="P248" s="3" t="s">
        <v>1201</v>
      </c>
      <c r="Q248" s="1" t="b">
        <v>1</v>
      </c>
      <c r="R248" s="1" t="s">
        <v>1202</v>
      </c>
    </row>
    <row r="249" spans="1:18" x14ac:dyDescent="0.25">
      <c r="A249" s="2">
        <v>45308</v>
      </c>
      <c r="B249" s="1" t="s">
        <v>1203</v>
      </c>
      <c r="C249" s="1" t="str">
        <f ca="1">IFERROR(__xludf.DUMMYFUNCTION("GOOGLETRANSLATE(B249,""pl"",""en"")"),"Apartment for sale on the ground floor!")</f>
        <v>Apartment for sale on the ground floor!</v>
      </c>
      <c r="D249" s="1">
        <v>145000</v>
      </c>
      <c r="E249" s="1" t="s">
        <v>33</v>
      </c>
      <c r="F249" s="1">
        <v>27</v>
      </c>
      <c r="G249" s="1" t="s">
        <v>1204</v>
      </c>
      <c r="H249" s="1" t="str">
        <f ca="1">IFERROR(__xludf.DUMMYFUNCTION("GOOGLETRANSLATE(G249,""pl"",""en"")"),"street. Polna, Świętochłowice, Silesian Voivodeship")</f>
        <v>street. Polna, Świętochłowice, Silesian Voivodeship</v>
      </c>
      <c r="I249" s="1" t="b">
        <v>1</v>
      </c>
      <c r="J249" s="1" t="s">
        <v>21</v>
      </c>
      <c r="K249" s="1" t="s">
        <v>22</v>
      </c>
      <c r="L249" s="1" t="s">
        <v>1205</v>
      </c>
      <c r="M249" s="1">
        <v>1</v>
      </c>
      <c r="N249" s="1" t="s">
        <v>24</v>
      </c>
      <c r="O249" s="1" t="str">
        <f ca="1">IFERROR(__xludf.DUMMYFUNCTION("GOOGLETRANSLATE(N249,""pl"",""en"")"),"full ownership")</f>
        <v>full ownership</v>
      </c>
      <c r="P249" s="3" t="s">
        <v>1206</v>
      </c>
      <c r="Q249" s="1" t="b">
        <v>1</v>
      </c>
      <c r="R249" s="1" t="s">
        <v>1207</v>
      </c>
    </row>
    <row r="250" spans="1:18" x14ac:dyDescent="0.25">
      <c r="A250" s="2">
        <v>45308</v>
      </c>
      <c r="B250" s="1" t="s">
        <v>1208</v>
      </c>
      <c r="C250" s="1" t="str">
        <f ca="1">IFERROR(__xludf.DUMMYFUNCTION("GOOGLETRANSLATE(B250,""pl"",""en"")"),"Apartment with a garden for a family!")</f>
        <v>Apartment with a garden for a family!</v>
      </c>
      <c r="D250" s="1">
        <v>488000</v>
      </c>
      <c r="E250" s="1" t="s">
        <v>33</v>
      </c>
      <c r="F250" s="1">
        <v>67.2</v>
      </c>
      <c r="G250" s="1" t="s">
        <v>4736</v>
      </c>
      <c r="H250" s="1" t="str">
        <f ca="1">IFERROR(__xludf.DUMMYFUNCTION("GOOGLETRANSLATE(G250,""pl"",""en"")"),"Grabowa, Dominowo, Dominowo, Średzki, Greater Poland")</f>
        <v>Grabowa, Dominowo, Dominowo, Średzki, Greater Poland</v>
      </c>
      <c r="I250" s="1" t="s">
        <v>21</v>
      </c>
      <c r="J250" s="1" t="s">
        <v>21</v>
      </c>
      <c r="K250" s="1" t="s">
        <v>22</v>
      </c>
      <c r="L250" s="1" t="s">
        <v>1209</v>
      </c>
      <c r="M250" s="1">
        <v>4</v>
      </c>
      <c r="N250" s="1" t="s">
        <v>24</v>
      </c>
      <c r="O250" s="1" t="str">
        <f ca="1">IFERROR(__xludf.DUMMYFUNCTION("GOOGLETRANSLATE(N250,""pl"",""en"")"),"full ownership")</f>
        <v>full ownership</v>
      </c>
      <c r="P250" s="3" t="s">
        <v>1210</v>
      </c>
      <c r="Q250" s="1" t="b">
        <v>1</v>
      </c>
      <c r="R250" s="1" t="s">
        <v>1211</v>
      </c>
    </row>
    <row r="251" spans="1:18" x14ac:dyDescent="0.25">
      <c r="A251" s="2">
        <v>45308</v>
      </c>
      <c r="B251" s="1" t="s">
        <v>1212</v>
      </c>
      <c r="C251" s="1" t="str">
        <f ca="1">IFERROR(__xludf.DUMMYFUNCTION("GOOGLETRANSLATE(B251,""pl"",""en"")"),"Apartment D17 Srebrniki housing estate 62.00m2")</f>
        <v>Apartment D17 Srebrniki housing estate 62.00m2</v>
      </c>
      <c r="D251" s="1">
        <v>804212</v>
      </c>
      <c r="E251" s="1" t="s">
        <v>19</v>
      </c>
      <c r="F251" s="1">
        <v>62</v>
      </c>
      <c r="G251" s="1" t="s">
        <v>1213</v>
      </c>
      <c r="H251" s="1" t="str">
        <f ca="1">IFERROR(__xludf.DUMMYFUNCTION("GOOGLETRANSLATE(G251,""pl"",""en"")"),"street. Magellana, Wrzeszcz Górny, Gdańsk, Pomeranian Voivodeship")</f>
        <v>street. Magellana, Wrzeszcz Górny, Gdańsk, Pomeranian Voivodeship</v>
      </c>
      <c r="I251" s="1" t="s">
        <v>21</v>
      </c>
      <c r="J251" s="1" t="s">
        <v>21</v>
      </c>
      <c r="K251" s="1" t="s">
        <v>194</v>
      </c>
      <c r="L251" s="1" t="s">
        <v>1214</v>
      </c>
      <c r="M251" s="1">
        <v>3</v>
      </c>
      <c r="N251" s="1" t="s">
        <v>24</v>
      </c>
      <c r="O251" s="1" t="str">
        <f ca="1">IFERROR(__xludf.DUMMYFUNCTION("GOOGLETRANSLATE(N251,""pl"",""en"")"),"full ownership")</f>
        <v>full ownership</v>
      </c>
      <c r="P251" s="3" t="s">
        <v>1215</v>
      </c>
      <c r="Q251" s="1" t="b">
        <v>1</v>
      </c>
      <c r="R251" s="1" t="s">
        <v>1216</v>
      </c>
    </row>
    <row r="252" spans="1:18" x14ac:dyDescent="0.25">
      <c r="A252" s="2">
        <v>45308</v>
      </c>
      <c r="B252" s="1" t="s">
        <v>1217</v>
      </c>
      <c r="C252" s="1" t="str">
        <f ca="1">IFERROR(__xludf.DUMMYFUNCTION("GOOGLETRANSLATE(B252,""pl"",""en"")"),"An attractive fully equipped house near Wadowice")</f>
        <v>An attractive fully equipped house near Wadowice</v>
      </c>
      <c r="D252" s="1">
        <v>830000</v>
      </c>
      <c r="E252" s="1" t="s">
        <v>33</v>
      </c>
      <c r="F252" s="1">
        <v>144</v>
      </c>
      <c r="G252" s="1" t="s">
        <v>4737</v>
      </c>
      <c r="H252" s="1" t="str">
        <f ca="1">IFERROR(__xludf.DUMMYFUNCTION("GOOGLETRANSLATE(G252,""pl"",""en"")"),"Jaroszowice, Wadowice, Wadowicki, Lesser Poland")</f>
        <v>Jaroszowice, Wadowice, Wadowicki, Lesser Poland</v>
      </c>
      <c r="I252" s="1" t="b">
        <v>1</v>
      </c>
      <c r="J252" s="1" t="s">
        <v>21</v>
      </c>
      <c r="K252" s="1" t="s">
        <v>22</v>
      </c>
      <c r="L252" s="1" t="s">
        <v>1218</v>
      </c>
      <c r="M252" s="1">
        <v>4</v>
      </c>
      <c r="N252" s="1" t="s">
        <v>21</v>
      </c>
      <c r="O252" s="1" t="str">
        <f ca="1">IFERROR(__xludf.DUMMYFUNCTION("GOOGLETRANSLATE(N252,""pl"",""en"")"),"null")</f>
        <v>null</v>
      </c>
      <c r="P252" s="3" t="s">
        <v>1219</v>
      </c>
      <c r="Q252" s="1" t="b">
        <v>1</v>
      </c>
      <c r="R252" s="1" t="s">
        <v>1220</v>
      </c>
    </row>
    <row r="253" spans="1:18" x14ac:dyDescent="0.25">
      <c r="A253" s="2">
        <v>45308</v>
      </c>
      <c r="B253" s="1" t="s">
        <v>1221</v>
      </c>
      <c r="C253" s="1" t="str">
        <f ca="1">IFERROR(__xludf.DUMMYFUNCTION("GOOGLETRANSLATE(B253,""pl"",""en"")"),"Sophisticated apartment in the heart of Salwator")</f>
        <v>Sophisticated apartment in the heart of Salwator</v>
      </c>
      <c r="D253" s="1">
        <v>3500000</v>
      </c>
      <c r="E253" s="1" t="s">
        <v>33</v>
      </c>
      <c r="F253" s="1">
        <v>114</v>
      </c>
      <c r="G253" s="1" t="s">
        <v>4738</v>
      </c>
      <c r="H253" s="1" t="str">
        <f ca="1">IFERROR(__xludf.DUMMYFUNCTION("GOOGLETRANSLATE(G253,""pl"",""en"")"),"street. Salwatorska, Zwierzyniec, Zwierzyniec, Kraków, Lesser Poland")</f>
        <v>street. Salwatorska, Zwierzyniec, Zwierzyniec, Kraków, Lesser Poland</v>
      </c>
      <c r="I253" s="1" t="s">
        <v>21</v>
      </c>
      <c r="J253" s="1" t="s">
        <v>21</v>
      </c>
      <c r="K253" s="1" t="s">
        <v>22</v>
      </c>
      <c r="L253" s="1" t="s">
        <v>1222</v>
      </c>
      <c r="M253" s="1">
        <v>3</v>
      </c>
      <c r="N253" s="1" t="s">
        <v>24</v>
      </c>
      <c r="O253" s="1" t="str">
        <f ca="1">IFERROR(__xludf.DUMMYFUNCTION("GOOGLETRANSLATE(N253,""pl"",""en"")"),"full ownership")</f>
        <v>full ownership</v>
      </c>
      <c r="P253" s="3" t="s">
        <v>1223</v>
      </c>
      <c r="Q253" s="1" t="b">
        <v>1</v>
      </c>
      <c r="R253" s="1" t="s">
        <v>1224</v>
      </c>
    </row>
    <row r="254" spans="1:18" x14ac:dyDescent="0.25">
      <c r="A254" s="2">
        <v>45308</v>
      </c>
      <c r="B254" s="1" t="s">
        <v>1225</v>
      </c>
      <c r="C254" s="1" t="str">
        <f ca="1">IFERROR(__xludf.DUMMYFUNCTION("GOOGLETRANSLATE(B254,""pl"",""en"")"),"4 rooms on Osowa")</f>
        <v>4 rooms on Osowa</v>
      </c>
      <c r="D254" s="1">
        <v>719000</v>
      </c>
      <c r="E254" s="1" t="s">
        <v>33</v>
      </c>
      <c r="F254" s="1">
        <v>70</v>
      </c>
      <c r="G254" s="1" t="s">
        <v>1226</v>
      </c>
      <c r="H254" s="1" t="str">
        <f ca="1">IFERROR(__xludf.DUMMYFUNCTION("GOOGLETRANSLATE(G254,""pl"",""en"")"),"street. Homer, Osowa, Gdańsk, Pomeranian Voivodeship")</f>
        <v>street. Homer, Osowa, Gdańsk, Pomeranian Voivodeship</v>
      </c>
      <c r="I254" s="1" t="s">
        <v>21</v>
      </c>
      <c r="J254" s="1" t="s">
        <v>21</v>
      </c>
      <c r="K254" s="1" t="s">
        <v>22</v>
      </c>
      <c r="L254" s="1" t="s">
        <v>1227</v>
      </c>
      <c r="M254" s="1">
        <v>4</v>
      </c>
      <c r="N254" s="1" t="s">
        <v>24</v>
      </c>
      <c r="O254" s="1" t="str">
        <f ca="1">IFERROR(__xludf.DUMMYFUNCTION("GOOGLETRANSLATE(N254,""pl"",""en"")"),"full ownership")</f>
        <v>full ownership</v>
      </c>
      <c r="P254" s="3" t="s">
        <v>1228</v>
      </c>
      <c r="Q254" s="1" t="b">
        <v>1</v>
      </c>
      <c r="R254" s="1" t="s">
        <v>1229</v>
      </c>
    </row>
    <row r="255" spans="1:18" x14ac:dyDescent="0.25">
      <c r="A255" s="2">
        <v>45308</v>
      </c>
      <c r="B255" s="1" t="s">
        <v>1230</v>
      </c>
      <c r="C255" s="1" t="str">
        <f ca="1">IFERROR(__xludf.DUMMYFUNCTION("GOOGLETRANSLATE(B255,""pl"",""en"")"),"Energy -saving house - ul. Hajduce")</f>
        <v>Energy -saving house - ul. Hajduce</v>
      </c>
      <c r="D255" s="1">
        <v>1247000</v>
      </c>
      <c r="E255" s="1" t="s">
        <v>19</v>
      </c>
      <c r="F255" s="1">
        <v>164</v>
      </c>
      <c r="G255" s="1" t="s">
        <v>1231</v>
      </c>
      <c r="H255" s="1" t="str">
        <f ca="1">IFERROR(__xludf.DUMMYFUNCTION("GOOGLETRANSLATE(G255,""pl"",""en"")"),"Dawidy Bankowe, Raszyn, Pruszkowski, Masovian Voivodeship")</f>
        <v>Dawidy Bankowe, Raszyn, Pruszkowski, Masovian Voivodeship</v>
      </c>
      <c r="I255" s="1" t="b">
        <v>1</v>
      </c>
      <c r="J255" s="1" t="s">
        <v>21</v>
      </c>
      <c r="K255" s="1" t="s">
        <v>45</v>
      </c>
      <c r="L255" s="1" t="s">
        <v>1232</v>
      </c>
      <c r="M255" s="1">
        <v>5</v>
      </c>
      <c r="N255" s="1" t="s">
        <v>21</v>
      </c>
      <c r="O255" s="1" t="str">
        <f ca="1">IFERROR(__xludf.DUMMYFUNCTION("GOOGLETRANSLATE(N255,""pl"",""en"")"),"null")</f>
        <v>null</v>
      </c>
      <c r="P255" s="3" t="s">
        <v>1233</v>
      </c>
      <c r="Q255" s="1" t="b">
        <v>1</v>
      </c>
      <c r="R255" s="1" t="s">
        <v>1234</v>
      </c>
    </row>
    <row r="256" spans="1:18" x14ac:dyDescent="0.25">
      <c r="A256" s="2">
        <v>45308</v>
      </c>
      <c r="B256" s="1" t="s">
        <v>1235</v>
      </c>
      <c r="C256" s="1" t="str">
        <f ca="1">IFERROR(__xludf.DUMMYFUNCTION("GOOGLETRANSLATE(B256,""pl"",""en"")"),"M-5 Wrzosowiak, 79m2, fully finished")</f>
        <v>M-5 Wrzosowiak, 79m2, fully finished</v>
      </c>
      <c r="D256" s="1">
        <v>469000</v>
      </c>
      <c r="E256" s="1" t="s">
        <v>33</v>
      </c>
      <c r="F256" s="1">
        <v>78.97</v>
      </c>
      <c r="G256" s="1" t="s">
        <v>1236</v>
      </c>
      <c r="H256" s="1" t="str">
        <f ca="1">IFERROR(__xludf.DUMMYFUNCTION("GOOGLETRANSLATE(G256,""pl"",""en"")"),"Wrzosowiak, Częstochowa, Silesian Voivodeship")</f>
        <v>Wrzosowiak, Częstochowa, Silesian Voivodeship</v>
      </c>
      <c r="I256" s="1" t="s">
        <v>21</v>
      </c>
      <c r="J256" s="1" t="s">
        <v>21</v>
      </c>
      <c r="K256" s="1" t="s">
        <v>22</v>
      </c>
      <c r="L256" s="1" t="s">
        <v>1237</v>
      </c>
      <c r="M256" s="1">
        <v>4</v>
      </c>
      <c r="N256" s="1" t="s">
        <v>24</v>
      </c>
      <c r="O256" s="1" t="str">
        <f ca="1">IFERROR(__xludf.DUMMYFUNCTION("GOOGLETRANSLATE(N256,""pl"",""en"")"),"full ownership")</f>
        <v>full ownership</v>
      </c>
      <c r="P256" s="3" t="s">
        <v>1238</v>
      </c>
      <c r="Q256" s="1" t="b">
        <v>1</v>
      </c>
      <c r="R256" s="1" t="s">
        <v>1239</v>
      </c>
    </row>
    <row r="257" spans="1:18" x14ac:dyDescent="0.25">
      <c r="A257" s="2">
        <v>45308</v>
      </c>
      <c r="B257" s="1" t="s">
        <v>1240</v>
      </c>
      <c r="C257" s="1" t="str">
        <f ca="1">IFERROR(__xludf.DUMMYFUNCTION("GOOGLETRANSLATE(B257,""pl"",""en"")"),"Apartment 52m2, 2 rooms, Wolica, commune Ożarów maz.")</f>
        <v>Apartment 52m2, 2 rooms, Wolica, commune Ożarów maz.</v>
      </c>
      <c r="D257" s="1">
        <v>620000</v>
      </c>
      <c r="E257" s="1" t="s">
        <v>33</v>
      </c>
      <c r="F257" s="1">
        <v>52</v>
      </c>
      <c r="G257" s="1" t="s">
        <v>1241</v>
      </c>
      <c r="H257" s="1" t="str">
        <f ca="1">IFERROR(__xludf.DUMMYFUNCTION("GOOGLETRANSLATE(G257,""pl"",""en"")"),"Wolica, Ożarów Mazowiecki, Warsaw West, Masovian Voivodeship")</f>
        <v>Wolica, Ożarów Mazowiecki, Warsaw West, Masovian Voivodeship</v>
      </c>
      <c r="I257" s="1" t="s">
        <v>21</v>
      </c>
      <c r="J257" s="1" t="s">
        <v>21</v>
      </c>
      <c r="K257" s="1" t="s">
        <v>45</v>
      </c>
      <c r="L257" s="1" t="s">
        <v>1242</v>
      </c>
      <c r="M257" s="1">
        <v>2</v>
      </c>
      <c r="N257" s="1" t="s">
        <v>24</v>
      </c>
      <c r="O257" s="1" t="str">
        <f ca="1">IFERROR(__xludf.DUMMYFUNCTION("GOOGLETRANSLATE(N257,""pl"",""en"")"),"full ownership")</f>
        <v>full ownership</v>
      </c>
      <c r="P257" s="3" t="s">
        <v>1243</v>
      </c>
      <c r="Q257" s="1" t="b">
        <v>1</v>
      </c>
      <c r="R257" s="1" t="s">
        <v>1244</v>
      </c>
    </row>
    <row r="258" spans="1:18" x14ac:dyDescent="0.25">
      <c r="A258" s="2">
        <v>45308</v>
      </c>
      <c r="B258" s="1" t="s">
        <v>1245</v>
      </c>
      <c r="C258" s="1" t="str">
        <f ca="1">IFERROR(__xludf.DUMMYFUNCTION("GOOGLETRANSLATE(B258,""pl"",""en"")"),"3 rooms - excellent location -")</f>
        <v>3 rooms - excellent location -</v>
      </c>
      <c r="D258" s="1">
        <v>590000</v>
      </c>
      <c r="E258" s="1" t="s">
        <v>33</v>
      </c>
      <c r="F258" s="1">
        <v>46.14</v>
      </c>
      <c r="G258" s="1" t="s">
        <v>1246</v>
      </c>
      <c r="H258" s="1" t="str">
        <f ca="1">IFERROR(__xludf.DUMMYFUNCTION("GOOGLETRANSLATE(G258,""pl"",""en"")"),"street. Tomaszowska, Huby, Krzyki, Wrocław, DolnoSilesian Voivodeship")</f>
        <v>street. Tomaszowska, Huby, Krzyki, Wrocław, DolnoSilesian Voivodeship</v>
      </c>
      <c r="I258" s="1" t="s">
        <v>21</v>
      </c>
      <c r="J258" s="1" t="s">
        <v>21</v>
      </c>
      <c r="K258" s="1" t="s">
        <v>22</v>
      </c>
      <c r="L258" s="1" t="s">
        <v>1247</v>
      </c>
      <c r="M258" s="1">
        <v>3</v>
      </c>
      <c r="N258" s="1" t="s">
        <v>24</v>
      </c>
      <c r="O258" s="1" t="str">
        <f ca="1">IFERROR(__xludf.DUMMYFUNCTION("GOOGLETRANSLATE(N258,""pl"",""en"")"),"full ownership")</f>
        <v>full ownership</v>
      </c>
      <c r="P258" s="3" t="s">
        <v>1248</v>
      </c>
      <c r="Q258" s="1" t="b">
        <v>1</v>
      </c>
      <c r="R258" s="1" t="s">
        <v>1249</v>
      </c>
    </row>
    <row r="259" spans="1:18" x14ac:dyDescent="0.25">
      <c r="A259" s="2">
        <v>45173</v>
      </c>
      <c r="B259" s="1" t="s">
        <v>1250</v>
      </c>
      <c r="C259" s="1" t="str">
        <f ca="1">IFERROR(__xludf.DUMMYFUNCTION("GOOGLETRANSLATE(B259,""pl"",""en"")"),"Apartments Władysławowo Baltic terraces")</f>
        <v>Apartments Władysławowo Baltic terraces</v>
      </c>
      <c r="D259" s="1">
        <v>329000</v>
      </c>
      <c r="E259" s="1" t="s">
        <v>19</v>
      </c>
      <c r="F259" s="1">
        <v>36.159999999999997</v>
      </c>
      <c r="G259" s="1" t="s">
        <v>1251</v>
      </c>
      <c r="H259" s="1" t="str">
        <f ca="1">IFERROR(__xludf.DUMMYFUNCTION("GOOGLETRANSLATE(G259,""pl"",""en"")"),"street. Road Chłapowska, Władysławowo, Władysławowo, Pucki, Pomeranian")</f>
        <v>street. Road Chłapowska, Władysławowo, Władysławowo, Pucki, Pomeranian</v>
      </c>
      <c r="I259" s="1" t="b">
        <v>1</v>
      </c>
      <c r="J259" s="1" t="s">
        <v>21</v>
      </c>
      <c r="K259" s="1" t="s">
        <v>22</v>
      </c>
      <c r="L259" s="1" t="s">
        <v>1252</v>
      </c>
      <c r="M259" s="1">
        <v>2</v>
      </c>
      <c r="N259" s="1" t="s">
        <v>24</v>
      </c>
      <c r="O259" s="1" t="str">
        <f ca="1">IFERROR(__xludf.DUMMYFUNCTION("GOOGLETRANSLATE(N259,""pl"",""en"")"),"full ownership")</f>
        <v>full ownership</v>
      </c>
      <c r="P259" s="3" t="s">
        <v>1253</v>
      </c>
      <c r="Q259" s="1" t="b">
        <v>1</v>
      </c>
      <c r="R259" s="1" t="s">
        <v>1254</v>
      </c>
    </row>
    <row r="260" spans="1:18" x14ac:dyDescent="0.25">
      <c r="A260" s="2">
        <v>45173</v>
      </c>
      <c r="B260" s="1" t="s">
        <v>1255</v>
      </c>
      <c r="C260" s="1" t="str">
        <f ca="1">IFERROR(__xludf.DUMMYFUNCTION("GOOGLETRANSLATE(B260,""pl"",""en"")"),"Apartment at the park | 3rds and terrace")</f>
        <v>Apartment at the park | 3rds and terrace</v>
      </c>
      <c r="D260" s="1">
        <v>711600</v>
      </c>
      <c r="E260" s="1" t="s">
        <v>19</v>
      </c>
      <c r="F260" s="1">
        <v>59.3</v>
      </c>
      <c r="G260" s="1" t="s">
        <v>1256</v>
      </c>
      <c r="H260" s="1" t="str">
        <f ca="1">IFERROR(__xludf.DUMMYFUNCTION("GOOGLETRANSLATE(G260,""pl"",""en"")"),"street. Grabiszyńska, Gajowice, Fabryczna, Wrocław, DolnoSilesian Voivodeship")</f>
        <v>street. Grabiszyńska, Gajowice, Fabryczna, Wrocław, DolnoSilesian Voivodeship</v>
      </c>
      <c r="I260" s="1" t="s">
        <v>21</v>
      </c>
      <c r="J260" s="1" t="s">
        <v>21</v>
      </c>
      <c r="K260" s="1" t="s">
        <v>22</v>
      </c>
      <c r="L260" s="1" t="s">
        <v>1257</v>
      </c>
      <c r="M260" s="1">
        <v>3</v>
      </c>
      <c r="N260" s="1" t="s">
        <v>24</v>
      </c>
      <c r="O260" s="1" t="str">
        <f ca="1">IFERROR(__xludf.DUMMYFUNCTION("GOOGLETRANSLATE(N260,""pl"",""en"")"),"full ownership")</f>
        <v>full ownership</v>
      </c>
      <c r="P260" s="3" t="s">
        <v>1258</v>
      </c>
      <c r="Q260" s="1" t="b">
        <v>1</v>
      </c>
      <c r="R260" s="1" t="s">
        <v>1259</v>
      </c>
    </row>
    <row r="261" spans="1:18" x14ac:dyDescent="0.25">
      <c r="A261" s="2">
        <v>45173</v>
      </c>
      <c r="B261" s="1" t="s">
        <v>1260</v>
      </c>
      <c r="C261" s="1" t="str">
        <f ca="1">IFERROR(__xludf.DUMMYFUNCTION("GOOGLETRANSLATE(B261,""pl"",""en"")"),"M-4/wardrobe/turnkey/Częstochowa/Parkitka")</f>
        <v>M-4/wardrobe/turnkey/Częstochowa/Parkitka</v>
      </c>
      <c r="D261" s="1">
        <v>749000</v>
      </c>
      <c r="E261" s="1" t="s">
        <v>33</v>
      </c>
      <c r="F261" s="1">
        <v>63.55</v>
      </c>
      <c r="G261" s="1" t="s">
        <v>1261</v>
      </c>
      <c r="H261" s="1" t="str">
        <f ca="1">IFERROR(__xludf.DUMMYFUNCTION("GOOGLETRANSLATE(G261,""pl"",""en"")"),"Parkitka, Częstochówka-Darkitka, Częstochowa, Silesian Voivodeship")</f>
        <v>Parkitka, Częstochówka-Darkitka, Częstochowa, Silesian Voivodeship</v>
      </c>
      <c r="I261" s="1" t="s">
        <v>21</v>
      </c>
      <c r="J261" s="1" t="s">
        <v>21</v>
      </c>
      <c r="K261" s="1" t="s">
        <v>22</v>
      </c>
      <c r="L261" s="1" t="s">
        <v>1262</v>
      </c>
      <c r="M261" s="1">
        <v>3</v>
      </c>
      <c r="N261" s="1" t="s">
        <v>24</v>
      </c>
      <c r="O261" s="1" t="str">
        <f ca="1">IFERROR(__xludf.DUMMYFUNCTION("GOOGLETRANSLATE(N261,""pl"",""en"")"),"full ownership")</f>
        <v>full ownership</v>
      </c>
      <c r="P261" s="3" t="s">
        <v>1263</v>
      </c>
      <c r="Q261" s="1" t="b">
        <v>1</v>
      </c>
      <c r="R261" s="1" t="s">
        <v>1264</v>
      </c>
    </row>
    <row r="262" spans="1:18" x14ac:dyDescent="0.25">
      <c r="A262" s="2">
        <v>45173</v>
      </c>
      <c r="B262" s="1" t="s">
        <v>1265</v>
      </c>
      <c r="C262" s="1" t="str">
        <f ca="1">IFERROR(__xludf.DUMMYFUNCTION("GOOGLETRANSLATE(B262,""pl"",""en"")"),"4 rooms+annex/15 minutes to CH Wroclavia/Ready")</f>
        <v>4 rooms+annex/15 minutes to CH Wroclavia/Ready</v>
      </c>
      <c r="D262" s="1">
        <v>679211</v>
      </c>
      <c r="E262" s="1" t="s">
        <v>19</v>
      </c>
      <c r="F262" s="1">
        <v>62.9</v>
      </c>
      <c r="G262" s="1" t="s">
        <v>1266</v>
      </c>
      <c r="H262" s="1" t="str">
        <f ca="1">IFERROR(__xludf.DUMMYFUNCTION("GOOGLETRANSLATE(G262,""pl"",""en"")"),"Jagodno, Krzyki, Wrocław, DolnoSilesian Voivodeship")</f>
        <v>Jagodno, Krzyki, Wrocław, DolnoSilesian Voivodeship</v>
      </c>
      <c r="I262" s="1" t="s">
        <v>21</v>
      </c>
      <c r="J262" s="1" t="s">
        <v>21</v>
      </c>
      <c r="K262" s="1" t="s">
        <v>22</v>
      </c>
      <c r="L262" s="1" t="s">
        <v>1267</v>
      </c>
      <c r="M262" s="1">
        <v>4</v>
      </c>
      <c r="N262" s="1" t="s">
        <v>24</v>
      </c>
      <c r="O262" s="1" t="str">
        <f ca="1">IFERROR(__xludf.DUMMYFUNCTION("GOOGLETRANSLATE(N262,""pl"",""en"")"),"full ownership")</f>
        <v>full ownership</v>
      </c>
      <c r="P262" s="3" t="s">
        <v>1268</v>
      </c>
      <c r="Q262" s="1" t="b">
        <v>1</v>
      </c>
      <c r="R262" s="1" t="s">
        <v>1269</v>
      </c>
    </row>
    <row r="263" spans="1:18" x14ac:dyDescent="0.25">
      <c r="A263" s="2">
        <v>45173</v>
      </c>
      <c r="B263" s="1" t="s">
        <v>1270</v>
      </c>
      <c r="C263" s="1" t="str">
        <f ca="1">IFERROR(__xludf.DUMMYFUNCTION("GOOGLETRANSLATE(B263,""pl"",""en"")"),"2 -room apartment with a balcony")</f>
        <v>2 -room apartment with a balcony</v>
      </c>
      <c r="D263" s="1">
        <v>209000</v>
      </c>
      <c r="E263" s="1" t="s">
        <v>33</v>
      </c>
      <c r="F263" s="1">
        <v>42.78</v>
      </c>
      <c r="G263" s="1" t="s">
        <v>1271</v>
      </c>
      <c r="H263" s="1" t="str">
        <f ca="1">IFERROR(__xludf.DUMMYFUNCTION("GOOGLETRANSLATE(G263,""pl"",""en"")"),"Bykowina, Ruda Śląska, Silesian Voivodeship")</f>
        <v>Bykowina, Ruda Śląska, Silesian Voivodeship</v>
      </c>
      <c r="I263" s="1" t="s">
        <v>21</v>
      </c>
      <c r="J263" s="1" t="s">
        <v>21</v>
      </c>
      <c r="K263" s="1" t="s">
        <v>22</v>
      </c>
      <c r="L263" s="1" t="s">
        <v>1272</v>
      </c>
      <c r="M263" s="1">
        <v>2</v>
      </c>
      <c r="N263" s="1" t="s">
        <v>85</v>
      </c>
      <c r="O263" s="1" t="str">
        <f ca="1">IFERROR(__xludf.DUMMYFUNCTION("GOOGLETRANSLATE(N263,""pl"",""en"")"),"Cooperative ownership of the right to the premises")</f>
        <v>Cooperative ownership of the right to the premises</v>
      </c>
      <c r="P263" s="3" t="s">
        <v>1273</v>
      </c>
      <c r="Q263" s="1" t="b">
        <v>1</v>
      </c>
      <c r="R263" s="1" t="s">
        <v>1274</v>
      </c>
    </row>
    <row r="264" spans="1:18" x14ac:dyDescent="0.25">
      <c r="A264" s="2">
        <v>45173</v>
      </c>
      <c r="B264" s="1" t="s">
        <v>1275</v>
      </c>
      <c r="C264" s="1" t="str">
        <f ca="1">IFERROR(__xludf.DUMMYFUNCTION("GOOGLETRANSLATE(B264,""pl"",""en"")"),"M-3 49m2 Fordon gliders 2nd floor")</f>
        <v>M-3 49m2 Fordon gliders 2nd floor</v>
      </c>
      <c r="D264" s="1">
        <v>318000</v>
      </c>
      <c r="E264" s="1" t="s">
        <v>33</v>
      </c>
      <c r="F264" s="1">
        <v>52.2</v>
      </c>
      <c r="G264" s="1" t="s">
        <v>1180</v>
      </c>
      <c r="H264" s="1" t="str">
        <f ca="1">IFERROR(__xludf.DUMMYFUNCTION("GOOGLETRANSLATE(G264,""pl"",""en"")"),"New Fordon, Bydgoszcz, Kuyavian-Pomeranian")</f>
        <v>New Fordon, Bydgoszcz, Kuyavian-Pomeranian</v>
      </c>
      <c r="I264" s="1" t="s">
        <v>21</v>
      </c>
      <c r="J264" s="1" t="s">
        <v>21</v>
      </c>
      <c r="K264" s="1" t="s">
        <v>22</v>
      </c>
      <c r="L264" s="1" t="s">
        <v>1276</v>
      </c>
      <c r="M264" s="1">
        <v>2</v>
      </c>
      <c r="N264" s="1" t="s">
        <v>24</v>
      </c>
      <c r="O264" s="1" t="str">
        <f ca="1">IFERROR(__xludf.DUMMYFUNCTION("GOOGLETRANSLATE(N264,""pl"",""en"")"),"full ownership")</f>
        <v>full ownership</v>
      </c>
      <c r="P264" s="3" t="s">
        <v>1277</v>
      </c>
      <c r="Q264" s="1" t="b">
        <v>1</v>
      </c>
      <c r="R264" s="1" t="s">
        <v>1278</v>
      </c>
    </row>
    <row r="265" spans="1:18" x14ac:dyDescent="0.25">
      <c r="A265" s="2">
        <v>45251</v>
      </c>
      <c r="B265" s="1" t="s">
        <v>1279</v>
      </c>
      <c r="C265" s="1" t="str">
        <f ca="1">IFERROR(__xludf.DUMMYFUNCTION("GOOGLETRANSLATE(B265,""pl"",""en"")"),"A beautiful view of the National Stadium")</f>
        <v>A beautiful view of the National Stadium</v>
      </c>
      <c r="D265" s="1">
        <v>2150000</v>
      </c>
      <c r="E265" s="1" t="s">
        <v>33</v>
      </c>
      <c r="F265" s="1">
        <v>125</v>
      </c>
      <c r="G265" s="1" t="s">
        <v>1280</v>
      </c>
      <c r="H265" s="1" t="str">
        <f ca="1">IFERROR(__xludf.DUMMYFUNCTION("GOOGLETRANSLATE(G265,""pl"",""en"")"),"al. Jerzy Washington Avenue, Saska Kępa, Praga-Południe, Warsaw, Masovian Voivodeship")</f>
        <v>al. Jerzy Washington Avenue, Saska Kępa, Praga-Południe, Warsaw, Masovian Voivodeship</v>
      </c>
      <c r="I265" s="1" t="s">
        <v>21</v>
      </c>
      <c r="J265" s="1" t="s">
        <v>21</v>
      </c>
      <c r="K265" s="1" t="s">
        <v>22</v>
      </c>
      <c r="L265" s="1" t="s">
        <v>1281</v>
      </c>
      <c r="M265" s="1">
        <v>5</v>
      </c>
      <c r="N265" s="1" t="s">
        <v>24</v>
      </c>
      <c r="O265" s="1" t="str">
        <f ca="1">IFERROR(__xludf.DUMMYFUNCTION("GOOGLETRANSLATE(N265,""pl"",""en"")"),"full ownership")</f>
        <v>full ownership</v>
      </c>
      <c r="P265" s="3" t="s">
        <v>1282</v>
      </c>
      <c r="Q265" s="1" t="b">
        <v>1</v>
      </c>
      <c r="R265" s="1" t="s">
        <v>1283</v>
      </c>
    </row>
    <row r="266" spans="1:18" x14ac:dyDescent="0.25">
      <c r="A266" s="2">
        <v>45251</v>
      </c>
      <c r="B266" s="1" t="s">
        <v>1284</v>
      </c>
      <c r="C266" s="1" t="str">
        <f ca="1">IFERROR(__xludf.DUMMYFUNCTION("GOOGLETRANSLATE(B266,""pl"",""en"")"),"Tuwima Sky Apartment / 8th floor / credit 2%")</f>
        <v>Tuwima Sky Apartment / 8th floor / credit 2%</v>
      </c>
      <c r="D266" s="1" t="s">
        <v>21</v>
      </c>
      <c r="E266" s="1" t="s">
        <v>19</v>
      </c>
      <c r="F266" s="1">
        <v>25.19</v>
      </c>
      <c r="G266" s="1" t="s">
        <v>1285</v>
      </c>
      <c r="H266" s="1" t="str">
        <f ca="1">IFERROR(__xludf.DUMMYFUNCTION("GOOGLETRANSLATE(G266,""pl"",""en"")"),"street. Jstreetiana Tuwima 95, Fabryczna Widzew, Widzew, Łódź, Łódź")</f>
        <v>street. Jstreetiana Tuwima 95, Fabryczna Widzew, Widzew, Łódź, Łódź</v>
      </c>
      <c r="I266" s="1" t="b">
        <v>1</v>
      </c>
      <c r="J266" s="1" t="s">
        <v>21</v>
      </c>
      <c r="K266" s="1" t="s">
        <v>194</v>
      </c>
      <c r="L266" s="1" t="s">
        <v>1286</v>
      </c>
      <c r="M266" s="1">
        <v>1</v>
      </c>
      <c r="N266" s="1" t="s">
        <v>24</v>
      </c>
      <c r="O266" s="1" t="str">
        <f ca="1">IFERROR(__xludf.DUMMYFUNCTION("GOOGLETRANSLATE(N266,""pl"",""en"")"),"full ownership")</f>
        <v>full ownership</v>
      </c>
      <c r="P266" s="3" t="s">
        <v>1287</v>
      </c>
      <c r="Q266" s="1" t="b">
        <v>1</v>
      </c>
      <c r="R266" s="1" t="s">
        <v>1288</v>
      </c>
    </row>
    <row r="267" spans="1:18" x14ac:dyDescent="0.25">
      <c r="A267" s="2">
        <v>45251</v>
      </c>
      <c r="B267" s="1" t="s">
        <v>1289</v>
      </c>
      <c r="C267" s="1" t="str">
        <f ca="1">IFERROR(__xludf.DUMMYFUNCTION("GOOGLETRANSLATE(B267,""pl"",""en"")"),"Apartment with a beautiful view of Kościuszko, Salwator")</f>
        <v>Apartment with a beautiful view of Kościuszko, Salwator</v>
      </c>
      <c r="D267" s="1">
        <v>2950000</v>
      </c>
      <c r="E267" s="1" t="s">
        <v>33</v>
      </c>
      <c r="F267" s="1">
        <v>110</v>
      </c>
      <c r="G267" s="1" t="s">
        <v>4739</v>
      </c>
      <c r="H267" s="1" t="str">
        <f ca="1">IFERROR(__xludf.DUMMYFUNCTION("GOOGLETRANSLATE(G267,""pl"",""en"")"),"street. General Tadeusz Kościuszko, Zwierzyniec, Zwierzyniec, Kraków, Lesser Poland")</f>
        <v>street. General Tadeusz Kościuszko, Zwierzyniec, Zwierzyniec, Kraków, Lesser Poland</v>
      </c>
      <c r="I267" s="1" t="s">
        <v>21</v>
      </c>
      <c r="J267" s="1" t="s">
        <v>21</v>
      </c>
      <c r="K267" s="1" t="s">
        <v>22</v>
      </c>
      <c r="L267" s="1" t="s">
        <v>1290</v>
      </c>
      <c r="M267" s="1">
        <v>3</v>
      </c>
      <c r="N267" s="1" t="s">
        <v>24</v>
      </c>
      <c r="O267" s="1" t="str">
        <f ca="1">IFERROR(__xludf.DUMMYFUNCTION("GOOGLETRANSLATE(N267,""pl"",""en"")"),"full ownership")</f>
        <v>full ownership</v>
      </c>
      <c r="P267" s="3" t="s">
        <v>1291</v>
      </c>
      <c r="Q267" s="1" t="b">
        <v>1</v>
      </c>
      <c r="R267" s="1" t="s">
        <v>1292</v>
      </c>
    </row>
    <row r="268" spans="1:18" x14ac:dyDescent="0.25">
      <c r="A268" s="2">
        <v>45173</v>
      </c>
      <c r="B268" s="1" t="s">
        <v>1293</v>
      </c>
      <c r="C268" s="1" t="str">
        <f ca="1">IFERROR(__xludf.DUMMYFUNCTION("GOOGLETRANSLATE(B268,""pl"",""en"")"),"Apartment in Kluczbork")</f>
        <v>Apartment in Kluczbork</v>
      </c>
      <c r="D268" s="1">
        <v>370000</v>
      </c>
      <c r="E268" s="1" t="s">
        <v>33</v>
      </c>
      <c r="F268" s="1">
        <v>94</v>
      </c>
      <c r="G268" s="1" t="s">
        <v>4740</v>
      </c>
      <c r="H268" s="1" t="str">
        <f ca="1">IFERROR(__xludf.DUMMYFUNCTION("GOOGLETRANSLATE(G268,""pl"",""en"")"),"street. Gen. Pułaski, Kluczbork, Kluczbork, Kluczbork, Opole Voivodeship")</f>
        <v>street. Gen. Pułaski, Kluczbork, Kluczbork, Kluczbork, Opole Voivodeship</v>
      </c>
      <c r="I268" s="1" t="s">
        <v>21</v>
      </c>
      <c r="J268" s="1" t="s">
        <v>21</v>
      </c>
      <c r="K268" s="1" t="s">
        <v>22</v>
      </c>
      <c r="L268" s="1" t="s">
        <v>1294</v>
      </c>
      <c r="M268" s="1">
        <v>4</v>
      </c>
      <c r="N268" s="1" t="s">
        <v>24</v>
      </c>
      <c r="O268" s="1" t="str">
        <f ca="1">IFERROR(__xludf.DUMMYFUNCTION("GOOGLETRANSLATE(N268,""pl"",""en"")"),"full ownership")</f>
        <v>full ownership</v>
      </c>
      <c r="P268" s="3" t="s">
        <v>1295</v>
      </c>
      <c r="Q268" s="1" t="b">
        <v>1</v>
      </c>
      <c r="R268" s="1" t="s">
        <v>1296</v>
      </c>
    </row>
    <row r="269" spans="1:18" x14ac:dyDescent="0.25">
      <c r="A269" s="2">
        <v>45173</v>
      </c>
      <c r="B269" s="1" t="s">
        <v>1297</v>
      </c>
      <c r="C269" s="1" t="str">
        <f ca="1">IFERROR(__xludf.DUMMYFUNCTION("GOOGLETRANSLATE(B269,""pl"",""en"")"),"Apartment in the very center of Szczecinek")</f>
        <v>Apartment in the very center of Szczecinek</v>
      </c>
      <c r="D269" s="1">
        <v>235000</v>
      </c>
      <c r="E269" s="1" t="s">
        <v>33</v>
      </c>
      <c r="F269" s="1">
        <v>95.43</v>
      </c>
      <c r="G269" s="1" t="s">
        <v>1298</v>
      </c>
      <c r="H269" s="1" t="str">
        <f ca="1">IFERROR(__xludf.DUMMYFUNCTION("GOOGLETRANSLATE(G269,""pl"",""en"")"),"street. Bohaterów Warsaw, Szczecinek, Szczecin, West Pomeranian Voivodeship")</f>
        <v>street. Bohaterów Warsaw, Szczecinek, Szczecin, West Pomeranian Voivodeship</v>
      </c>
      <c r="I269" s="1" t="s">
        <v>21</v>
      </c>
      <c r="J269" s="1" t="s">
        <v>21</v>
      </c>
      <c r="K269" s="1" t="s">
        <v>22</v>
      </c>
      <c r="L269" s="1" t="s">
        <v>1299</v>
      </c>
      <c r="M269" s="1">
        <v>4</v>
      </c>
      <c r="N269" s="1" t="s">
        <v>24</v>
      </c>
      <c r="O269" s="1" t="str">
        <f ca="1">IFERROR(__xludf.DUMMYFUNCTION("GOOGLETRANSLATE(N269,""pl"",""en"")"),"full ownership")</f>
        <v>full ownership</v>
      </c>
      <c r="P269" s="3" t="s">
        <v>1300</v>
      </c>
      <c r="Q269" s="1" t="b">
        <v>1</v>
      </c>
      <c r="R269" s="1" t="s">
        <v>1301</v>
      </c>
    </row>
    <row r="270" spans="1:18" x14ac:dyDescent="0.25">
      <c r="A270" s="2">
        <v>45173</v>
      </c>
      <c r="B270" s="1" t="s">
        <v>1302</v>
      </c>
      <c r="C270" s="1" t="str">
        <f ca="1">IFERROR(__xludf.DUMMYFUNCTION("GOOGLETRANSLATE(B270,""pl"",""en"")"),"3-room apartment with a balcony")</f>
        <v>3-room apartment with a balcony</v>
      </c>
      <c r="D270" s="1">
        <v>409000</v>
      </c>
      <c r="E270" s="1" t="s">
        <v>33</v>
      </c>
      <c r="F270" s="1">
        <v>83.2</v>
      </c>
      <c r="G270" s="1" t="s">
        <v>1303</v>
      </c>
      <c r="H270" s="1" t="str">
        <f ca="1">IFERROR(__xludf.DUMMYFUNCTION("GOOGLETRANSLATE(G270,""pl"",""en"")"),"Ostróda, Ostróda, Warmian-Masurian Voivodeship")</f>
        <v>Ostróda, Ostróda, Warmian-Masurian Voivodeship</v>
      </c>
      <c r="I270" s="1" t="s">
        <v>21</v>
      </c>
      <c r="J270" s="1" t="s">
        <v>21</v>
      </c>
      <c r="K270" s="1" t="s">
        <v>22</v>
      </c>
      <c r="L270" s="1" t="s">
        <v>1304</v>
      </c>
      <c r="M270" s="1">
        <v>3</v>
      </c>
      <c r="N270" s="1" t="s">
        <v>24</v>
      </c>
      <c r="O270" s="1" t="str">
        <f ca="1">IFERROR(__xludf.DUMMYFUNCTION("GOOGLETRANSLATE(N270,""pl"",""en"")"),"full ownership")</f>
        <v>full ownership</v>
      </c>
      <c r="P270" s="3" t="s">
        <v>1305</v>
      </c>
      <c r="Q270" s="1" t="b">
        <v>1</v>
      </c>
      <c r="R270" s="1" t="s">
        <v>1306</v>
      </c>
    </row>
    <row r="271" spans="1:18" x14ac:dyDescent="0.25">
      <c r="A271" s="2">
        <v>45173</v>
      </c>
      <c r="B271" s="1" t="s">
        <v>1307</v>
      </c>
      <c r="C271" s="1" t="str">
        <f ca="1">IFERROR(__xludf.DUMMYFUNCTION("GOOGLETRANSLATE(B271,""pl"",""en"")"),"Apartment - Sopot Centrum")</f>
        <v>Apartment - Sopot Centrum</v>
      </c>
      <c r="D271" s="1">
        <v>1100000</v>
      </c>
      <c r="E271" s="1" t="s">
        <v>33</v>
      </c>
      <c r="F271" s="1">
        <v>87.4</v>
      </c>
      <c r="G271" s="1" t="s">
        <v>1308</v>
      </c>
      <c r="H271" s="1" t="str">
        <f ca="1">IFERROR(__xludf.DUMMYFUNCTION("GOOGLETRANSLATE(G271,""pl"",""en"")"),"Upper Sopot, Sopot, Pomeranian")</f>
        <v>Upper Sopot, Sopot, Pomeranian</v>
      </c>
      <c r="I271" s="1" t="s">
        <v>21</v>
      </c>
      <c r="J271" s="1" t="s">
        <v>21</v>
      </c>
      <c r="K271" s="1" t="s">
        <v>22</v>
      </c>
      <c r="L271" s="1" t="s">
        <v>1309</v>
      </c>
      <c r="M271" s="1">
        <v>3</v>
      </c>
      <c r="N271" s="1" t="s">
        <v>24</v>
      </c>
      <c r="O271" s="1" t="str">
        <f ca="1">IFERROR(__xludf.DUMMYFUNCTION("GOOGLETRANSLATE(N271,""pl"",""en"")"),"full ownership")</f>
        <v>full ownership</v>
      </c>
      <c r="P271" s="3" t="s">
        <v>1310</v>
      </c>
      <c r="Q271" s="1" t="b">
        <v>1</v>
      </c>
      <c r="R271" s="1" t="s">
        <v>1311</v>
      </c>
    </row>
    <row r="272" spans="1:18" x14ac:dyDescent="0.25">
      <c r="A272" s="2">
        <v>45173</v>
      </c>
      <c r="B272" s="1" t="s">
        <v>1312</v>
      </c>
      <c r="C272" s="1" t="str">
        <f ca="1">IFERROR(__xludf.DUMMYFUNCTION("GOOGLETRANSLATE(B272,""pl"",""en"")"),"Corner Apartment Pearl of the M82 | with a mezzanine")</f>
        <v>Corner Apartment Pearl of the M82 | with a mezzanine</v>
      </c>
      <c r="D272" s="1">
        <v>962270</v>
      </c>
      <c r="E272" s="1" t="s">
        <v>19</v>
      </c>
      <c r="F272" s="1">
        <v>39.31</v>
      </c>
      <c r="G272" s="1" t="s">
        <v>1313</v>
      </c>
      <c r="H272" s="1" t="str">
        <f ca="1">IFERROR(__xludf.DUMMYFUNCTION("GOOGLETRANSLATE(G272,""pl"",""en"")"),"street. Aviation, Sianożęty, Ustronie Morskie, Kołobrzeski, ZachodnioPomeranian Voivodeship")</f>
        <v>street. Aviation, Sianożęty, Ustronie Morskie, Kołobrzeski, ZachodnioPomeranian Voivodeship</v>
      </c>
      <c r="I272" s="1" t="s">
        <v>21</v>
      </c>
      <c r="J272" s="1" t="s">
        <v>21</v>
      </c>
      <c r="K272" s="1" t="s">
        <v>194</v>
      </c>
      <c r="L272" s="1" t="s">
        <v>1314</v>
      </c>
      <c r="M272" s="1">
        <v>1</v>
      </c>
      <c r="N272" s="1" t="s">
        <v>24</v>
      </c>
      <c r="O272" s="1" t="str">
        <f ca="1">IFERROR(__xludf.DUMMYFUNCTION("GOOGLETRANSLATE(N272,""pl"",""en"")"),"full ownership")</f>
        <v>full ownership</v>
      </c>
      <c r="P272" s="3" t="s">
        <v>1315</v>
      </c>
      <c r="Q272" s="1" t="b">
        <v>1</v>
      </c>
      <c r="R272" s="1" t="s">
        <v>1316</v>
      </c>
    </row>
    <row r="273" spans="1:18" x14ac:dyDescent="0.25">
      <c r="A273" s="2">
        <v>45173</v>
      </c>
      <c r="B273" s="1" t="s">
        <v>1317</v>
      </c>
      <c r="C273" s="1" t="str">
        <f ca="1">IFERROR(__xludf.DUMMYFUNCTION("GOOGLETRANSLATE(B273,""pl"",""en"")"),"Apartments over Bobrem in Nowogród Bobrzański!")</f>
        <v>Apartments over Bobrem in Nowogród Bobrzański!</v>
      </c>
      <c r="D273" s="1">
        <v>224259</v>
      </c>
      <c r="E273" s="1" t="s">
        <v>19</v>
      </c>
      <c r="F273" s="1">
        <v>40.590000000000003</v>
      </c>
      <c r="G273" s="1" t="s">
        <v>4842</v>
      </c>
      <c r="H273" s="1" t="str">
        <f ca="1">IFERROR(__xludf.DUMMYFUNCTION("GOOGLETRANSLATE(G273,""pl"",""en"")"),"Nowogród Bobrzański, Nowogród Bobrzański, Zielona Góra, Lubusz Voivodeship")</f>
        <v>Nowogród Bobrzański, Nowogród Bobrzański, Zielona Góra, Lubusz Voivodeship</v>
      </c>
      <c r="I273" s="1" t="s">
        <v>21</v>
      </c>
      <c r="J273" s="1" t="s">
        <v>21</v>
      </c>
      <c r="K273" s="1" t="s">
        <v>22</v>
      </c>
      <c r="L273" s="1" t="s">
        <v>1318</v>
      </c>
      <c r="M273" s="1">
        <v>2</v>
      </c>
      <c r="N273" s="1" t="s">
        <v>24</v>
      </c>
      <c r="O273" s="1" t="str">
        <f ca="1">IFERROR(__xludf.DUMMYFUNCTION("GOOGLETRANSLATE(N273,""pl"",""en"")"),"full ownership")</f>
        <v>full ownership</v>
      </c>
      <c r="P273" s="3" t="s">
        <v>1319</v>
      </c>
      <c r="Q273" s="1" t="b">
        <v>1</v>
      </c>
      <c r="R273" s="1" t="s">
        <v>1320</v>
      </c>
    </row>
    <row r="274" spans="1:18" x14ac:dyDescent="0.25">
      <c r="A274" s="2">
        <v>45173</v>
      </c>
      <c r="B274" s="1" t="s">
        <v>1321</v>
      </c>
      <c r="C274" s="1" t="str">
        <f ca="1">IFERROR(__xludf.DUMMYFUNCTION("GOOGLETRANSLATE(B274,""pl"",""en"")"),"Ursynów apartment 85 m2 at SGGW")</f>
        <v>Ursynów apartment 85 m2 at SGGW</v>
      </c>
      <c r="D274" s="1">
        <v>980000</v>
      </c>
      <c r="E274" s="1" t="s">
        <v>33</v>
      </c>
      <c r="F274" s="1">
        <v>85</v>
      </c>
      <c r="G274" s="1" t="s">
        <v>1322</v>
      </c>
      <c r="H274" s="1" t="str">
        <f ca="1">IFERROR(__xludf.DUMMYFUNCTION("GOOGLETRANSLATE(G274,""pl"",""en"")"),"street. Wacław Lachman, Ursynów North, Ursynów, Warsaw, Masovian Voivodeship")</f>
        <v>street. Wacław Lachman, Ursynów North, Ursynów, Warsaw, Masovian Voivodeship</v>
      </c>
      <c r="I274" s="1" t="s">
        <v>21</v>
      </c>
      <c r="J274" s="1" t="s">
        <v>21</v>
      </c>
      <c r="K274" s="1" t="s">
        <v>22</v>
      </c>
      <c r="L274" s="1" t="s">
        <v>1323</v>
      </c>
      <c r="M274" s="1">
        <v>4</v>
      </c>
      <c r="N274" s="1" t="s">
        <v>85</v>
      </c>
      <c r="O274" s="1" t="str">
        <f ca="1">IFERROR(__xludf.DUMMYFUNCTION("GOOGLETRANSLATE(N274,""pl"",""en"")"),"Cooperative ownership of the right to the premises")</f>
        <v>Cooperative ownership of the right to the premises</v>
      </c>
      <c r="P274" s="3" t="s">
        <v>1324</v>
      </c>
      <c r="Q274" s="1" t="b">
        <v>1</v>
      </c>
      <c r="R274" s="1" t="s">
        <v>1325</v>
      </c>
    </row>
    <row r="275" spans="1:18" x14ac:dyDescent="0.25">
      <c r="A275" s="2">
        <v>45173</v>
      </c>
      <c r="B275" s="1" t="s">
        <v>1326</v>
      </c>
      <c r="C275" s="1" t="str">
        <f ca="1">IFERROR(__xludf.DUMMYFUNCTION("GOOGLETRANSLATE(B275,""pl"",""en"")"),"A flat in a development state in Świnoujście.")</f>
        <v>A flat in a development state in Świnoujście.</v>
      </c>
      <c r="D275" s="1">
        <v>625000</v>
      </c>
      <c r="E275" s="1" t="s">
        <v>33</v>
      </c>
      <c r="F275" s="1">
        <v>77.680000000000007</v>
      </c>
      <c r="G275" s="1" t="s">
        <v>1327</v>
      </c>
      <c r="H275" s="1" t="str">
        <f ca="1">IFERROR(__xludf.DUMMYFUNCTION("GOOGLETRANSLATE(G275,""pl"",""en"")"),"Świnoujście, ZachodnioPomeranian Voivodeship")</f>
        <v>Świnoujście, ZachodnioPomeranian Voivodeship</v>
      </c>
      <c r="I275" s="1" t="s">
        <v>21</v>
      </c>
      <c r="J275" s="1" t="s">
        <v>21</v>
      </c>
      <c r="K275" s="1" t="s">
        <v>22</v>
      </c>
      <c r="L275" s="1" t="s">
        <v>1328</v>
      </c>
      <c r="M275" s="1">
        <v>2</v>
      </c>
      <c r="N275" s="1" t="s">
        <v>24</v>
      </c>
      <c r="O275" s="1" t="str">
        <f ca="1">IFERROR(__xludf.DUMMYFUNCTION("GOOGLETRANSLATE(N275,""pl"",""en"")"),"full ownership")</f>
        <v>full ownership</v>
      </c>
      <c r="P275" s="3" t="s">
        <v>1329</v>
      </c>
      <c r="Q275" s="1" t="b">
        <v>1</v>
      </c>
      <c r="R275" s="1" t="s">
        <v>1330</v>
      </c>
    </row>
    <row r="276" spans="1:18" x14ac:dyDescent="0.25">
      <c r="A276" s="2">
        <v>45173</v>
      </c>
      <c r="B276" s="1" t="s">
        <v>1331</v>
      </c>
      <c r="C276" s="1" t="str">
        <f ca="1">IFERROR(__xludf.DUMMYFUNCTION("GOOGLETRANSLATE(B276,""pl"",""en"")"),"2 levels, investment, green surroundings")</f>
        <v>2 levels, investment, green surroundings</v>
      </c>
      <c r="D276" s="1">
        <v>1200000</v>
      </c>
      <c r="E276" s="1" t="s">
        <v>33</v>
      </c>
      <c r="F276" s="1">
        <v>164.8</v>
      </c>
      <c r="G276" s="1" t="s">
        <v>4741</v>
      </c>
      <c r="H276" s="1" t="str">
        <f ca="1">IFERROR(__xludf.DUMMYFUNCTION("GOOGLETRANSLATE(G276,""pl"",""en"")"),"street. Plastusia, Branice, Nowa Huta, Kraków, Lesser Poland")</f>
        <v>street. Plastusia, Branice, Nowa Huta, Kraków, Lesser Poland</v>
      </c>
      <c r="I276" s="1" t="s">
        <v>21</v>
      </c>
      <c r="J276" s="1" t="s">
        <v>21</v>
      </c>
      <c r="K276" s="1" t="s">
        <v>22</v>
      </c>
      <c r="L276" s="1" t="s">
        <v>1332</v>
      </c>
      <c r="M276" s="1">
        <v>6</v>
      </c>
      <c r="N276" s="1" t="s">
        <v>24</v>
      </c>
      <c r="O276" s="1" t="str">
        <f ca="1">IFERROR(__xludf.DUMMYFUNCTION("GOOGLETRANSLATE(N276,""pl"",""en"")"),"full ownership")</f>
        <v>full ownership</v>
      </c>
      <c r="P276" s="3" t="s">
        <v>1333</v>
      </c>
      <c r="Q276" s="1" t="b">
        <v>1</v>
      </c>
      <c r="R276" s="1" t="s">
        <v>1334</v>
      </c>
    </row>
    <row r="277" spans="1:18" x14ac:dyDescent="0.25">
      <c r="A277" s="2">
        <v>45173</v>
      </c>
      <c r="B277" s="1" t="s">
        <v>1335</v>
      </c>
      <c r="C277" s="1" t="str">
        <f ca="1">IFERROR(__xludf.DUMMYFUNCTION("GOOGLETRANSLATE(B277,""pl"",""en"")"),"M-2 40m2 m2 Dąbrowa Górnicza Ząbkowice")</f>
        <v>M-2 40m2 m2 Dąbrowa Górnicza Ząbkowice</v>
      </c>
      <c r="D277" s="1">
        <v>269207</v>
      </c>
      <c r="E277" s="1" t="s">
        <v>19</v>
      </c>
      <c r="F277" s="1">
        <v>40.82</v>
      </c>
      <c r="G277" s="1" t="s">
        <v>1336</v>
      </c>
      <c r="H277" s="1" t="str">
        <f ca="1">IFERROR(__xludf.DUMMYFUNCTION("GOOGLETRANSLATE(G277,""pl"",""en"")"),"street. Chemiczna, Ząbkowice, Ząbkowice, Dąbrowa Górnicza, Silesian Voivodeship")</f>
        <v>street. Chemiczna, Ząbkowice, Ząbkowice, Dąbrowa Górnicza, Silesian Voivodeship</v>
      </c>
      <c r="I277" s="1" t="s">
        <v>21</v>
      </c>
      <c r="J277" s="1" t="s">
        <v>21</v>
      </c>
      <c r="K277" s="1" t="s">
        <v>194</v>
      </c>
      <c r="L277" s="1" t="s">
        <v>1337</v>
      </c>
      <c r="M277" s="1">
        <v>1</v>
      </c>
      <c r="N277" s="1" t="s">
        <v>24</v>
      </c>
      <c r="O277" s="1" t="str">
        <f ca="1">IFERROR(__xludf.DUMMYFUNCTION("GOOGLETRANSLATE(N277,""pl"",""en"")"),"full ownership")</f>
        <v>full ownership</v>
      </c>
      <c r="P277" s="3" t="s">
        <v>1338</v>
      </c>
      <c r="Q277" s="1" t="b">
        <v>1</v>
      </c>
      <c r="R277" s="1" t="s">
        <v>1339</v>
      </c>
    </row>
    <row r="278" spans="1:18" x14ac:dyDescent="0.25">
      <c r="A278" s="2">
        <v>45173</v>
      </c>
      <c r="B278" s="1" t="s">
        <v>1340</v>
      </c>
      <c r="C278" s="1" t="str">
        <f ca="1">IFERROR(__xludf.DUMMYFUNCTION("GOOGLETRANSLATE(B278,""pl"",""en"")"),"A flat is worth attention")</f>
        <v>A flat is worth attention</v>
      </c>
      <c r="D278" s="1">
        <v>299000</v>
      </c>
      <c r="E278" s="1" t="s">
        <v>33</v>
      </c>
      <c r="F278" s="1">
        <v>48.2</v>
      </c>
      <c r="G278" s="1" t="s">
        <v>1341</v>
      </c>
      <c r="H278" s="1" t="str">
        <f ca="1">IFERROR(__xludf.DUMMYFUNCTION("GOOGLETRANSLATE(G278,""pl"",""en"")"),"Aleje Mikołaj Kopernik, Inowrocław, Inowrocław, Kujawsko-Pomeranian Voivodeship")</f>
        <v>Aleje Mikołaj Kopernik, Inowrocław, Inowrocław, Kujawsko-Pomeranian Voivodeship</v>
      </c>
      <c r="I278" s="1" t="s">
        <v>21</v>
      </c>
      <c r="J278" s="1" t="s">
        <v>21</v>
      </c>
      <c r="K278" s="1" t="s">
        <v>22</v>
      </c>
      <c r="L278" s="1" t="s">
        <v>1342</v>
      </c>
      <c r="M278" s="1">
        <v>3</v>
      </c>
      <c r="N278" s="1" t="s">
        <v>24</v>
      </c>
      <c r="O278" s="1" t="str">
        <f ca="1">IFERROR(__xludf.DUMMYFUNCTION("GOOGLETRANSLATE(N278,""pl"",""en"")"),"full ownership")</f>
        <v>full ownership</v>
      </c>
      <c r="P278" s="3" t="s">
        <v>1343</v>
      </c>
      <c r="Q278" s="1" t="b">
        <v>1</v>
      </c>
      <c r="R278" s="1" t="s">
        <v>1344</v>
      </c>
    </row>
    <row r="279" spans="1:18" x14ac:dyDescent="0.25">
      <c r="A279" s="2">
        <v>45173</v>
      </c>
      <c r="B279" s="1" t="s">
        <v>1345</v>
      </c>
      <c r="C279" s="1" t="str">
        <f ca="1">IFERROR(__xludf.DUMMYFUNCTION("GOOGLETRANSLATE(B279,""pl"",""en"")"),"3-room apartment 77m2 without intermediaries")</f>
        <v>3-room apartment 77m2 without intermediaries</v>
      </c>
      <c r="D279" s="1">
        <v>976752</v>
      </c>
      <c r="E279" s="1" t="s">
        <v>19</v>
      </c>
      <c r="F279" s="1">
        <v>77.52</v>
      </c>
      <c r="G279" s="1" t="s">
        <v>4742</v>
      </c>
      <c r="H279" s="1" t="str">
        <f ca="1">IFERROR(__xludf.DUMMYFUNCTION("GOOGLETRANSLATE(G279,""pl"",""en"")"),"street. Saint. Wawrzyńca 11, Jeżyce, Jeżyce, Poznań, Greater Poland")</f>
        <v>street. Saint. Wawrzyńca 11, Jeżyce, Jeżyce, Poznań, Greater Poland</v>
      </c>
      <c r="I279" s="1" t="s">
        <v>21</v>
      </c>
      <c r="J279" s="1" t="s">
        <v>21</v>
      </c>
      <c r="K279" s="1" t="s">
        <v>194</v>
      </c>
      <c r="L279" s="1" t="s">
        <v>1346</v>
      </c>
      <c r="M279" s="1">
        <v>3</v>
      </c>
      <c r="N279" s="1" t="s">
        <v>24</v>
      </c>
      <c r="O279" s="1" t="str">
        <f ca="1">IFERROR(__xludf.DUMMYFUNCTION("GOOGLETRANSLATE(N279,""pl"",""en"")"),"full ownership")</f>
        <v>full ownership</v>
      </c>
      <c r="P279" s="3" t="s">
        <v>1347</v>
      </c>
      <c r="Q279" s="1" t="b">
        <v>1</v>
      </c>
      <c r="R279" s="1" t="s">
        <v>1348</v>
      </c>
    </row>
    <row r="280" spans="1:18" x14ac:dyDescent="0.25">
      <c r="A280" s="2">
        <v>45173</v>
      </c>
      <c r="B280" s="1" t="s">
        <v>1349</v>
      </c>
      <c r="C280" s="1" t="str">
        <f ca="1">IFERROR(__xludf.DUMMYFUNCTION("GOOGLETRANSLATE(B280,""pl"",""en"")"),"4 people apartment/garage/balcony/")</f>
        <v>4 people apartment/garage/balcony/</v>
      </c>
      <c r="D280" s="1">
        <v>420000</v>
      </c>
      <c r="E280" s="1" t="s">
        <v>33</v>
      </c>
      <c r="F280" s="1">
        <v>25.32</v>
      </c>
      <c r="G280" s="1" t="s">
        <v>1350</v>
      </c>
      <c r="H280" s="1" t="str">
        <f ca="1">IFERROR(__xludf.DUMMYFUNCTION("GOOGLETRANSLATE(G280,""pl"",""en"")"),"Karpacz, Karkonoski, Lower Silesia")</f>
        <v>Karpacz, Karkonoski, Lower Silesia</v>
      </c>
      <c r="I280" s="1" t="s">
        <v>21</v>
      </c>
      <c r="J280" s="1" t="s">
        <v>21</v>
      </c>
      <c r="K280" s="1" t="s">
        <v>22</v>
      </c>
      <c r="L280" s="1" t="s">
        <v>1351</v>
      </c>
      <c r="M280" s="1">
        <v>1</v>
      </c>
      <c r="N280" s="1" t="s">
        <v>24</v>
      </c>
      <c r="O280" s="1" t="str">
        <f ca="1">IFERROR(__xludf.DUMMYFUNCTION("GOOGLETRANSLATE(N280,""pl"",""en"")"),"full ownership")</f>
        <v>full ownership</v>
      </c>
      <c r="P280" s="3" t="s">
        <v>1352</v>
      </c>
      <c r="Q280" s="1" t="b">
        <v>1</v>
      </c>
      <c r="R280" s="1" t="s">
        <v>1353</v>
      </c>
    </row>
    <row r="281" spans="1:18" x14ac:dyDescent="0.25">
      <c r="A281" s="2">
        <v>45173</v>
      </c>
      <c r="B281" s="1" t="s">
        <v>1354</v>
      </c>
      <c r="C281" s="1" t="str">
        <f ca="1">IFERROR(__xludf.DUMMYFUNCTION("GOOGLETRANSLATE(B281,""pl"",""en"")"),"Apartment in the investment Słoneczne 10a")</f>
        <v>Apartment in the investment Słoneczne 10a</v>
      </c>
      <c r="D281" s="1">
        <v>372960</v>
      </c>
      <c r="E281" s="1" t="s">
        <v>19</v>
      </c>
      <c r="F281" s="1">
        <v>51.8</v>
      </c>
      <c r="G281" s="1" t="s">
        <v>1355</v>
      </c>
      <c r="H281" s="1" t="str">
        <f ca="1">IFERROR(__xludf.DUMMYFUNCTION("GOOGLETRANSLATE(G281,""pl"",""en"")"),"street. Kujawska, Solec Kujawski, Solec Kujawski, Bydgoszcz, Kujawsko-Pomeranian Voivodeship")</f>
        <v>street. Kujawska, Solec Kujawski, Solec Kujawski, Bydgoszcz, Kujawsko-Pomeranian Voivodeship</v>
      </c>
      <c r="I281" s="1" t="s">
        <v>21</v>
      </c>
      <c r="J281" s="1" t="s">
        <v>21</v>
      </c>
      <c r="K281" s="1" t="s">
        <v>194</v>
      </c>
      <c r="L281" s="1" t="s">
        <v>1356</v>
      </c>
      <c r="M281" s="1">
        <v>2</v>
      </c>
      <c r="N281" s="1" t="s">
        <v>24</v>
      </c>
      <c r="O281" s="1" t="str">
        <f ca="1">IFERROR(__xludf.DUMMYFUNCTION("GOOGLETRANSLATE(N281,""pl"",""en"")"),"full ownership")</f>
        <v>full ownership</v>
      </c>
      <c r="P281" s="3" t="s">
        <v>1357</v>
      </c>
      <c r="Q281" s="1" t="b">
        <v>1</v>
      </c>
      <c r="R281" s="1" t="s">
        <v>1358</v>
      </c>
    </row>
    <row r="282" spans="1:18" x14ac:dyDescent="0.25">
      <c r="A282" s="2">
        <v>45173</v>
      </c>
      <c r="B282" s="1" t="s">
        <v>1359</v>
      </c>
      <c r="C282" s="1" t="str">
        <f ca="1">IFERROR(__xludf.DUMMYFUNCTION("GOOGLETRANSLATE(B282,""pl"",""en"")"),"Investment cash in Łódź for sale.")</f>
        <v>Investment cash in Łódź for sale.</v>
      </c>
      <c r="D282" s="1">
        <v>417204</v>
      </c>
      <c r="E282" s="1" t="s">
        <v>33</v>
      </c>
      <c r="F282" s="1">
        <v>38.630000000000003</v>
      </c>
      <c r="G282" s="1" t="s">
        <v>1360</v>
      </c>
      <c r="H282" s="1" t="str">
        <f ca="1">IFERROR(__xludf.DUMMYFUNCTION("GOOGLETRANSLATE(G282,""pl"",""en"")"),"street. Jana Matejko, radio station, Śródmieście, Łódź, Łódź")</f>
        <v>street. Jana Matejko, radio station, Śródmieście, Łódź, Łódź</v>
      </c>
      <c r="I282" s="1" t="s">
        <v>21</v>
      </c>
      <c r="J282" s="1" t="s">
        <v>21</v>
      </c>
      <c r="K282" s="1" t="s">
        <v>22</v>
      </c>
      <c r="L282" s="1" t="s">
        <v>1361</v>
      </c>
      <c r="M282" s="1">
        <v>2</v>
      </c>
      <c r="N282" s="1" t="s">
        <v>24</v>
      </c>
      <c r="O282" s="1" t="str">
        <f ca="1">IFERROR(__xludf.DUMMYFUNCTION("GOOGLETRANSLATE(N282,""pl"",""en"")"),"full ownership")</f>
        <v>full ownership</v>
      </c>
      <c r="P282" s="3" t="s">
        <v>1362</v>
      </c>
      <c r="Q282" s="1" t="b">
        <v>1</v>
      </c>
      <c r="R282" s="1" t="s">
        <v>1363</v>
      </c>
    </row>
    <row r="283" spans="1:18" x14ac:dyDescent="0.25">
      <c r="A283" s="2">
        <v>45173</v>
      </c>
      <c r="B283" s="1" t="s">
        <v>1364</v>
      </c>
      <c r="C283" s="1" t="str">
        <f ca="1">IFERROR(__xludf.DUMMYFUNCTION("GOOGLETRANSLATE(B283,""pl"",""en"")"),"3 rooms 2 balconies super location!")</f>
        <v>3 rooms 2 balconies super location!</v>
      </c>
      <c r="D283" s="1">
        <v>690000</v>
      </c>
      <c r="E283" s="1" t="s">
        <v>33</v>
      </c>
      <c r="F283" s="1">
        <v>74</v>
      </c>
      <c r="G283" s="1" t="s">
        <v>1365</v>
      </c>
      <c r="H283" s="1" t="str">
        <f ca="1">IFERROR(__xludf.DUMMYFUNCTION("GOOGLETRANSLATE(G283,""pl"",""en"")"),"street. Contemporary, Borkowo, Pruszcz Gdański, Gdański, Pomeranian")</f>
        <v>street. Contemporary, Borkowo, Pruszcz Gdański, Gdański, Pomeranian</v>
      </c>
      <c r="I283" s="1" t="s">
        <v>21</v>
      </c>
      <c r="J283" s="1" t="s">
        <v>21</v>
      </c>
      <c r="K283" s="1" t="s">
        <v>22</v>
      </c>
      <c r="L283" s="1" t="s">
        <v>1366</v>
      </c>
      <c r="M283" s="1">
        <v>4</v>
      </c>
      <c r="N283" s="1" t="s">
        <v>24</v>
      </c>
      <c r="O283" s="1" t="str">
        <f ca="1">IFERROR(__xludf.DUMMYFUNCTION("GOOGLETRANSLATE(N283,""pl"",""en"")"),"full ownership")</f>
        <v>full ownership</v>
      </c>
      <c r="P283" s="3" t="s">
        <v>1367</v>
      </c>
      <c r="Q283" s="1" t="b">
        <v>1</v>
      </c>
      <c r="R283" s="1" t="s">
        <v>1368</v>
      </c>
    </row>
    <row r="284" spans="1:18" x14ac:dyDescent="0.25">
      <c r="A284" s="2">
        <v>45173</v>
      </c>
      <c r="B284" s="1" t="s">
        <v>1369</v>
      </c>
      <c r="C284" s="1" t="str">
        <f ca="1">IFERROR(__xludf.DUMMYFUNCTION("GOOGLETRANSLATE(B284,""pl"",""en"")"),"Apartment for sale for sale")</f>
        <v>Apartment for sale for sale</v>
      </c>
      <c r="D284" s="1">
        <v>525000</v>
      </c>
      <c r="E284" s="1" t="s">
        <v>33</v>
      </c>
      <c r="F284" s="1">
        <v>72.010000000000005</v>
      </c>
      <c r="G284" s="1" t="s">
        <v>1370</v>
      </c>
      <c r="H284" s="1" t="str">
        <f ca="1">IFERROR(__xludf.DUMMYFUNCTION("GOOGLETRANSLATE(G284,""pl"",""en"")"),"Stare Chojny, Górna, Łódź, Łódź")</f>
        <v>Stare Chojny, Górna, Łódź, Łódź</v>
      </c>
      <c r="I284" s="1" t="s">
        <v>21</v>
      </c>
      <c r="J284" s="1" t="s">
        <v>21</v>
      </c>
      <c r="K284" s="1" t="s">
        <v>22</v>
      </c>
      <c r="L284" s="1" t="s">
        <v>1371</v>
      </c>
      <c r="M284" s="1">
        <v>3</v>
      </c>
      <c r="N284" s="1" t="s">
        <v>24</v>
      </c>
      <c r="O284" s="1" t="str">
        <f ca="1">IFERROR(__xludf.DUMMYFUNCTION("GOOGLETRANSLATE(N284,""pl"",""en"")"),"full ownership")</f>
        <v>full ownership</v>
      </c>
      <c r="P284" s="3" t="s">
        <v>1372</v>
      </c>
      <c r="Q284" s="1" t="b">
        <v>1</v>
      </c>
      <c r="R284" s="1" t="s">
        <v>1373</v>
      </c>
    </row>
    <row r="285" spans="1:18" x14ac:dyDescent="0.25">
      <c r="A285" s="2">
        <v>45173</v>
      </c>
      <c r="B285" s="1" t="s">
        <v>1374</v>
      </c>
      <c r="C285" s="1" t="str">
        <f ca="1">IFERROR(__xludf.DUMMYFUNCTION("GOOGLETRANSLATE(B285,""pl"",""en"")"),"Property with potential - new price!")</f>
        <v>Property with potential - new price!</v>
      </c>
      <c r="D285" s="1">
        <v>890000</v>
      </c>
      <c r="E285" s="1" t="s">
        <v>33</v>
      </c>
      <c r="F285" s="1">
        <v>96.4</v>
      </c>
      <c r="G285" s="1" t="s">
        <v>4743</v>
      </c>
      <c r="H285" s="1" t="str">
        <f ca="1">IFERROR(__xludf.DUMMYFUNCTION("GOOGLETRANSLATE(G285,""pl"",""en"")"),"street. Kościelna 16, Przeźmierowo, Tarnowo Podgórne, Poznań, Greater Poland")</f>
        <v>street. Kościelna 16, Przeźmierowo, Tarnowo Podgórne, Poznań, Greater Poland</v>
      </c>
      <c r="I285" s="1" t="b">
        <v>1</v>
      </c>
      <c r="J285" s="1" t="s">
        <v>21</v>
      </c>
      <c r="K285" s="1" t="s">
        <v>22</v>
      </c>
      <c r="L285" s="1" t="s">
        <v>1375</v>
      </c>
      <c r="M285" s="1">
        <v>4</v>
      </c>
      <c r="N285" s="1" t="s">
        <v>21</v>
      </c>
      <c r="O285" s="1" t="str">
        <f ca="1">IFERROR(__xludf.DUMMYFUNCTION("GOOGLETRANSLATE(N285,""pl"",""en"")"),"null")</f>
        <v>null</v>
      </c>
      <c r="P285" s="3" t="s">
        <v>1376</v>
      </c>
      <c r="Q285" s="1" t="b">
        <v>1</v>
      </c>
      <c r="R285" s="1" t="s">
        <v>1377</v>
      </c>
    </row>
    <row r="286" spans="1:18" x14ac:dyDescent="0.25">
      <c r="A286" s="2">
        <v>45173</v>
      </c>
      <c r="B286" s="1" t="s">
        <v>1378</v>
      </c>
      <c r="C286" s="1" t="str">
        <f ca="1">IFERROR(__xludf.DUMMYFUNCTION("GOOGLETRANSLATE(B286,""pl"",""en"")"),"Narutowicza - apartment 64m2 - Centrum")</f>
        <v>Narutowicza - apartment 64m2 - Centrum</v>
      </c>
      <c r="D286" s="1">
        <v>600000</v>
      </c>
      <c r="E286" s="1" t="s">
        <v>33</v>
      </c>
      <c r="F286" s="1">
        <v>64.03</v>
      </c>
      <c r="G286" s="1" t="s">
        <v>1379</v>
      </c>
      <c r="H286" s="1" t="str">
        <f ca="1">IFERROR(__xludf.DUMMYFUNCTION("GOOGLETRANSLATE(G286,""pl"",""en"")"),"Śródmieście, Lublin, Lublin Voivodeship")</f>
        <v>Śródmieście, Lublin, Lublin Voivodeship</v>
      </c>
      <c r="I286" s="1" t="s">
        <v>21</v>
      </c>
      <c r="J286" s="1" t="s">
        <v>21</v>
      </c>
      <c r="K286" s="1" t="s">
        <v>22</v>
      </c>
      <c r="L286" s="1" t="s">
        <v>1380</v>
      </c>
      <c r="M286" s="1">
        <v>2</v>
      </c>
      <c r="N286" s="1" t="s">
        <v>24</v>
      </c>
      <c r="O286" s="1" t="str">
        <f ca="1">IFERROR(__xludf.DUMMYFUNCTION("GOOGLETRANSLATE(N286,""pl"",""en"")"),"full ownership")</f>
        <v>full ownership</v>
      </c>
      <c r="P286" s="3" t="s">
        <v>1381</v>
      </c>
      <c r="Q286" s="1" t="b">
        <v>1</v>
      </c>
      <c r="R286" s="1" t="s">
        <v>1382</v>
      </c>
    </row>
    <row r="287" spans="1:18" x14ac:dyDescent="0.25">
      <c r="A287" s="2">
        <v>45173</v>
      </c>
      <c r="B287" s="1" t="s">
        <v>1383</v>
      </c>
      <c r="C287" s="1" t="str">
        <f ca="1">IFERROR(__xludf.DUMMYFUNCTION("GOOGLETRANSLATE(B287,""pl"",""en"")"),"3-Pok. High standard apartment, Kołobrzeg")</f>
        <v>3-Pok. High standard apartment, Kołobrzeg</v>
      </c>
      <c r="D287" s="1">
        <v>699000</v>
      </c>
      <c r="E287" s="1" t="s">
        <v>33</v>
      </c>
      <c r="F287" s="1">
        <v>57.57</v>
      </c>
      <c r="G287" s="1" t="s">
        <v>1384</v>
      </c>
      <c r="H287" s="1" t="str">
        <f ca="1">IFERROR(__xludf.DUMMYFUNCTION("GOOGLETRANSLATE(G287,""pl"",""en"")"),"street. Koszalińska, Kołobrzeg, Kołobrzeski, ZachodnioPomeranian Voivodeship")</f>
        <v>street. Koszalińska, Kołobrzeg, Kołobrzeski, ZachodnioPomeranian Voivodeship</v>
      </c>
      <c r="I287" s="1" t="s">
        <v>21</v>
      </c>
      <c r="J287" s="1" t="s">
        <v>21</v>
      </c>
      <c r="K287" s="1" t="s">
        <v>22</v>
      </c>
      <c r="L287" s="1" t="s">
        <v>1385</v>
      </c>
      <c r="M287" s="1">
        <v>3</v>
      </c>
      <c r="N287" s="1" t="s">
        <v>24</v>
      </c>
      <c r="O287" s="1" t="str">
        <f ca="1">IFERROR(__xludf.DUMMYFUNCTION("GOOGLETRANSLATE(N287,""pl"",""en"")"),"full ownership")</f>
        <v>full ownership</v>
      </c>
      <c r="P287" s="3" t="s">
        <v>1386</v>
      </c>
      <c r="Q287" s="1" t="b">
        <v>1</v>
      </c>
      <c r="R287" s="1" t="s">
        <v>1387</v>
      </c>
    </row>
    <row r="288" spans="1:18" x14ac:dyDescent="0.25">
      <c r="A288" s="2">
        <v>45173</v>
      </c>
      <c r="B288" s="1" t="s">
        <v>1388</v>
      </c>
      <c r="C288" s="1" t="str">
        <f ca="1">IFERROR(__xludf.DUMMYFUNCTION("GOOGLETRANSLATE(B288,""pl"",""en"")"),"3 POK- 70 m2 - 3 m high - balcony+basement 14m2")</f>
        <v>3 POK- 70 m2 - 3 m high - balcony+basement 14m2</v>
      </c>
      <c r="D288" s="1">
        <v>739000</v>
      </c>
      <c r="E288" s="1" t="s">
        <v>33</v>
      </c>
      <c r="F288" s="1">
        <v>70</v>
      </c>
      <c r="G288" s="1" t="s">
        <v>1389</v>
      </c>
      <c r="H288" s="1" t="str">
        <f ca="1">IFERROR(__xludf.DUMMYFUNCTION("GOOGLETRANSLATE(G288,""pl"",""en"")"),"street. Admiralska, Stary Rembertów, Rembertów, Warsaw, Masovian Voivodeship")</f>
        <v>street. Admiralska, Stary Rembertów, Rembertów, Warsaw, Masovian Voivodeship</v>
      </c>
      <c r="I288" s="1" t="s">
        <v>21</v>
      </c>
      <c r="J288" s="1" t="s">
        <v>21</v>
      </c>
      <c r="K288" s="1" t="s">
        <v>45</v>
      </c>
      <c r="L288" s="1" t="s">
        <v>1390</v>
      </c>
      <c r="M288" s="1">
        <v>3</v>
      </c>
      <c r="N288" s="1" t="s">
        <v>24</v>
      </c>
      <c r="O288" s="1" t="str">
        <f ca="1">IFERROR(__xludf.DUMMYFUNCTION("GOOGLETRANSLATE(N288,""pl"",""en"")"),"full ownership")</f>
        <v>full ownership</v>
      </c>
      <c r="P288" s="3" t="s">
        <v>1391</v>
      </c>
      <c r="Q288" s="1" t="b">
        <v>1</v>
      </c>
      <c r="R288" s="1" t="s">
        <v>1392</v>
      </c>
    </row>
    <row r="289" spans="1:18" x14ac:dyDescent="0.25">
      <c r="A289" s="2">
        <v>45173</v>
      </c>
      <c r="B289" s="1" t="s">
        <v>1393</v>
      </c>
      <c r="C289" s="1" t="str">
        <f ca="1">IFERROR(__xludf.DUMMYFUNCTION("GOOGLETRANSLATE(B289,""pl"",""en"")"),"Apartment, 71 m², Skawina")</f>
        <v>Apartment, 71 m², Skawina</v>
      </c>
      <c r="D289" s="1">
        <v>590000</v>
      </c>
      <c r="E289" s="1" t="s">
        <v>19</v>
      </c>
      <c r="F289" s="1">
        <v>71</v>
      </c>
      <c r="G289" s="1" t="s">
        <v>4744</v>
      </c>
      <c r="H289" s="1" t="str">
        <f ca="1">IFERROR(__xludf.DUMMYFUNCTION("GOOGLETRANSLATE(G289,""pl"",""en"")"),"Skawina, Skawina, Kraków, Lesser Poland")</f>
        <v>Skawina, Skawina, Kraków, Lesser Poland</v>
      </c>
      <c r="I289" s="1" t="s">
        <v>21</v>
      </c>
      <c r="J289" s="1" t="s">
        <v>21</v>
      </c>
      <c r="K289" s="1" t="s">
        <v>22</v>
      </c>
      <c r="L289" s="1" t="s">
        <v>1394</v>
      </c>
      <c r="M289" s="1">
        <v>4</v>
      </c>
      <c r="N289" s="1" t="s">
        <v>24</v>
      </c>
      <c r="O289" s="1" t="str">
        <f ca="1">IFERROR(__xludf.DUMMYFUNCTION("GOOGLETRANSLATE(N289,""pl"",""en"")"),"full ownership")</f>
        <v>full ownership</v>
      </c>
      <c r="P289" s="3" t="s">
        <v>1395</v>
      </c>
      <c r="Q289" s="1" t="b">
        <v>1</v>
      </c>
      <c r="R289" s="1" t="s">
        <v>1396</v>
      </c>
    </row>
    <row r="290" spans="1:18" x14ac:dyDescent="0.25">
      <c r="A290" s="2">
        <v>45173</v>
      </c>
      <c r="B290" s="1" t="s">
        <v>1397</v>
      </c>
      <c r="C290" s="1" t="str">
        <f ca="1">IFERROR(__xludf.DUMMYFUNCTION("GOOGLETRANSLATE(B290,""pl"",""en"")"),"3 spacious rooms, rates")</f>
        <v>3 spacious rooms, rates</v>
      </c>
      <c r="D290" s="1">
        <v>640000</v>
      </c>
      <c r="E290" s="1" t="s">
        <v>33</v>
      </c>
      <c r="F290" s="1">
        <v>64.27</v>
      </c>
      <c r="G290" s="1" t="s">
        <v>1398</v>
      </c>
      <c r="H290" s="1" t="str">
        <f ca="1">IFERROR(__xludf.DUMMYFUNCTION("GOOGLETRANSLATE(G290,""pl"",""en"")"),"street. Włocławska, Stawki, Toruń, Kujawsko-Pomeranian Voivodeship")</f>
        <v>street. Włocławska, Stawki, Toruń, Kujawsko-Pomeranian Voivodeship</v>
      </c>
      <c r="I290" s="1" t="s">
        <v>21</v>
      </c>
      <c r="J290" s="1" t="s">
        <v>21</v>
      </c>
      <c r="K290" s="1" t="s">
        <v>22</v>
      </c>
      <c r="L290" s="1" t="s">
        <v>1399</v>
      </c>
      <c r="M290" s="1">
        <v>3</v>
      </c>
      <c r="N290" s="1" t="s">
        <v>24</v>
      </c>
      <c r="O290" s="1" t="str">
        <f ca="1">IFERROR(__xludf.DUMMYFUNCTION("GOOGLETRANSLATE(N290,""pl"",""en"")"),"full ownership")</f>
        <v>full ownership</v>
      </c>
      <c r="P290" s="3" t="s">
        <v>1400</v>
      </c>
      <c r="Q290" s="1" t="b">
        <v>1</v>
      </c>
      <c r="R290" s="1" t="s">
        <v>1401</v>
      </c>
    </row>
    <row r="291" spans="1:18" x14ac:dyDescent="0.25">
      <c r="A291" s="2">
        <v>45173</v>
      </c>
      <c r="B291" s="1" t="s">
        <v>1402</v>
      </c>
      <c r="C291" s="1" t="str">
        <f ca="1">IFERROR(__xludf.DUMMYFUNCTION("GOOGLETRANSLATE(B291,""pl"",""en"")"),"Apartment at Waryńskiego Street")</f>
        <v>Apartment at Waryńskiego Street</v>
      </c>
      <c r="D291" s="1">
        <v>254000</v>
      </c>
      <c r="E291" s="1" t="s">
        <v>33</v>
      </c>
      <c r="F291" s="1">
        <v>57.8</v>
      </c>
      <c r="G291" s="1" t="s">
        <v>1403</v>
      </c>
      <c r="H291" s="1" t="str">
        <f ca="1">IFERROR(__xludf.DUMMYFUNCTION("GOOGLETRANSLATE(G291,""pl"",""en"")"),"street. Ludwik Waryński, Biała Podlaska, Lublin")</f>
        <v>street. Ludwik Waryński, Biała Podlaska, Lublin</v>
      </c>
      <c r="I291" s="1" t="s">
        <v>21</v>
      </c>
      <c r="J291" s="1" t="s">
        <v>21</v>
      </c>
      <c r="K291" s="1" t="s">
        <v>22</v>
      </c>
      <c r="L291" s="1" t="s">
        <v>1404</v>
      </c>
      <c r="M291" s="1">
        <v>3</v>
      </c>
      <c r="N291" s="1" t="s">
        <v>24</v>
      </c>
      <c r="O291" s="1" t="str">
        <f ca="1">IFERROR(__xludf.DUMMYFUNCTION("GOOGLETRANSLATE(N291,""pl"",""en"")"),"full ownership")</f>
        <v>full ownership</v>
      </c>
      <c r="P291" s="3" t="s">
        <v>1405</v>
      </c>
      <c r="Q291" s="1" t="b">
        <v>1</v>
      </c>
      <c r="R291" s="1" t="s">
        <v>1406</v>
      </c>
    </row>
    <row r="292" spans="1:18" x14ac:dyDescent="0.25">
      <c r="A292" s="2">
        <v>45173</v>
      </c>
      <c r="B292" s="1" t="s">
        <v>1407</v>
      </c>
      <c r="C292" s="1" t="str">
        <f ca="1">IFERROR(__xludf.DUMMYFUNCTION("GOOGLETRANSLATE(B292,""pl"",""en"")"),"2-room apartment + basement, close to the tram")</f>
        <v>2-room apartment + basement, close to the tram</v>
      </c>
      <c r="D292" s="1">
        <v>357000</v>
      </c>
      <c r="E292" s="1" t="s">
        <v>33</v>
      </c>
      <c r="F292" s="1">
        <v>34</v>
      </c>
      <c r="G292" s="1" t="s">
        <v>1408</v>
      </c>
      <c r="H292" s="1" t="str">
        <f ca="1">IFERROR(__xludf.DUMMYFUNCTION("GOOGLETRANSLATE(G292,""pl"",""en"")"),"street. Górnicza, Pilczyce, Fabryczna, Wrocław, DolnoSilesian Voivodeship")</f>
        <v>street. Górnicza, Pilczyce, Fabryczna, Wrocław, DolnoSilesian Voivodeship</v>
      </c>
      <c r="I292" s="1" t="s">
        <v>21</v>
      </c>
      <c r="J292" s="1" t="s">
        <v>21</v>
      </c>
      <c r="K292" s="1" t="s">
        <v>22</v>
      </c>
      <c r="L292" s="1" t="s">
        <v>1409</v>
      </c>
      <c r="M292" s="1">
        <v>2</v>
      </c>
      <c r="N292" s="1" t="s">
        <v>24</v>
      </c>
      <c r="O292" s="1" t="str">
        <f ca="1">IFERROR(__xludf.DUMMYFUNCTION("GOOGLETRANSLATE(N292,""pl"",""en"")"),"full ownership")</f>
        <v>full ownership</v>
      </c>
      <c r="P292" s="3" t="s">
        <v>1410</v>
      </c>
      <c r="Q292" s="1" t="b">
        <v>1</v>
      </c>
      <c r="R292" s="1" t="s">
        <v>1411</v>
      </c>
    </row>
    <row r="293" spans="1:18" x14ac:dyDescent="0.25">
      <c r="A293" s="2">
        <v>45173</v>
      </c>
      <c r="B293" s="1" t="s">
        <v>1412</v>
      </c>
      <c r="C293" s="1" t="str">
        <f ca="1">IFERROR(__xludf.DUMMYFUNCTION("GOOGLETRANSLATE(B293,""pl"",""en"")"),"Sadowa apartments!")</f>
        <v>Sadowa apartments!</v>
      </c>
      <c r="D293" s="1">
        <v>493804</v>
      </c>
      <c r="E293" s="1" t="s">
        <v>19</v>
      </c>
      <c r="F293" s="1">
        <v>60.22</v>
      </c>
      <c r="G293" s="1" t="s">
        <v>4744</v>
      </c>
      <c r="H293" s="1" t="str">
        <f ca="1">IFERROR(__xludf.DUMMYFUNCTION("GOOGLETRANSLATE(G293,""pl"",""en"")"),"Skawina, Skawina, Kraków, Lesser Poland")</f>
        <v>Skawina, Skawina, Kraków, Lesser Poland</v>
      </c>
      <c r="I293" s="1" t="b">
        <v>1</v>
      </c>
      <c r="J293" s="1" t="s">
        <v>21</v>
      </c>
      <c r="K293" s="1" t="s">
        <v>22</v>
      </c>
      <c r="L293" s="1" t="s">
        <v>1413</v>
      </c>
      <c r="M293" s="1">
        <v>3</v>
      </c>
      <c r="N293" s="1" t="s">
        <v>24</v>
      </c>
      <c r="O293" s="1" t="str">
        <f ca="1">IFERROR(__xludf.DUMMYFUNCTION("GOOGLETRANSLATE(N293,""pl"",""en"")"),"full ownership")</f>
        <v>full ownership</v>
      </c>
      <c r="P293" s="3" t="s">
        <v>1414</v>
      </c>
      <c r="Q293" s="1" t="b">
        <v>1</v>
      </c>
      <c r="R293" s="1" t="s">
        <v>1415</v>
      </c>
    </row>
    <row r="294" spans="1:18" x14ac:dyDescent="0.25">
      <c r="A294" s="2">
        <v>45173</v>
      </c>
      <c r="B294" s="1" t="s">
        <v>1416</v>
      </c>
      <c r="C294" s="1" t="str">
        <f ca="1">IFERROR(__xludf.DUMMYFUNCTION("GOOGLETRANSLATE(B294,""pl"",""en"")"),"New Alchemia investment- 3 room!")</f>
        <v>New Alchemia investment- 3 room!</v>
      </c>
      <c r="D294" s="1">
        <v>360000</v>
      </c>
      <c r="E294" s="1" t="s">
        <v>19</v>
      </c>
      <c r="F294" s="1">
        <v>50</v>
      </c>
      <c r="G294" s="1" t="s">
        <v>1417</v>
      </c>
      <c r="H294" s="1" t="str">
        <f ca="1">IFERROR(__xludf.DUMMYFUNCTION("GOOGLETRANSLATE(G294,""pl"",""en"")"),"street. Maria Curie-Skłodowska, Słupsk, Pomeranian Voivodeship")</f>
        <v>street. Maria Curie-Skłodowska, Słupsk, Pomeranian Voivodeship</v>
      </c>
      <c r="I294" s="1" t="s">
        <v>21</v>
      </c>
      <c r="J294" s="1" t="s">
        <v>21</v>
      </c>
      <c r="K294" s="1" t="s">
        <v>22</v>
      </c>
      <c r="L294" s="1" t="s">
        <v>1418</v>
      </c>
      <c r="M294" s="1">
        <v>3</v>
      </c>
      <c r="N294" s="1" t="s">
        <v>24</v>
      </c>
      <c r="O294" s="1" t="str">
        <f ca="1">IFERROR(__xludf.DUMMYFUNCTION("GOOGLETRANSLATE(N294,""pl"",""en"")"),"full ownership")</f>
        <v>full ownership</v>
      </c>
      <c r="P294" s="3" t="s">
        <v>1419</v>
      </c>
      <c r="Q294" s="1" t="b">
        <v>1</v>
      </c>
      <c r="R294" s="1" t="s">
        <v>1420</v>
      </c>
    </row>
    <row r="295" spans="1:18" x14ac:dyDescent="0.25">
      <c r="A295" s="2">
        <v>45173</v>
      </c>
      <c r="B295" s="1" t="s">
        <v>1421</v>
      </c>
      <c r="C295" s="1" t="str">
        <f ca="1">IFERROR(__xludf.DUMMYFUNCTION("GOOGLETRANSLATE(B295,""pl"",""en"")"),"3-room apartment with potential")</f>
        <v>3-room apartment with potential</v>
      </c>
      <c r="D295" s="1">
        <v>359000</v>
      </c>
      <c r="E295" s="1" t="s">
        <v>33</v>
      </c>
      <c r="F295" s="1">
        <v>47.18</v>
      </c>
      <c r="G295" s="1" t="s">
        <v>1422</v>
      </c>
      <c r="H295" s="1" t="str">
        <f ca="1">IFERROR(__xludf.DUMMYFUNCTION("GOOGLETRANSLATE(G295,""pl"",""en"")"),"Baranówka, Rzeszów, Podkarpackie")</f>
        <v>Baranówka, Rzeszów, Podkarpackie</v>
      </c>
      <c r="I295" s="1" t="s">
        <v>21</v>
      </c>
      <c r="J295" s="1" t="s">
        <v>21</v>
      </c>
      <c r="K295" s="1" t="s">
        <v>22</v>
      </c>
      <c r="L295" s="1" t="s">
        <v>1423</v>
      </c>
      <c r="M295" s="1">
        <v>3</v>
      </c>
      <c r="N295" s="1" t="s">
        <v>24</v>
      </c>
      <c r="O295" s="1" t="str">
        <f ca="1">IFERROR(__xludf.DUMMYFUNCTION("GOOGLETRANSLATE(N295,""pl"",""en"")"),"full ownership")</f>
        <v>full ownership</v>
      </c>
      <c r="P295" s="3" t="s">
        <v>1424</v>
      </c>
      <c r="Q295" s="1" t="b">
        <v>1</v>
      </c>
      <c r="R295" s="1" t="s">
        <v>1425</v>
      </c>
    </row>
    <row r="296" spans="1:18" x14ac:dyDescent="0.25">
      <c r="A296" s="2">
        <v>45173</v>
      </c>
      <c r="B296" s="1" t="s">
        <v>1426</v>
      </c>
      <c r="C296" s="1" t="str">
        <f ca="1">IFERROR(__xludf.DUMMYFUNCTION("GOOGLETRANSLATE(B296,""pl"",""en"")"),"Apartment in Dziwnówek - a virtual walk")</f>
        <v>Apartment in Dziwnówek - a virtual walk</v>
      </c>
      <c r="D296" s="1">
        <v>599000</v>
      </c>
      <c r="E296" s="1" t="s">
        <v>33</v>
      </c>
      <c r="F296" s="1">
        <v>67.7</v>
      </c>
      <c r="G296" s="1" t="s">
        <v>1427</v>
      </c>
      <c r="H296" s="1" t="str">
        <f ca="1">IFERROR(__xludf.DUMMYFUNCTION("GOOGLETRANSLATE(G296,""pl"",""en"")"),"street. 1 Maja, Dziwnówek, Dziwnów, Kamieński, West Pomeranian Voivodeship")</f>
        <v>street. 1 Maja, Dziwnówek, Dziwnów, Kamieński, West Pomeranian Voivodeship</v>
      </c>
      <c r="I296" s="1" t="b">
        <v>1</v>
      </c>
      <c r="J296" s="1" t="s">
        <v>21</v>
      </c>
      <c r="K296" s="1" t="s">
        <v>22</v>
      </c>
      <c r="L296" s="1" t="s">
        <v>1428</v>
      </c>
      <c r="M296" s="1">
        <v>3</v>
      </c>
      <c r="N296" s="1" t="s">
        <v>85</v>
      </c>
      <c r="O296" s="1" t="str">
        <f ca="1">IFERROR(__xludf.DUMMYFUNCTION("GOOGLETRANSLATE(N296,""pl"",""en"")"),"Cooperative ownership of the right to the premises")</f>
        <v>Cooperative ownership of the right to the premises</v>
      </c>
      <c r="P296" s="3" t="s">
        <v>1429</v>
      </c>
      <c r="Q296" s="1" t="b">
        <v>1</v>
      </c>
      <c r="R296" s="1" t="s">
        <v>1430</v>
      </c>
    </row>
    <row r="297" spans="1:18" x14ac:dyDescent="0.25">
      <c r="A297" s="2">
        <v>45173</v>
      </c>
      <c r="B297" s="1" t="s">
        <v>1431</v>
      </c>
      <c r="C297" s="1" t="str">
        <f ca="1">IFERROR(__xludf.DUMMYFUNCTION("GOOGLETRANSLATE(B297,""pl"",""en"")"),"2 -room apartment with two balconies")</f>
        <v>2 -room apartment with two balconies</v>
      </c>
      <c r="D297" s="1">
        <v>545000</v>
      </c>
      <c r="E297" s="1" t="s">
        <v>33</v>
      </c>
      <c r="F297" s="1">
        <v>39.799999999999997</v>
      </c>
      <c r="G297" s="1" t="s">
        <v>1432</v>
      </c>
      <c r="H297" s="1" t="str">
        <f ca="1">IFERROR(__xludf.DUMMYFUNCTION("GOOGLETRANSLATE(G297,""pl"",""en"")"),"street. Leszczyński, Zaspa-Rozstaje, Gdańsk, Pomeranian Voivodeship")</f>
        <v>street. Leszczyński, Zaspa-Rozstaje, Gdańsk, Pomeranian Voivodeship</v>
      </c>
      <c r="I297" s="1" t="s">
        <v>21</v>
      </c>
      <c r="J297" s="1" t="s">
        <v>21</v>
      </c>
      <c r="K297" s="1" t="s">
        <v>22</v>
      </c>
      <c r="L297" s="1" t="s">
        <v>1433</v>
      </c>
      <c r="M297" s="1">
        <v>2</v>
      </c>
      <c r="N297" s="1" t="s">
        <v>85</v>
      </c>
      <c r="O297" s="1" t="str">
        <f ca="1">IFERROR(__xludf.DUMMYFUNCTION("GOOGLETRANSLATE(N297,""pl"",""en"")"),"Cooperative ownership of the right to the premises")</f>
        <v>Cooperative ownership of the right to the premises</v>
      </c>
      <c r="P297" s="3" t="s">
        <v>1434</v>
      </c>
      <c r="Q297" s="1" t="b">
        <v>1</v>
      </c>
      <c r="R297" s="1" t="s">
        <v>1435</v>
      </c>
    </row>
    <row r="298" spans="1:18" x14ac:dyDescent="0.25">
      <c r="A298" s="2">
        <v>45173</v>
      </c>
      <c r="B298" s="1" t="s">
        <v>1436</v>
      </c>
      <c r="C298" s="1" t="str">
        <f ca="1">IFERROR(__xludf.DUMMYFUNCTION("GOOGLETRANSLATE(B298,""pl"",""en"")"),"Unusual apartment in ""Koło-Brzeg"".")</f>
        <v>Unusual apartment in "Koło-Brzeg".</v>
      </c>
      <c r="D298" s="1">
        <v>468000</v>
      </c>
      <c r="E298" s="1" t="s">
        <v>33</v>
      </c>
      <c r="F298" s="1">
        <v>26</v>
      </c>
      <c r="G298" s="1" t="s">
        <v>150</v>
      </c>
      <c r="H298" s="1" t="str">
        <f ca="1">IFERROR(__xludf.DUMMYFUNCTION("GOOGLETRANSLATE(G298,""pl"",""en"")"),"Kołobrzeg, Kołobrzeski, ZachodnioPomeranian Voivodeship")</f>
        <v>Kołobrzeg, Kołobrzeski, ZachodnioPomeranian Voivodeship</v>
      </c>
      <c r="I298" s="1" t="s">
        <v>21</v>
      </c>
      <c r="J298" s="1" t="s">
        <v>21</v>
      </c>
      <c r="K298" s="1" t="s">
        <v>22</v>
      </c>
      <c r="L298" s="1" t="s">
        <v>1437</v>
      </c>
      <c r="M298" s="1">
        <v>2</v>
      </c>
      <c r="N298" s="1" t="s">
        <v>24</v>
      </c>
      <c r="O298" s="1" t="str">
        <f ca="1">IFERROR(__xludf.DUMMYFUNCTION("GOOGLETRANSLATE(N298,""pl"",""en"")"),"full ownership")</f>
        <v>full ownership</v>
      </c>
      <c r="P298" s="3" t="s">
        <v>1438</v>
      </c>
      <c r="Q298" s="1" t="b">
        <v>1</v>
      </c>
      <c r="R298" s="1" t="s">
        <v>1439</v>
      </c>
    </row>
    <row r="299" spans="1:18" x14ac:dyDescent="0.25">
      <c r="A299" s="2">
        <v>45173</v>
      </c>
      <c r="B299" s="1" t="s">
        <v>1440</v>
      </c>
      <c r="C299" s="1" t="str">
        <f ca="1">IFERROR(__xludf.DUMMYFUNCTION("GOOGLETRANSLATE(B299,""pl"",""en"")"),"3 -room apartment for renovation -gigmina rokietnica")</f>
        <v>3 -room apartment for renovation -gigmina rokietnica</v>
      </c>
      <c r="D299" s="1">
        <v>285000</v>
      </c>
      <c r="E299" s="1" t="s">
        <v>33</v>
      </c>
      <c r="F299" s="1">
        <v>68.599999999999994</v>
      </c>
      <c r="G299" s="1" t="s">
        <v>4745</v>
      </c>
      <c r="H299" s="1" t="str">
        <f ca="1">IFERROR(__xludf.DUMMYFUNCTION("GOOGLETRANSLATE(G299,""pl"",""en"")"),"Żydowo, Rokietnica, Poznań, Greater Poland")</f>
        <v>Żydowo, Rokietnica, Poznań, Greater Poland</v>
      </c>
      <c r="I299" s="1" t="b">
        <v>1</v>
      </c>
      <c r="J299" s="1" t="s">
        <v>21</v>
      </c>
      <c r="K299" s="1" t="s">
        <v>22</v>
      </c>
      <c r="L299" s="4" t="s">
        <v>4746</v>
      </c>
      <c r="M299" s="1">
        <v>3</v>
      </c>
      <c r="N299" s="1" t="s">
        <v>24</v>
      </c>
      <c r="O299" s="1" t="str">
        <f ca="1">IFERROR(__xludf.DUMMYFUNCTION("GOOGLETRANSLATE(N299,""pl"",""en"")"),"full ownership")</f>
        <v>full ownership</v>
      </c>
      <c r="P299" s="3" t="s">
        <v>1441</v>
      </c>
      <c r="Q299" s="1" t="b">
        <v>1</v>
      </c>
      <c r="R299" s="1" t="s">
        <v>1442</v>
      </c>
    </row>
    <row r="300" spans="1:18" x14ac:dyDescent="0.25">
      <c r="A300" s="2">
        <v>45173</v>
      </c>
      <c r="B300" s="1" t="s">
        <v>1443</v>
      </c>
      <c r="C300" s="1" t="str">
        <f ca="1">IFERROR(__xludf.DUMMYFUNCTION("GOOGLETRANSLATE(B300,""pl"",""en"")"),"4 rooms - ready to live in Gdynia Dąbrowa")</f>
        <v>4 rooms - ready to live in Gdynia Dąbrowa</v>
      </c>
      <c r="D300" s="1">
        <v>770000</v>
      </c>
      <c r="E300" s="1" t="s">
        <v>33</v>
      </c>
      <c r="F300" s="1">
        <v>86.02</v>
      </c>
      <c r="G300" s="1" t="s">
        <v>1444</v>
      </c>
      <c r="H300" s="1" t="str">
        <f ca="1">IFERROR(__xludf.DUMMYFUNCTION("GOOGLETRANSLATE(G300,""pl"",""en"")"),"street. Sojowa, Dąbrowa, Gdynia, Pomeranian")</f>
        <v>street. Sojowa, Dąbrowa, Gdynia, Pomeranian</v>
      </c>
      <c r="I300" s="1" t="s">
        <v>21</v>
      </c>
      <c r="J300" s="1" t="s">
        <v>21</v>
      </c>
      <c r="K300" s="1" t="s">
        <v>22</v>
      </c>
      <c r="L300" s="1" t="s">
        <v>1445</v>
      </c>
      <c r="M300" s="1">
        <v>4</v>
      </c>
      <c r="N300" s="1" t="s">
        <v>24</v>
      </c>
      <c r="O300" s="1" t="str">
        <f ca="1">IFERROR(__xludf.DUMMYFUNCTION("GOOGLETRANSLATE(N300,""pl"",""en"")"),"full ownership")</f>
        <v>full ownership</v>
      </c>
      <c r="P300" s="3" t="s">
        <v>1446</v>
      </c>
      <c r="Q300" s="1" t="b">
        <v>1</v>
      </c>
      <c r="R300" s="1" t="s">
        <v>1447</v>
      </c>
    </row>
    <row r="301" spans="1:18" x14ac:dyDescent="0.25">
      <c r="A301" s="2">
        <v>45173</v>
      </c>
      <c r="B301" s="1" t="s">
        <v>1448</v>
      </c>
      <c r="C301" s="1" t="str">
        <f ca="1">IFERROR(__xludf.DUMMYFUNCTION("GOOGLETRANSLATE(B301,""pl"",""en"")"),"Apartment in the very center of Lębork")</f>
        <v>Apartment in the very center of Lębork</v>
      </c>
      <c r="D301" s="1">
        <v>269000</v>
      </c>
      <c r="E301" s="1" t="s">
        <v>33</v>
      </c>
      <c r="F301" s="1">
        <v>50.2</v>
      </c>
      <c r="G301" s="1" t="s">
        <v>1449</v>
      </c>
      <c r="H301" s="1" t="str">
        <f ca="1">IFERROR(__xludf.DUMMYFUNCTION("GOOGLETRANSLATE(G301,""pl"",""en"")"),"street. Eliza Orzeszkowa, Lębork, Lęborski, Pomeranian")</f>
        <v>street. Eliza Orzeszkowa, Lębork, Lęborski, Pomeranian</v>
      </c>
      <c r="I301" s="1" t="s">
        <v>21</v>
      </c>
      <c r="J301" s="1" t="s">
        <v>21</v>
      </c>
      <c r="K301" s="1" t="s">
        <v>22</v>
      </c>
      <c r="L301" s="1" t="s">
        <v>1450</v>
      </c>
      <c r="M301" s="1">
        <v>2</v>
      </c>
      <c r="N301" s="1" t="s">
        <v>24</v>
      </c>
      <c r="O301" s="1" t="str">
        <f ca="1">IFERROR(__xludf.DUMMYFUNCTION("GOOGLETRANSLATE(N301,""pl"",""en"")"),"full ownership")</f>
        <v>full ownership</v>
      </c>
      <c r="P301" s="3" t="s">
        <v>1451</v>
      </c>
      <c r="Q301" s="1" t="b">
        <v>1</v>
      </c>
      <c r="R301" s="1" t="s">
        <v>1452</v>
      </c>
    </row>
    <row r="302" spans="1:18" x14ac:dyDescent="0.25">
      <c r="A302" s="2">
        <v>45173</v>
      </c>
      <c r="B302" s="1" t="s">
        <v>1453</v>
      </c>
      <c r="C302" s="1" t="str">
        <f ca="1">IFERROR(__xludf.DUMMYFUNCTION("GOOGLETRANSLATE(B302,""pl"",""en"")"),"Unconventional apartment for people with imagination!")</f>
        <v>Unconventional apartment for people with imagination!</v>
      </c>
      <c r="D302" s="1">
        <v>319000</v>
      </c>
      <c r="E302" s="1" t="s">
        <v>33</v>
      </c>
      <c r="F302" s="1">
        <v>48.07</v>
      </c>
      <c r="G302" s="1" t="s">
        <v>1454</v>
      </c>
      <c r="H302" s="1" t="str">
        <f ca="1">IFERROR(__xludf.DUMMYFUNCTION("GOOGLETRANSLATE(G302,""pl"",""en"")"),"Wrotków, Lublin, Lublin Voivodeship")</f>
        <v>Wrotków, Lublin, Lublin Voivodeship</v>
      </c>
      <c r="I302" s="1" t="s">
        <v>21</v>
      </c>
      <c r="J302" s="1" t="s">
        <v>21</v>
      </c>
      <c r="K302" s="1" t="s">
        <v>22</v>
      </c>
      <c r="L302" s="1" t="s">
        <v>1455</v>
      </c>
      <c r="M302" s="1">
        <v>2</v>
      </c>
      <c r="N302" s="1" t="s">
        <v>85</v>
      </c>
      <c r="O302" s="1" t="str">
        <f ca="1">IFERROR(__xludf.DUMMYFUNCTION("GOOGLETRANSLATE(N302,""pl"",""en"")"),"Cooperative ownership of the right to the premises")</f>
        <v>Cooperative ownership of the right to the premises</v>
      </c>
      <c r="P302" s="3" t="s">
        <v>1456</v>
      </c>
      <c r="Q302" s="1" t="b">
        <v>1</v>
      </c>
      <c r="R302" s="1" t="s">
        <v>1457</v>
      </c>
    </row>
    <row r="303" spans="1:18" x14ac:dyDescent="0.25">
      <c r="A303" s="2">
        <v>45173</v>
      </c>
      <c r="B303" s="1" t="s">
        <v>1458</v>
      </c>
      <c r="C303" s="1" t="str">
        <f ca="1">IFERROR(__xludf.DUMMYFUNCTION("GOOGLETRANSLATE(B303,""pl"",""en"")"),"4 rooms, area 142.65 m2, balcony, low rent!")</f>
        <v>4 rooms, area 142.65 m2, balcony, low rent!</v>
      </c>
      <c r="D303" s="1">
        <v>399000</v>
      </c>
      <c r="E303" s="1" t="s">
        <v>33</v>
      </c>
      <c r="F303" s="1">
        <v>142.65</v>
      </c>
      <c r="G303" s="1" t="s">
        <v>1459</v>
      </c>
      <c r="H303" s="1" t="str">
        <f ca="1">IFERROR(__xludf.DUMMYFUNCTION("GOOGLETRANSLATE(G303,""pl"",""en"")"),"Węgliniec, Węgliniec, Zgorzelecki, DolnoSilesian Voivodeship")</f>
        <v>Węgliniec, Węgliniec, Zgorzelecki, DolnoSilesian Voivodeship</v>
      </c>
      <c r="I303" s="1" t="s">
        <v>21</v>
      </c>
      <c r="J303" s="1" t="s">
        <v>21</v>
      </c>
      <c r="K303" s="1" t="s">
        <v>22</v>
      </c>
      <c r="L303" s="1" t="s">
        <v>1460</v>
      </c>
      <c r="M303" s="1">
        <v>4</v>
      </c>
      <c r="N303" s="1" t="s">
        <v>24</v>
      </c>
      <c r="O303" s="1" t="str">
        <f ca="1">IFERROR(__xludf.DUMMYFUNCTION("GOOGLETRANSLATE(N303,""pl"",""en"")"),"full ownership")</f>
        <v>full ownership</v>
      </c>
      <c r="P303" s="3" t="s">
        <v>1461</v>
      </c>
      <c r="Q303" s="1" t="b">
        <v>1</v>
      </c>
      <c r="R303" s="1" t="s">
        <v>1462</v>
      </c>
    </row>
    <row r="304" spans="1:18" x14ac:dyDescent="0.25">
      <c r="A304" s="2">
        <v>45173</v>
      </c>
      <c r="B304" s="1" t="s">
        <v>1463</v>
      </c>
      <c r="C304" s="1" t="str">
        <f ca="1">IFERROR(__xludf.DUMMYFUNCTION("GOOGLETRANSLATE(B304,""pl"",""en"")"),"4 km from the Market Square in Wieliczka Garden Garden Klima")</f>
        <v>4 km from the Market Square in Wieliczka Garden Garden Klima</v>
      </c>
      <c r="D304" s="1">
        <v>1100000</v>
      </c>
      <c r="E304" s="1" t="s">
        <v>33</v>
      </c>
      <c r="F304" s="1">
        <v>95.12</v>
      </c>
      <c r="G304" s="1" t="s">
        <v>4747</v>
      </c>
      <c r="H304" s="1" t="str">
        <f ca="1">IFERROR(__xludf.DUMMYFUNCTION("GOOGLETRANSLATE(G304,""pl"",""en"")"),"Sułków, Wieliczka, Wielicki, Lesser Poland")</f>
        <v>Sułków, Wieliczka, Wielicki, Lesser Poland</v>
      </c>
      <c r="I304" s="1" t="b">
        <v>1</v>
      </c>
      <c r="J304" s="1" t="s">
        <v>21</v>
      </c>
      <c r="K304" s="1" t="s">
        <v>22</v>
      </c>
      <c r="L304" s="1" t="s">
        <v>4748</v>
      </c>
      <c r="M304" s="1">
        <v>5</v>
      </c>
      <c r="N304" s="1" t="s">
        <v>21</v>
      </c>
      <c r="O304" s="1" t="str">
        <f ca="1">IFERROR(__xludf.DUMMYFUNCTION("GOOGLETRANSLATE(N304,""pl"",""en"")"),"null")</f>
        <v>null</v>
      </c>
      <c r="P304" s="3" t="s">
        <v>1464</v>
      </c>
      <c r="Q304" s="1" t="b">
        <v>1</v>
      </c>
      <c r="R304" s="1" t="s">
        <v>1465</v>
      </c>
    </row>
    <row r="305" spans="1:18" x14ac:dyDescent="0.25">
      <c r="A305" s="2">
        <v>45173</v>
      </c>
      <c r="B305" s="1" t="s">
        <v>1466</v>
      </c>
      <c r="C305" s="1" t="str">
        <f ca="1">IFERROR(__xludf.DUMMYFUNCTION("GOOGLETRANSLATE(B305,""pl"",""en"")"),"A unique apartment with a garden")</f>
        <v>A unique apartment with a garden</v>
      </c>
      <c r="D305" s="1">
        <v>699000</v>
      </c>
      <c r="E305" s="1" t="s">
        <v>33</v>
      </c>
      <c r="F305" s="1">
        <v>74.39</v>
      </c>
      <c r="G305" s="1" t="s">
        <v>1467</v>
      </c>
      <c r="H305" s="1" t="str">
        <f ca="1">IFERROR(__xludf.DUMMYFUNCTION("GOOGLETRANSLATE(G305,""pl"",""en"")"),"street. Pienista, Lublinek, Polesie, Łódź, Łódź")</f>
        <v>street. Pienista, Lublinek, Polesie, Łódź, Łódź</v>
      </c>
      <c r="I305" s="1" t="s">
        <v>21</v>
      </c>
      <c r="J305" s="1" t="s">
        <v>21</v>
      </c>
      <c r="K305" s="1" t="s">
        <v>22</v>
      </c>
      <c r="L305" s="1" t="s">
        <v>1468</v>
      </c>
      <c r="M305" s="1">
        <v>3</v>
      </c>
      <c r="N305" s="1" t="s">
        <v>24</v>
      </c>
      <c r="O305" s="1" t="str">
        <f ca="1">IFERROR(__xludf.DUMMYFUNCTION("GOOGLETRANSLATE(N305,""pl"",""en"")"),"full ownership")</f>
        <v>full ownership</v>
      </c>
      <c r="P305" s="3" t="s">
        <v>1469</v>
      </c>
      <c r="Q305" s="1" t="b">
        <v>1</v>
      </c>
      <c r="R305" s="1" t="s">
        <v>1470</v>
      </c>
    </row>
    <row r="306" spans="1:18" x14ac:dyDescent="0.25">
      <c r="A306" s="2">
        <v>45173</v>
      </c>
      <c r="B306" s="1" t="s">
        <v>1471</v>
      </c>
      <c r="C306" s="1" t="str">
        <f ca="1">IFERROR(__xludf.DUMMYFUNCTION("GOOGLETRANSLATE(B306,""pl"",""en"")"),"2-room apartment with a view of Ina!")</f>
        <v>2-room apartment with a view of Ina!</v>
      </c>
      <c r="D306" s="1">
        <v>366721</v>
      </c>
      <c r="E306" s="1" t="s">
        <v>19</v>
      </c>
      <c r="F306" s="1">
        <v>47.38</v>
      </c>
      <c r="G306" s="1" t="s">
        <v>1472</v>
      </c>
      <c r="H306" s="1" t="str">
        <f ca="1">IFERROR(__xludf.DUMMYFUNCTION("GOOGLETRANSLATE(G306,""pl"",""en"")"),"Goleniów, Goleniów, Goleniowski, West Pomeranian Voivodeship")</f>
        <v>Goleniów, Goleniów, Goleniowski, West Pomeranian Voivodeship</v>
      </c>
      <c r="I306" s="1" t="s">
        <v>21</v>
      </c>
      <c r="J306" s="1" t="s">
        <v>21</v>
      </c>
      <c r="K306" s="1" t="s">
        <v>22</v>
      </c>
      <c r="L306" s="1" t="s">
        <v>1473</v>
      </c>
      <c r="M306" s="1">
        <v>2</v>
      </c>
      <c r="N306" s="1" t="s">
        <v>24</v>
      </c>
      <c r="O306" s="1" t="str">
        <f ca="1">IFERROR(__xludf.DUMMYFUNCTION("GOOGLETRANSLATE(N306,""pl"",""en"")"),"full ownership")</f>
        <v>full ownership</v>
      </c>
      <c r="P306" s="3" t="s">
        <v>1474</v>
      </c>
      <c r="Q306" s="1" t="b">
        <v>1</v>
      </c>
      <c r="R306" s="1" t="s">
        <v>1475</v>
      </c>
    </row>
    <row r="307" spans="1:18" x14ac:dyDescent="0.25">
      <c r="A307" s="2">
        <v>45173</v>
      </c>
      <c r="B307" s="1" t="s">
        <v>1476</v>
      </c>
      <c r="C307" s="1" t="str">
        <f ca="1">IFERROR(__xludf.DUMMYFUNCTION("GOOGLETRANSLATE(B307,""pl"",""en"")"),"3 -room apartment for sale, os. Metallurgy")</f>
        <v>3 -room apartment for sale, os. Metallurgy</v>
      </c>
      <c r="D307" s="1">
        <v>685000</v>
      </c>
      <c r="E307" s="1" t="s">
        <v>33</v>
      </c>
      <c r="F307" s="1">
        <v>64.739999999999995</v>
      </c>
      <c r="G307" s="1" t="s">
        <v>4725</v>
      </c>
      <c r="H307" s="1" t="str">
        <f ca="1">IFERROR(__xludf.DUMMYFUNCTION("GOOGLETRANSLATE(G307,""pl"",""en"")"),"axis. Hutnicze, Nowa Huta, Nowa Huta, Kraków, Lesser Poland")</f>
        <v>axis. Hutnicze, Nowa Huta, Nowa Huta, Kraków, Lesser Poland</v>
      </c>
      <c r="I307" s="1" t="s">
        <v>21</v>
      </c>
      <c r="J307" s="1" t="s">
        <v>21</v>
      </c>
      <c r="K307" s="1" t="s">
        <v>22</v>
      </c>
      <c r="L307" s="1" t="s">
        <v>1477</v>
      </c>
      <c r="M307" s="1">
        <v>3</v>
      </c>
      <c r="N307" s="1" t="s">
        <v>24</v>
      </c>
      <c r="O307" s="1" t="str">
        <f ca="1">IFERROR(__xludf.DUMMYFUNCTION("GOOGLETRANSLATE(N307,""pl"",""en"")"),"full ownership")</f>
        <v>full ownership</v>
      </c>
      <c r="P307" s="3" t="s">
        <v>1478</v>
      </c>
      <c r="Q307" s="1" t="b">
        <v>1</v>
      </c>
      <c r="R307" s="1" t="s">
        <v>1479</v>
      </c>
    </row>
    <row r="308" spans="1:18" x14ac:dyDescent="0.25">
      <c r="A308" s="2">
        <v>45173</v>
      </c>
      <c r="B308" s="1" t="s">
        <v>1480</v>
      </c>
      <c r="C308" s="1" t="str">
        <f ca="1">IFERROR(__xludf.DUMMYFUNCTION("GOOGLETRANSLATE(B308,""pl"",""en"")"),"M-3 after renovation of the 1st floor, loggia, the Hill of Freedom")</f>
        <v>M-3 after renovation of the 1st floor, loggia, the Hill of Freedom</v>
      </c>
      <c r="D308" s="1">
        <v>438000</v>
      </c>
      <c r="E308" s="1" t="s">
        <v>33</v>
      </c>
      <c r="F308" s="1">
        <v>50.44</v>
      </c>
      <c r="G308" s="1" t="s">
        <v>1481</v>
      </c>
      <c r="H308" s="1" t="str">
        <f ca="1">IFERROR(__xludf.DUMMYFUNCTION("GOOGLETRANSLATE(G308,""pl"",""en"")"),"Wzgórze Wolności, Bydgoszcz, Kujawsko-Pomeranian Voivodeship")</f>
        <v>Wzgórze Wolności, Bydgoszcz, Kujawsko-Pomeranian Voivodeship</v>
      </c>
      <c r="I308" s="1" t="s">
        <v>21</v>
      </c>
      <c r="J308" s="1" t="s">
        <v>21</v>
      </c>
      <c r="K308" s="1" t="s">
        <v>22</v>
      </c>
      <c r="L308" s="1" t="s">
        <v>1482</v>
      </c>
      <c r="M308" s="1">
        <v>2</v>
      </c>
      <c r="N308" s="1" t="s">
        <v>24</v>
      </c>
      <c r="O308" s="1" t="str">
        <f ca="1">IFERROR(__xludf.DUMMYFUNCTION("GOOGLETRANSLATE(N308,""pl"",""en"")"),"full ownership")</f>
        <v>full ownership</v>
      </c>
      <c r="P308" s="3" t="s">
        <v>1483</v>
      </c>
      <c r="Q308" s="1" t="b">
        <v>1</v>
      </c>
      <c r="R308" s="1" t="s">
        <v>1484</v>
      </c>
    </row>
    <row r="309" spans="1:18" x14ac:dyDescent="0.25">
      <c r="A309" s="2">
        <v>45173</v>
      </c>
      <c r="B309" s="1" t="s">
        <v>1485</v>
      </c>
      <c r="C309" s="1" t="str">
        <f ca="1">IFERROR(__xludf.DUMMYFUNCTION("GOOGLETRANSLATE(B309,""pl"",""en"")"),"An attractive apartment in Letnica")</f>
        <v>An attractive apartment in Letnica</v>
      </c>
      <c r="D309" s="1">
        <v>608062</v>
      </c>
      <c r="E309" s="1" t="s">
        <v>19</v>
      </c>
      <c r="F309" s="1">
        <v>51.75</v>
      </c>
      <c r="G309" s="1" t="s">
        <v>1486</v>
      </c>
      <c r="H309" s="1" t="str">
        <f ca="1">IFERROR(__xludf.DUMMYFUNCTION("GOOGLETRANSLATE(G309,""pl"",""en"")"),"street. Starowiejska, Letnica, Gdańsk, Pomeranian Voivodeship")</f>
        <v>street. Starowiejska, Letnica, Gdańsk, Pomeranian Voivodeship</v>
      </c>
      <c r="I309" s="1" t="b">
        <v>1</v>
      </c>
      <c r="J309" s="1" t="s">
        <v>21</v>
      </c>
      <c r="K309" s="1" t="s">
        <v>22</v>
      </c>
      <c r="L309" s="1" t="s">
        <v>1487</v>
      </c>
      <c r="M309" s="1">
        <v>2</v>
      </c>
      <c r="N309" s="1" t="s">
        <v>21</v>
      </c>
      <c r="O309" s="1" t="str">
        <f ca="1">IFERROR(__xludf.DUMMYFUNCTION("GOOGLETRANSLATE(N309,""pl"",""en"")"),"null")</f>
        <v>null</v>
      </c>
      <c r="P309" s="3" t="s">
        <v>1488</v>
      </c>
      <c r="Q309" s="1" t="b">
        <v>1</v>
      </c>
      <c r="R309" s="1" t="s">
        <v>1489</v>
      </c>
    </row>
    <row r="310" spans="1:18" x14ac:dyDescent="0.25">
      <c r="A310" s="2">
        <v>45173</v>
      </c>
      <c r="B310" s="1" t="s">
        <v>1490</v>
      </c>
      <c r="C310" s="1" t="str">
        <f ca="1">IFERROR(__xludf.DUMMYFUNCTION("GOOGLETRANSLATE(B310,""pl"",""en"")"),"Apartment at PKP")</f>
        <v>Apartment at PKP</v>
      </c>
      <c r="D310" s="1">
        <v>235000</v>
      </c>
      <c r="E310" s="1" t="s">
        <v>19</v>
      </c>
      <c r="F310" s="1">
        <v>25.7</v>
      </c>
      <c r="G310" s="1" t="s">
        <v>1491</v>
      </c>
      <c r="H310" s="1" t="str">
        <f ca="1">IFERROR(__xludf.DUMMYFUNCTION("GOOGLETRANSLATE(G310,""pl"",""en"")"),"Żyrardów, Żyrardowski, Masovian Voivodeship")</f>
        <v>Żyrardów, Żyrardowski, Masovian Voivodeship</v>
      </c>
      <c r="I310" s="1" t="s">
        <v>21</v>
      </c>
      <c r="J310" s="1" t="s">
        <v>21</v>
      </c>
      <c r="K310" s="1" t="s">
        <v>22</v>
      </c>
      <c r="L310" s="1" t="s">
        <v>1492</v>
      </c>
      <c r="M310" s="1">
        <v>1</v>
      </c>
      <c r="N310" s="1" t="s">
        <v>24</v>
      </c>
      <c r="O310" s="1" t="str">
        <f ca="1">IFERROR(__xludf.DUMMYFUNCTION("GOOGLETRANSLATE(N310,""pl"",""en"")"),"full ownership")</f>
        <v>full ownership</v>
      </c>
      <c r="P310" s="3" t="s">
        <v>1493</v>
      </c>
      <c r="Q310" s="1" t="b">
        <v>1</v>
      </c>
      <c r="R310" s="1" t="s">
        <v>1494</v>
      </c>
    </row>
    <row r="311" spans="1:18" x14ac:dyDescent="0.25">
      <c r="A311" s="2">
        <v>45173</v>
      </c>
      <c r="B311" s="1" t="s">
        <v>1495</v>
      </c>
      <c r="C311" s="1" t="str">
        <f ca="1">IFERROR(__xludf.DUMMYFUNCTION("GOOGLETRANSLATE(B311,""pl"",""en"")"),"3 Independent rooms in Śródmieście!")</f>
        <v>3 Independent rooms in Śródmieście!</v>
      </c>
      <c r="D311" s="1">
        <v>725000</v>
      </c>
      <c r="E311" s="1" t="s">
        <v>33</v>
      </c>
      <c r="F311" s="1">
        <v>51</v>
      </c>
      <c r="G311" s="1" t="s">
        <v>1496</v>
      </c>
      <c r="H311" s="1" t="str">
        <f ca="1">IFERROR(__xludf.DUMMYFUNCTION("GOOGLETRANSLATE(G311,""pl"",""en"")"),"street. Moście, Śródmieście, Gdańsk, Pomeranian Voivodeship")</f>
        <v>street. Moście, Śródmieście, Gdańsk, Pomeranian Voivodeship</v>
      </c>
      <c r="I311" s="1" t="s">
        <v>21</v>
      </c>
      <c r="J311" s="1" t="s">
        <v>21</v>
      </c>
      <c r="K311" s="1" t="s">
        <v>22</v>
      </c>
      <c r="L311" s="1" t="s">
        <v>1497</v>
      </c>
      <c r="M311" s="1">
        <v>3</v>
      </c>
      <c r="N311" s="1" t="s">
        <v>24</v>
      </c>
      <c r="O311" s="1" t="str">
        <f ca="1">IFERROR(__xludf.DUMMYFUNCTION("GOOGLETRANSLATE(N311,""pl"",""en"")"),"full ownership")</f>
        <v>full ownership</v>
      </c>
      <c r="P311" s="3" t="s">
        <v>1498</v>
      </c>
      <c r="Q311" s="1" t="b">
        <v>1</v>
      </c>
      <c r="R311" s="1" t="s">
        <v>1499</v>
      </c>
    </row>
    <row r="312" spans="1:18" x14ac:dyDescent="0.25">
      <c r="A312" s="2">
        <v>45173</v>
      </c>
      <c r="B312" s="1" t="s">
        <v>1500</v>
      </c>
      <c r="C312" s="1" t="str">
        <f ca="1">IFERROR(__xludf.DUMMYFUNCTION("GOOGLETRANSLATE(B312,""pl"",""en"")"),"4-room apartment for sale at the bend")</f>
        <v>4-room apartment for sale at the bend</v>
      </c>
      <c r="D312" s="1">
        <v>359000</v>
      </c>
      <c r="E312" s="1" t="s">
        <v>33</v>
      </c>
      <c r="F312" s="1">
        <v>64</v>
      </c>
      <c r="G312" s="1" t="s">
        <v>4749</v>
      </c>
      <c r="H312" s="1" t="str">
        <f ca="1">IFERROR(__xludf.DUMMYFUNCTION("GOOGLETRANSLATE(G312,""pl"",""en"")"),"street. Zakole, Konin, Greater Poland")</f>
        <v>street. Zakole, Konin, Greater Poland</v>
      </c>
      <c r="I312" s="1" t="s">
        <v>21</v>
      </c>
      <c r="J312" s="1" t="s">
        <v>21</v>
      </c>
      <c r="K312" s="1" t="s">
        <v>22</v>
      </c>
      <c r="L312" s="1" t="s">
        <v>1501</v>
      </c>
      <c r="M312" s="1">
        <v>4</v>
      </c>
      <c r="N312" s="1" t="s">
        <v>24</v>
      </c>
      <c r="O312" s="1" t="str">
        <f ca="1">IFERROR(__xludf.DUMMYFUNCTION("GOOGLETRANSLATE(N312,""pl"",""en"")"),"full ownership")</f>
        <v>full ownership</v>
      </c>
      <c r="P312" s="3" t="s">
        <v>1502</v>
      </c>
      <c r="Q312" s="1" t="b">
        <v>1</v>
      </c>
      <c r="R312" s="1" t="s">
        <v>1503</v>
      </c>
    </row>
    <row r="313" spans="1:18" x14ac:dyDescent="0.25">
      <c r="A313" s="2">
        <v>45173</v>
      </c>
      <c r="B313" s="1" t="s">
        <v>1504</v>
      </c>
      <c r="C313" s="1" t="str">
        <f ca="1">IFERROR(__xludf.DUMMYFUNCTION("GOOGLETRANSLATE(B313,""pl"",""en"")"),"3 -room apartment/center/parking lot behind the barrier")</f>
        <v>3 -room apartment/center/parking lot behind the barrier</v>
      </c>
      <c r="D313" s="1">
        <v>340000</v>
      </c>
      <c r="E313" s="1" t="s">
        <v>33</v>
      </c>
      <c r="F313" s="1">
        <v>46.3</v>
      </c>
      <c r="G313" s="1" t="s">
        <v>1505</v>
      </c>
      <c r="H313" s="1" t="str">
        <f ca="1">IFERROR(__xludf.DUMMYFUNCTION("GOOGLETRANSLATE(G313,""pl"",""en"")"),"street. Złotoryjska, Legnica, Lower Silesia")</f>
        <v>street. Złotoryjska, Legnica, Lower Silesia</v>
      </c>
      <c r="I313" s="1" t="s">
        <v>21</v>
      </c>
      <c r="J313" s="1" t="s">
        <v>21</v>
      </c>
      <c r="K313" s="1" t="s">
        <v>22</v>
      </c>
      <c r="L313" s="1" t="s">
        <v>1506</v>
      </c>
      <c r="M313" s="1">
        <v>3</v>
      </c>
      <c r="N313" s="1" t="s">
        <v>24</v>
      </c>
      <c r="O313" s="1" t="str">
        <f ca="1">IFERROR(__xludf.DUMMYFUNCTION("GOOGLETRANSLATE(N313,""pl"",""en"")"),"full ownership")</f>
        <v>full ownership</v>
      </c>
      <c r="P313" s="3" t="s">
        <v>1507</v>
      </c>
      <c r="Q313" s="1" t="b">
        <v>1</v>
      </c>
      <c r="R313" s="1" t="s">
        <v>1508</v>
      </c>
    </row>
    <row r="314" spans="1:18" x14ac:dyDescent="0.25">
      <c r="A314" s="2">
        <v>45216</v>
      </c>
      <c r="B314" s="1" t="s">
        <v>1509</v>
      </c>
      <c r="C314" s="1" t="str">
        <f ca="1">IFERROR(__xludf.DUMMYFUNCTION("GOOGLETRANSLATE(B314,""pl"",""en"")"),"Kasprowicz apartments Apartment C410")</f>
        <v>Kasprowicz apartments Apartment C410</v>
      </c>
      <c r="D314" s="1">
        <v>756000</v>
      </c>
      <c r="E314" s="1" t="s">
        <v>19</v>
      </c>
      <c r="F314" s="1">
        <v>42.57</v>
      </c>
      <c r="G314" s="1" t="s">
        <v>1510</v>
      </c>
      <c r="H314" s="1" t="str">
        <f ca="1">IFERROR(__xludf.DUMMYFUNCTION("GOOGLETRANSLATE(G314,""pl"",""en"")"),"street. Jana Kasprowicz, Kołobrzeg, Kołobrzeski, West Pomeranian Voivodeship")</f>
        <v>street. Jana Kasprowicz, Kołobrzeg, Kołobrzeski, West Pomeranian Voivodeship</v>
      </c>
      <c r="I314" s="1" t="b">
        <v>1</v>
      </c>
      <c r="J314" s="1" t="s">
        <v>21</v>
      </c>
      <c r="K314" s="1" t="s">
        <v>194</v>
      </c>
      <c r="L314" s="1" t="s">
        <v>1511</v>
      </c>
      <c r="M314" s="1">
        <v>2</v>
      </c>
      <c r="N314" s="1" t="s">
        <v>24</v>
      </c>
      <c r="O314" s="1" t="str">
        <f ca="1">IFERROR(__xludf.DUMMYFUNCTION("GOOGLETRANSLATE(N314,""pl"",""en"")"),"full ownership")</f>
        <v>full ownership</v>
      </c>
      <c r="P314" s="3" t="s">
        <v>1512</v>
      </c>
      <c r="Q314" s="1" t="b">
        <v>1</v>
      </c>
      <c r="R314" s="1" t="s">
        <v>1513</v>
      </c>
    </row>
    <row r="315" spans="1:18" x14ac:dyDescent="0.25">
      <c r="A315" s="2">
        <v>45216</v>
      </c>
      <c r="B315" s="1" t="s">
        <v>1514</v>
      </c>
      <c r="C315" s="1" t="str">
        <f ca="1">IFERROR(__xludf.DUMMYFUNCTION("GOOGLETRANSLATE(B315,""pl"",""en"")"),"Apartment, 95.03 m², Krakow")</f>
        <v>Apartment, 95.03 m², Krakow</v>
      </c>
      <c r="D315" s="1">
        <v>900000</v>
      </c>
      <c r="E315" s="1" t="s">
        <v>33</v>
      </c>
      <c r="F315" s="1">
        <v>95.03</v>
      </c>
      <c r="G315" s="1" t="s">
        <v>4750</v>
      </c>
      <c r="H315" s="1" t="str">
        <f ca="1">IFERROR(__xludf.DUMMYFUNCTION("GOOGLETRANSLATE(G315,""pl"",""en"")"),"Górka Narodowa, Prądnik Biały, Kraków, Lesser Poland")</f>
        <v>Górka Narodowa, Prądnik Biały, Kraków, Lesser Poland</v>
      </c>
      <c r="I315" s="1" t="s">
        <v>21</v>
      </c>
      <c r="J315" s="1" t="s">
        <v>21</v>
      </c>
      <c r="K315" s="1" t="s">
        <v>22</v>
      </c>
      <c r="L315" s="1" t="s">
        <v>1515</v>
      </c>
      <c r="M315" s="1">
        <v>5</v>
      </c>
      <c r="N315" s="1" t="s">
        <v>24</v>
      </c>
      <c r="O315" s="1" t="str">
        <f ca="1">IFERROR(__xludf.DUMMYFUNCTION("GOOGLETRANSLATE(N315,""pl"",""en"")"),"full ownership")</f>
        <v>full ownership</v>
      </c>
      <c r="P315" s="3" t="s">
        <v>1516</v>
      </c>
      <c r="Q315" s="1" t="b">
        <v>1</v>
      </c>
      <c r="R315" s="1" t="s">
        <v>1517</v>
      </c>
    </row>
    <row r="316" spans="1:18" x14ac:dyDescent="0.25">
      <c r="A316" s="2">
        <v>45216</v>
      </c>
      <c r="B316" s="1" t="s">
        <v>1518</v>
      </c>
      <c r="C316" s="1" t="str">
        <f ca="1">IFERROR(__xludf.DUMMYFUNCTION("GOOGLETRANSLATE(B316,""pl"",""en"")"),"Apartment, 30 m², Konstancin-Jeziorna")</f>
        <v>Apartment, 30 m², Konstancin-Jeziorna</v>
      </c>
      <c r="D316" s="1">
        <v>450000</v>
      </c>
      <c r="E316" s="1" t="s">
        <v>33</v>
      </c>
      <c r="F316" s="1">
        <v>30</v>
      </c>
      <c r="G316" s="1" t="s">
        <v>1519</v>
      </c>
      <c r="H316" s="1" t="str">
        <f ca="1">IFERROR(__xludf.DUMMYFUNCTION("GOOGLETRANSLATE(G316,""pl"",""en"")"),"Konstancin-Jeziorna, Konstancin-Jeziorna, Piaseczyński, Masovian Voivodeship")</f>
        <v>Konstancin-Jeziorna, Konstancin-Jeziorna, Piaseczyński, Masovian Voivodeship</v>
      </c>
      <c r="I316" s="1" t="s">
        <v>21</v>
      </c>
      <c r="J316" s="1" t="s">
        <v>21</v>
      </c>
      <c r="K316" s="1" t="s">
        <v>22</v>
      </c>
      <c r="L316" s="1" t="s">
        <v>1520</v>
      </c>
      <c r="M316" s="1">
        <v>1</v>
      </c>
      <c r="N316" s="1" t="s">
        <v>24</v>
      </c>
      <c r="O316" s="1" t="str">
        <f ca="1">IFERROR(__xludf.DUMMYFUNCTION("GOOGLETRANSLATE(N316,""pl"",""en"")"),"full ownership")</f>
        <v>full ownership</v>
      </c>
      <c r="P316" s="3" t="s">
        <v>1521</v>
      </c>
      <c r="Q316" s="1" t="b">
        <v>1</v>
      </c>
      <c r="R316" s="1" t="s">
        <v>1522</v>
      </c>
    </row>
    <row r="317" spans="1:18" x14ac:dyDescent="0.25">
      <c r="A317" s="2">
        <v>45216</v>
      </c>
      <c r="B317" s="1" t="s">
        <v>1523</v>
      </c>
      <c r="C317" s="1" t="str">
        <f ca="1">IFERROR(__xludf.DUMMYFUNCTION("GOOGLETRANSLATE(B317,""pl"",""en"")"),"Apartment in Lubsko")</f>
        <v>Apartment in Lubsko</v>
      </c>
      <c r="D317" s="1">
        <v>251000</v>
      </c>
      <c r="E317" s="1" t="s">
        <v>33</v>
      </c>
      <c r="F317" s="1">
        <v>83.9</v>
      </c>
      <c r="G317" s="1" t="s">
        <v>4843</v>
      </c>
      <c r="H317" s="1" t="str">
        <f ca="1">IFERROR(__xludf.DUMMYFUNCTION("GOOGLETRANSLATE(G317,""pl"",""en"")"),"Lubsko, Lubsko, Żarski, Lubusz Voivodeship")</f>
        <v>Lubsko, Lubsko, Żarski, Lubusz Voivodeship</v>
      </c>
      <c r="I317" s="1" t="s">
        <v>21</v>
      </c>
      <c r="J317" s="1" t="s">
        <v>21</v>
      </c>
      <c r="K317" s="1" t="s">
        <v>22</v>
      </c>
      <c r="L317" s="1" t="s">
        <v>1524</v>
      </c>
      <c r="M317" s="1">
        <v>3</v>
      </c>
      <c r="N317" s="1" t="s">
        <v>24</v>
      </c>
      <c r="O317" s="1" t="str">
        <f ca="1">IFERROR(__xludf.DUMMYFUNCTION("GOOGLETRANSLATE(N317,""pl"",""en"")"),"full ownership")</f>
        <v>full ownership</v>
      </c>
      <c r="P317" s="3" t="s">
        <v>1525</v>
      </c>
      <c r="Q317" s="1" t="b">
        <v>1</v>
      </c>
      <c r="R317" s="1" t="s">
        <v>1526</v>
      </c>
    </row>
    <row r="318" spans="1:18" x14ac:dyDescent="0.25">
      <c r="A318" s="2">
        <v>45173</v>
      </c>
      <c r="B318" s="1" t="s">
        <v>1527</v>
      </c>
      <c r="C318" s="1" t="str">
        <f ca="1">IFERROR(__xludf.DUMMYFUNCTION("GOOGLETRANSLATE(B318,""pl"",""en"")"),"3-room apartment in the center for the family")</f>
        <v>3-room apartment in the center for the family</v>
      </c>
      <c r="D318" s="1">
        <v>339000</v>
      </c>
      <c r="E318" s="1" t="s">
        <v>33</v>
      </c>
      <c r="F318" s="1">
        <v>48</v>
      </c>
      <c r="G318" s="1" t="s">
        <v>753</v>
      </c>
      <c r="H318" s="1" t="str">
        <f ca="1">IFERROR(__xludf.DUMMYFUNCTION("GOOGLETRANSLATE(G318,""pl"",""en"")"),"Świdnik, Świdnicki, Lublin Voivodeship")</f>
        <v>Świdnik, Świdnicki, Lublin Voivodeship</v>
      </c>
      <c r="I318" s="1" t="s">
        <v>21</v>
      </c>
      <c r="J318" s="1" t="s">
        <v>21</v>
      </c>
      <c r="K318" s="1" t="s">
        <v>22</v>
      </c>
      <c r="L318" s="1" t="s">
        <v>1528</v>
      </c>
      <c r="M318" s="1">
        <v>3</v>
      </c>
      <c r="N318" s="1" t="s">
        <v>24</v>
      </c>
      <c r="O318" s="1" t="str">
        <f ca="1">IFERROR(__xludf.DUMMYFUNCTION("GOOGLETRANSLATE(N318,""pl"",""en"")"),"full ownership")</f>
        <v>full ownership</v>
      </c>
      <c r="P318" s="3" t="s">
        <v>1529</v>
      </c>
      <c r="Q318" s="1" t="b">
        <v>1</v>
      </c>
      <c r="R318" s="1" t="s">
        <v>1530</v>
      </c>
    </row>
    <row r="319" spans="1:18" x14ac:dyDescent="0.25">
      <c r="A319" s="2">
        <v>45173</v>
      </c>
      <c r="B319" s="1" t="s">
        <v>1531</v>
      </c>
      <c r="C319" s="1" t="str">
        <f ca="1">IFERROR(__xludf.DUMMYFUNCTION("GOOGLETRANSLATE(B319,""pl"",""en"")"),"Willo apartment + plaster + garden. High height")</f>
        <v>Willo apartment + plaster + garden. High height</v>
      </c>
      <c r="D319" s="1">
        <v>899000</v>
      </c>
      <c r="E319" s="1" t="s">
        <v>33</v>
      </c>
      <c r="F319" s="1">
        <v>125</v>
      </c>
      <c r="G319" s="1" t="s">
        <v>1532</v>
      </c>
      <c r="H319" s="1" t="str">
        <f ca="1">IFERROR(__xludf.DUMMYFUNCTION("GOOGLETRANSLATE(G319,""pl"",""en"")"),"street. Mazepy, Zawidawa, Psie Pole, Wrocław, DolnoSilesian Voivodeship")</f>
        <v>street. Mazepy, Zawidawa, Psie Pole, Wrocław, DolnoSilesian Voivodeship</v>
      </c>
      <c r="I319" s="1" t="s">
        <v>21</v>
      </c>
      <c r="J319" s="1" t="s">
        <v>21</v>
      </c>
      <c r="K319" s="1" t="s">
        <v>22</v>
      </c>
      <c r="L319" s="1" t="s">
        <v>1533</v>
      </c>
      <c r="M319" s="1">
        <v>3</v>
      </c>
      <c r="N319" s="1" t="s">
        <v>24</v>
      </c>
      <c r="O319" s="1" t="str">
        <f ca="1">IFERROR(__xludf.DUMMYFUNCTION("GOOGLETRANSLATE(N319,""pl"",""en"")"),"full ownership")</f>
        <v>full ownership</v>
      </c>
      <c r="P319" s="3" t="s">
        <v>1534</v>
      </c>
      <c r="Q319" s="1" t="b">
        <v>1</v>
      </c>
      <c r="R319" s="1" t="s">
        <v>1535</v>
      </c>
    </row>
    <row r="320" spans="1:18" x14ac:dyDescent="0.25">
      <c r="A320" s="2">
        <v>45173</v>
      </c>
      <c r="B320" s="1" t="s">
        <v>1536</v>
      </c>
      <c r="C320" s="1" t="str">
        <f ca="1">IFERROR(__xludf.DUMMYFUNCTION("GOOGLETRANSLATE(B320,""pl"",""en"")"),"Apartment for sale 65.4 m², M. Niwiska")</f>
        <v>Apartment for sale 65.4 m², M. Niwiska</v>
      </c>
      <c r="D320" s="1">
        <v>215000</v>
      </c>
      <c r="E320" s="1" t="s">
        <v>33</v>
      </c>
      <c r="F320" s="1">
        <v>65</v>
      </c>
      <c r="G320" s="1" t="s">
        <v>4844</v>
      </c>
      <c r="H320" s="1" t="str">
        <f ca="1">IFERROR(__xludf.DUMMYFUNCTION("GOOGLETRANSLATE(G320,""pl"",""en"")"),"street. Zielona Góra, Nowogród Bobrzański, Nowogród Bobrzański, Zielona Góra, Lubusz Voivodeship")</f>
        <v>street. Zielona Góra, Nowogród Bobrzański, Nowogród Bobrzański, Zielona Góra, Lubusz Voivodeship</v>
      </c>
      <c r="I320" s="1" t="s">
        <v>21</v>
      </c>
      <c r="J320" s="1" t="s">
        <v>21</v>
      </c>
      <c r="K320" s="1" t="s">
        <v>22</v>
      </c>
      <c r="L320" s="1" t="s">
        <v>1537</v>
      </c>
      <c r="M320" s="1">
        <v>2</v>
      </c>
      <c r="N320" s="1" t="s">
        <v>24</v>
      </c>
      <c r="O320" s="1" t="str">
        <f ca="1">IFERROR(__xludf.DUMMYFUNCTION("GOOGLETRANSLATE(N320,""pl"",""en"")"),"full ownership")</f>
        <v>full ownership</v>
      </c>
      <c r="P320" s="3" t="s">
        <v>1538</v>
      </c>
      <c r="Q320" s="1" t="b">
        <v>1</v>
      </c>
      <c r="R320" s="1" t="s">
        <v>1539</v>
      </c>
    </row>
    <row r="321" spans="1:18" x14ac:dyDescent="0.25">
      <c r="A321" s="2">
        <v>45173</v>
      </c>
      <c r="B321" s="1" t="s">
        <v>1540</v>
      </c>
      <c r="C321" s="1" t="str">
        <f ca="1">IFERROR(__xludf.DUMMYFUNCTION("GOOGLETRANSLATE(B321,""pl"",""en"")"),"Apartment in a quiet area!")</f>
        <v>Apartment in a quiet area!</v>
      </c>
      <c r="D321" s="1">
        <v>339000</v>
      </c>
      <c r="E321" s="1" t="s">
        <v>33</v>
      </c>
      <c r="F321" s="1">
        <v>51.1</v>
      </c>
      <c r="G321" s="1" t="s">
        <v>1541</v>
      </c>
      <c r="H321" s="1" t="str">
        <f ca="1">IFERROR(__xludf.DUMMYFUNCTION("GOOGLETRANSLATE(G321,""pl"",""en"")"),"Minsk Mazowiecki, Miński, Masovian Voivodeship")</f>
        <v>Minsk Mazowiecki, Miński, Masovian Voivodeship</v>
      </c>
      <c r="I321" s="1" t="s">
        <v>21</v>
      </c>
      <c r="J321" s="1" t="s">
        <v>21</v>
      </c>
      <c r="K321" s="1" t="s">
        <v>22</v>
      </c>
      <c r="L321" s="1" t="s">
        <v>1542</v>
      </c>
      <c r="M321" s="1">
        <v>2</v>
      </c>
      <c r="N321" s="1" t="s">
        <v>24</v>
      </c>
      <c r="O321" s="1" t="str">
        <f ca="1">IFERROR(__xludf.DUMMYFUNCTION("GOOGLETRANSLATE(N321,""pl"",""en"")"),"full ownership")</f>
        <v>full ownership</v>
      </c>
      <c r="P321" s="3" t="s">
        <v>1543</v>
      </c>
      <c r="Q321" s="1" t="b">
        <v>1</v>
      </c>
      <c r="R321" s="1" t="s">
        <v>1544</v>
      </c>
    </row>
    <row r="322" spans="1:18" x14ac:dyDescent="0.25">
      <c r="A322" s="2">
        <v>45173</v>
      </c>
      <c r="B322" s="1" t="s">
        <v>1545</v>
      </c>
      <c r="C322" s="1" t="str">
        <f ca="1">IFERROR(__xludf.DUMMYFUNCTION("GOOGLETRANSLATE(B322,""pl"",""en"")"),"4 rooms on a high ground floor 80.2 m2")</f>
        <v>4 rooms on a high ground floor 80.2 m2</v>
      </c>
      <c r="D322" s="1">
        <v>465000</v>
      </c>
      <c r="E322" s="1" t="s">
        <v>33</v>
      </c>
      <c r="F322" s="1">
        <v>80.2</v>
      </c>
      <c r="G322" s="1" t="s">
        <v>1546</v>
      </c>
      <c r="H322" s="1" t="str">
        <f ca="1">IFERROR(__xludf.DUMMYFUNCTION("GOOGLETRANSLATE(G322,""pl"",""en"")"),"street. Chamomile, green hills, Białystok, Podlasie")</f>
        <v>street. Chamomile, green hills, Białystok, Podlasie</v>
      </c>
      <c r="I322" s="1" t="s">
        <v>21</v>
      </c>
      <c r="J322" s="1" t="s">
        <v>21</v>
      </c>
      <c r="K322" s="1" t="s">
        <v>22</v>
      </c>
      <c r="L322" s="1" t="s">
        <v>1547</v>
      </c>
      <c r="M322" s="1">
        <v>4</v>
      </c>
      <c r="N322" s="1" t="s">
        <v>85</v>
      </c>
      <c r="O322" s="1" t="str">
        <f ca="1">IFERROR(__xludf.DUMMYFUNCTION("GOOGLETRANSLATE(N322,""pl"",""en"")"),"Cooperative ownership of the right to the premises")</f>
        <v>Cooperative ownership of the right to the premises</v>
      </c>
      <c r="P322" s="3" t="s">
        <v>1548</v>
      </c>
      <c r="Q322" s="1" t="b">
        <v>1</v>
      </c>
      <c r="R322" s="1" t="s">
        <v>1549</v>
      </c>
    </row>
    <row r="323" spans="1:18" x14ac:dyDescent="0.25">
      <c r="A323" s="2">
        <v>45173</v>
      </c>
      <c r="B323" s="1" t="s">
        <v>1550</v>
      </c>
      <c r="C323" s="1" t="str">
        <f ca="1">IFERROR(__xludf.DUMMYFUNCTION("GOOGLETRANSLATE(B323,""pl"",""en"")"),"3 separate rooms in the Czuby, immediately.")</f>
        <v>3 separate rooms in the Czuby, immediately.</v>
      </c>
      <c r="D323" s="1">
        <v>449999</v>
      </c>
      <c r="E323" s="1" t="s">
        <v>33</v>
      </c>
      <c r="F323" s="1">
        <v>59.7</v>
      </c>
      <c r="G323" s="1" t="s">
        <v>1551</v>
      </c>
      <c r="H323" s="1" t="str">
        <f ca="1">IFERROR(__xludf.DUMMYFUNCTION("GOOGLETRANSLATE(G323,""pl"",""en"")"),"street. Pearl, Czuby Południe, Lublin, Lublin")</f>
        <v>street. Pearl, Czuby Południe, Lublin, Lublin</v>
      </c>
      <c r="I323" s="1" t="s">
        <v>21</v>
      </c>
      <c r="J323" s="1" t="s">
        <v>21</v>
      </c>
      <c r="K323" s="1" t="s">
        <v>22</v>
      </c>
      <c r="L323" s="1" t="s">
        <v>1552</v>
      </c>
      <c r="M323" s="1">
        <v>3</v>
      </c>
      <c r="N323" s="1" t="s">
        <v>24</v>
      </c>
      <c r="O323" s="1" t="str">
        <f ca="1">IFERROR(__xludf.DUMMYFUNCTION("GOOGLETRANSLATE(N323,""pl"",""en"")"),"full ownership")</f>
        <v>full ownership</v>
      </c>
      <c r="P323" s="3" t="s">
        <v>1553</v>
      </c>
      <c r="Q323" s="1" t="b">
        <v>1</v>
      </c>
      <c r="R323" s="1" t="s">
        <v>1554</v>
      </c>
    </row>
    <row r="324" spans="1:18" x14ac:dyDescent="0.25">
      <c r="A324" s="2">
        <v>45173</v>
      </c>
      <c r="B324" s="1" t="s">
        <v>1555</v>
      </c>
      <c r="C324" s="1" t="str">
        <f ca="1">IFERROR(__xludf.DUMMYFUNCTION("GOOGLETRANSLATE(B324,""pl"",""en"")"),"3-room apartment in Zielona Poręba")</f>
        <v>3-room apartment in Zielona Poręba</v>
      </c>
      <c r="D324" s="1">
        <v>729000</v>
      </c>
      <c r="E324" s="1" t="s">
        <v>33</v>
      </c>
      <c r="F324" s="1">
        <v>68.010000000000005</v>
      </c>
      <c r="G324" s="1" t="s">
        <v>1556</v>
      </c>
      <c r="H324" s="1" t="str">
        <f ca="1">IFERROR(__xludf.DUMMYFUNCTION("GOOGLETRANSLATE(G324,""pl"",""en"")"),"street. Amber, Czuby Południe, Lublin, Lublin Voivodeship")</f>
        <v>street. Amber, Czuby Południe, Lublin, Lublin Voivodeship</v>
      </c>
      <c r="I324" s="1" t="s">
        <v>21</v>
      </c>
      <c r="J324" s="1" t="s">
        <v>21</v>
      </c>
      <c r="K324" s="1" t="s">
        <v>45</v>
      </c>
      <c r="L324" s="1" t="s">
        <v>1557</v>
      </c>
      <c r="M324" s="1">
        <v>3</v>
      </c>
      <c r="N324" s="1" t="s">
        <v>85</v>
      </c>
      <c r="O324" s="1" t="str">
        <f ca="1">IFERROR(__xludf.DUMMYFUNCTION("GOOGLETRANSLATE(N324,""pl"",""en"")"),"Cooperative ownership of the right to the premises")</f>
        <v>Cooperative ownership of the right to the premises</v>
      </c>
      <c r="P324" s="3" t="s">
        <v>1558</v>
      </c>
      <c r="Q324" s="1" t="b">
        <v>1</v>
      </c>
      <c r="R324" s="1" t="s">
        <v>1559</v>
      </c>
    </row>
    <row r="325" spans="1:18" x14ac:dyDescent="0.25">
      <c r="A325" s="2">
        <v>45173</v>
      </c>
      <c r="B325" s="1" t="s">
        <v>1560</v>
      </c>
      <c r="C325" s="1" t="str">
        <f ca="1">IFERROR(__xludf.DUMMYFUNCTION("GOOGLETRANSLATE(B325,""pl"",""en"")"),"A flat in the city center of Wałbrzych")</f>
        <v>A flat in the city center of Wałbrzych</v>
      </c>
      <c r="D325" s="1">
        <v>199000</v>
      </c>
      <c r="E325" s="1" t="s">
        <v>33</v>
      </c>
      <c r="F325" s="1">
        <v>72.25</v>
      </c>
      <c r="G325" s="1" t="s">
        <v>1561</v>
      </c>
      <c r="H325" s="1" t="str">
        <f ca="1">IFERROR(__xludf.DUMMYFUNCTION("GOOGLETRANSLATE(G325,""pl"",""en"")"),"Śródmieście, Wałbrzych, DolnoSilesian Voivodeship")</f>
        <v>Śródmieście, Wałbrzych, DolnoSilesian Voivodeship</v>
      </c>
      <c r="I325" s="1" t="s">
        <v>21</v>
      </c>
      <c r="J325" s="1" t="s">
        <v>21</v>
      </c>
      <c r="K325" s="1" t="s">
        <v>22</v>
      </c>
      <c r="L325" s="1" t="s">
        <v>1562</v>
      </c>
      <c r="M325" s="1">
        <v>2</v>
      </c>
      <c r="N325" s="1" t="s">
        <v>24</v>
      </c>
      <c r="O325" s="1" t="str">
        <f ca="1">IFERROR(__xludf.DUMMYFUNCTION("GOOGLETRANSLATE(N325,""pl"",""en"")"),"full ownership")</f>
        <v>full ownership</v>
      </c>
      <c r="P325" s="3" t="s">
        <v>1563</v>
      </c>
      <c r="Q325" s="1" t="b">
        <v>1</v>
      </c>
      <c r="R325" s="1" t="s">
        <v>1564</v>
      </c>
    </row>
    <row r="326" spans="1:18" x14ac:dyDescent="0.25">
      <c r="A326" s="2">
        <v>45173</v>
      </c>
      <c r="B326" s="1" t="s">
        <v>1565</v>
      </c>
      <c r="C326" s="1" t="str">
        <f ca="1">IFERROR(__xludf.DUMMYFUNCTION("GOOGLETRANSLATE(B326,""pl"",""en"")"),"3 -room apartment axis. Kiliński Zamość")</f>
        <v>3 -room apartment axis. Kiliński Zamość</v>
      </c>
      <c r="D326" s="1">
        <v>330000</v>
      </c>
      <c r="E326" s="1" t="s">
        <v>33</v>
      </c>
      <c r="F326" s="1">
        <v>54.6</v>
      </c>
      <c r="G326" s="1" t="s">
        <v>1566</v>
      </c>
      <c r="H326" s="1" t="str">
        <f ca="1">IFERROR(__xludf.DUMMYFUNCTION("GOOGLETRANSLATE(G326,""pl"",""en"")"),"Zamość, Lublin")</f>
        <v>Zamość, Lublin</v>
      </c>
      <c r="I326" s="1" t="b">
        <v>1</v>
      </c>
      <c r="J326" s="1" t="s">
        <v>21</v>
      </c>
      <c r="K326" s="1" t="s">
        <v>22</v>
      </c>
      <c r="L326" s="1" t="s">
        <v>1567</v>
      </c>
      <c r="M326" s="1">
        <v>3</v>
      </c>
      <c r="N326" s="1" t="s">
        <v>24</v>
      </c>
      <c r="O326" s="1" t="str">
        <f ca="1">IFERROR(__xludf.DUMMYFUNCTION("GOOGLETRANSLATE(N326,""pl"",""en"")"),"full ownership")</f>
        <v>full ownership</v>
      </c>
      <c r="P326" s="3" t="s">
        <v>1568</v>
      </c>
      <c r="Q326" s="1" t="b">
        <v>1</v>
      </c>
      <c r="R326" s="1" t="s">
        <v>1569</v>
      </c>
    </row>
    <row r="327" spans="1:18" x14ac:dyDescent="0.25">
      <c r="A327" s="2">
        <v>45173</v>
      </c>
      <c r="B327" s="1" t="s">
        <v>1570</v>
      </c>
      <c r="C327" s="1" t="str">
        <f ca="1">IFERROR(__xludf.DUMMYFUNCTION("GOOGLETRANSLATE(B327,""pl"",""en"")"),"4 -room apartment Rataje, two balconies")</f>
        <v>4 -room apartment Rataje, two balconies</v>
      </c>
      <c r="D327" s="1">
        <v>552341</v>
      </c>
      <c r="E327" s="1" t="s">
        <v>19</v>
      </c>
      <c r="F327" s="1">
        <v>57.06</v>
      </c>
      <c r="G327" s="1" t="s">
        <v>4751</v>
      </c>
      <c r="H327" s="1" t="str">
        <f ca="1">IFERROR(__xludf.DUMMYFUNCTION("GOOGLETRANSLATE(G327,""pl"",""en"")"),"street. Wagrowska, Żegrze, Nowe Miasto, Poznań, Greater Poland")</f>
        <v>street. Wagrowska, Żegrze, Nowe Miasto, Poznań, Greater Poland</v>
      </c>
      <c r="I327" s="1" t="s">
        <v>21</v>
      </c>
      <c r="J327" s="1" t="s">
        <v>21</v>
      </c>
      <c r="K327" s="1" t="s">
        <v>22</v>
      </c>
      <c r="L327" s="1" t="s">
        <v>1571</v>
      </c>
      <c r="M327" s="1">
        <v>4</v>
      </c>
      <c r="N327" s="1" t="s">
        <v>24</v>
      </c>
      <c r="O327" s="1" t="str">
        <f ca="1">IFERROR(__xludf.DUMMYFUNCTION("GOOGLETRANSLATE(N327,""pl"",""en"")"),"full ownership")</f>
        <v>full ownership</v>
      </c>
      <c r="P327" s="3" t="s">
        <v>1572</v>
      </c>
      <c r="Q327" s="1" t="b">
        <v>1</v>
      </c>
      <c r="R327" s="1" t="s">
        <v>1573</v>
      </c>
    </row>
    <row r="328" spans="1:18" x14ac:dyDescent="0.25">
      <c r="A328" s="2">
        <v>45173</v>
      </c>
      <c r="B328" s="1" t="s">
        <v>1574</v>
      </c>
      <c r="C328" s="1" t="str">
        <f ca="1">IFERROR(__xludf.DUMMYFUNCTION("GOOGLETRANSLATE(B328,""pl"",""en"")"),"Apartment at the Polonia Hotel, Kołobrzeg!")</f>
        <v>Apartment at the Polonia Hotel, Kołobrzeg!</v>
      </c>
      <c r="D328" s="1">
        <v>575000</v>
      </c>
      <c r="E328" s="1" t="s">
        <v>33</v>
      </c>
      <c r="F328" s="1">
        <v>40</v>
      </c>
      <c r="G328" s="1" t="s">
        <v>150</v>
      </c>
      <c r="H328" s="1" t="str">
        <f ca="1">IFERROR(__xludf.DUMMYFUNCTION("GOOGLETRANSLATE(G328,""pl"",""en"")"),"Kołobrzeg, Kołobrzeski, ZachodnioPomeranian Voivodeship")</f>
        <v>Kołobrzeg, Kołobrzeski, ZachodnioPomeranian Voivodeship</v>
      </c>
      <c r="I328" s="1" t="s">
        <v>21</v>
      </c>
      <c r="J328" s="1" t="s">
        <v>21</v>
      </c>
      <c r="K328" s="1" t="s">
        <v>22</v>
      </c>
      <c r="L328" s="1" t="s">
        <v>1575</v>
      </c>
      <c r="M328" s="1">
        <v>1</v>
      </c>
      <c r="N328" s="1" t="s">
        <v>24</v>
      </c>
      <c r="O328" s="1" t="str">
        <f ca="1">IFERROR(__xludf.DUMMYFUNCTION("GOOGLETRANSLATE(N328,""pl"",""en"")"),"full ownership")</f>
        <v>full ownership</v>
      </c>
      <c r="P328" s="3" t="s">
        <v>1576</v>
      </c>
      <c r="Q328" s="1" t="b">
        <v>1</v>
      </c>
      <c r="R328" s="1" t="s">
        <v>1577</v>
      </c>
    </row>
    <row r="329" spans="1:18" x14ac:dyDescent="0.25">
      <c r="A329" s="2">
        <v>45173</v>
      </c>
      <c r="B329" s="1" t="s">
        <v>1578</v>
      </c>
      <c r="C329" s="1" t="str">
        <f ca="1">IFERROR(__xludf.DUMMYFUNCTION("GOOGLETRANSLATE(B329,""pl"",""en"")"),"Apartment by the sea - Dune Resort Mielno!")</f>
        <v>Apartment by the sea - Dune Resort Mielno!</v>
      </c>
      <c r="D329" s="1">
        <v>545000</v>
      </c>
      <c r="E329" s="1" t="s">
        <v>33</v>
      </c>
      <c r="F329" s="1">
        <v>25.11</v>
      </c>
      <c r="G329" s="1" t="s">
        <v>305</v>
      </c>
      <c r="H329" s="1" t="str">
        <f ca="1">IFERROR(__xludf.DUMMYFUNCTION("GOOGLETRANSLATE(G329,""pl"",""en"")"),"Mielno, Mielno, Koszaliński, West Pomeranian Voivodeship")</f>
        <v>Mielno, Mielno, Koszaliński, West Pomeranian Voivodeship</v>
      </c>
      <c r="I329" s="1" t="s">
        <v>21</v>
      </c>
      <c r="J329" s="1" t="s">
        <v>21</v>
      </c>
      <c r="K329" s="1" t="s">
        <v>22</v>
      </c>
      <c r="L329" s="1" t="s">
        <v>1579</v>
      </c>
      <c r="M329" s="1">
        <v>1</v>
      </c>
      <c r="N329" s="1" t="s">
        <v>24</v>
      </c>
      <c r="O329" s="1" t="str">
        <f ca="1">IFERROR(__xludf.DUMMYFUNCTION("GOOGLETRANSLATE(N329,""pl"",""en"")"),"full ownership")</f>
        <v>full ownership</v>
      </c>
      <c r="P329" s="3" t="s">
        <v>1580</v>
      </c>
      <c r="Q329" s="1" t="b">
        <v>1</v>
      </c>
      <c r="R329" s="1" t="s">
        <v>1581</v>
      </c>
    </row>
    <row r="330" spans="1:18" x14ac:dyDescent="0.25">
      <c r="A330" s="2">
        <v>45173</v>
      </c>
      <c r="B330" s="1" t="s">
        <v>1582</v>
      </c>
      <c r="C330" s="1" t="str">
        <f ca="1">IFERROR(__xludf.DUMMYFUNCTION("GOOGLETRANSLATE(B330,""pl"",""en"")"),"Ready to pick up - Jastrzębia Góra beach 800m")</f>
        <v>Ready to pick up - Jastrzębia Góra beach 800m</v>
      </c>
      <c r="D330" s="1">
        <v>499000</v>
      </c>
      <c r="E330" s="1" t="s">
        <v>19</v>
      </c>
      <c r="F330" s="1">
        <v>51.89</v>
      </c>
      <c r="G330" s="1" t="s">
        <v>1583</v>
      </c>
      <c r="H330" s="1" t="str">
        <f ca="1">IFERROR(__xludf.DUMMYFUNCTION("GOOGLETRANSLATE(G330,""pl"",""en"")"),"Jastrzębia Góra, Władysławowo, Pucki, Pomeranian")</f>
        <v>Jastrzębia Góra, Władysławowo, Pucki, Pomeranian</v>
      </c>
      <c r="I330" s="1" t="b">
        <v>1</v>
      </c>
      <c r="J330" s="1" t="s">
        <v>21</v>
      </c>
      <c r="K330" s="1" t="s">
        <v>45</v>
      </c>
      <c r="L330" s="1" t="s">
        <v>1584</v>
      </c>
      <c r="M330" s="1">
        <v>3</v>
      </c>
      <c r="N330" s="1" t="s">
        <v>21</v>
      </c>
      <c r="O330" s="1" t="str">
        <f ca="1">IFERROR(__xludf.DUMMYFUNCTION("GOOGLETRANSLATE(N330,""pl"",""en"")"),"null")</f>
        <v>null</v>
      </c>
      <c r="P330" s="3" t="s">
        <v>1585</v>
      </c>
      <c r="Q330" s="1" t="b">
        <v>1</v>
      </c>
      <c r="R330" s="1" t="s">
        <v>1586</v>
      </c>
    </row>
    <row r="331" spans="1:18" x14ac:dyDescent="0.25">
      <c r="A331" s="2">
        <v>45173</v>
      </c>
      <c r="B331" s="1" t="s">
        <v>1587</v>
      </c>
      <c r="C331" s="1" t="str">
        <f ca="1">IFERROR(__xludf.DUMMYFUNCTION("GOOGLETRANSLATE(B331,""pl"",""en"")"),"Twin, 191 m2, garage+1 m. Post.")</f>
        <v>Twin, 191 m2, garage+1 m. Post.</v>
      </c>
      <c r="D331" s="1">
        <v>725000</v>
      </c>
      <c r="E331" s="1" t="s">
        <v>19</v>
      </c>
      <c r="F331" s="1">
        <v>191.11</v>
      </c>
      <c r="G331" s="1" t="s">
        <v>1588</v>
      </c>
      <c r="H331" s="1" t="str">
        <f ca="1">IFERROR(__xludf.DUMMYFUNCTION("GOOGLETRANSLATE(G331,""pl"",""en"")"),"street. General Jan Henryk Dąbrowski, Radzymin, Radzymin, Wołomiński, Masovian Voivodeship")</f>
        <v>street. General Jan Henryk Dąbrowski, Radzymin, Radzymin, Wołomiński, Masovian Voivodeship</v>
      </c>
      <c r="I331" s="1" t="b">
        <v>1</v>
      </c>
      <c r="J331" s="1" t="s">
        <v>21</v>
      </c>
      <c r="K331" s="1" t="s">
        <v>194</v>
      </c>
      <c r="L331" s="1" t="s">
        <v>1589</v>
      </c>
      <c r="M331" s="1">
        <v>5</v>
      </c>
      <c r="N331" s="1" t="s">
        <v>21</v>
      </c>
      <c r="O331" s="1" t="str">
        <f ca="1">IFERROR(__xludf.DUMMYFUNCTION("GOOGLETRANSLATE(N331,""pl"",""en"")"),"null")</f>
        <v>null</v>
      </c>
      <c r="P331" s="3" t="s">
        <v>1590</v>
      </c>
      <c r="Q331" s="1" t="b">
        <v>1</v>
      </c>
      <c r="R331" s="1" t="s">
        <v>1591</v>
      </c>
    </row>
    <row r="332" spans="1:18" x14ac:dyDescent="0.25">
      <c r="A332" s="2">
        <v>45173</v>
      </c>
      <c r="B332" s="1" t="s">
        <v>1592</v>
      </c>
      <c r="C332" s="1" t="str">
        <f ca="1">IFERROR(__xludf.DUMMYFUNCTION("GOOGLETRANSLATE(B332,""pl"",""en"")"),"Beautiful turnkey apartment, without PCC")</f>
        <v>Beautiful turnkey apartment, without PCC</v>
      </c>
      <c r="D332" s="1">
        <v>419700</v>
      </c>
      <c r="E332" s="1" t="s">
        <v>19</v>
      </c>
      <c r="F332" s="1">
        <v>34</v>
      </c>
      <c r="G332" s="1" t="s">
        <v>1593</v>
      </c>
      <c r="H332" s="1" t="str">
        <f ca="1">IFERROR(__xludf.DUMMYFUNCTION("GOOGLETRANSLATE(G332,""pl"",""en"")"),"Ligota-Panewniki, Katowice, Silesian Voivodeship")</f>
        <v>Ligota-Panewniki, Katowice, Silesian Voivodeship</v>
      </c>
      <c r="I332" s="1" t="s">
        <v>21</v>
      </c>
      <c r="J332" s="1" t="s">
        <v>21</v>
      </c>
      <c r="K332" s="1" t="s">
        <v>22</v>
      </c>
      <c r="L332" s="1" t="s">
        <v>1594</v>
      </c>
      <c r="M332" s="1">
        <v>2</v>
      </c>
      <c r="N332" s="1" t="s">
        <v>24</v>
      </c>
      <c r="O332" s="1" t="str">
        <f ca="1">IFERROR(__xludf.DUMMYFUNCTION("GOOGLETRANSLATE(N332,""pl"",""en"")"),"full ownership")</f>
        <v>full ownership</v>
      </c>
      <c r="P332" s="3" t="s">
        <v>1595</v>
      </c>
      <c r="Q332" s="1" t="b">
        <v>1</v>
      </c>
      <c r="R332" s="1" t="s">
        <v>1596</v>
      </c>
    </row>
    <row r="333" spans="1:18" x14ac:dyDescent="0.25">
      <c r="A333" s="2">
        <v>45173</v>
      </c>
      <c r="B333" s="1" t="s">
        <v>1597</v>
      </c>
      <c r="C333" s="1" t="str">
        <f ca="1">IFERROR(__xludf.DUMMYFUNCTION("GOOGLETRANSLATE(B333,""pl"",""en"")"),"Apartment, 2 furnished rooms, becher gardens")</f>
        <v>Apartment, 2 furnished rooms, becher gardens</v>
      </c>
      <c r="D333" s="1">
        <v>505000</v>
      </c>
      <c r="E333" s="1" t="s">
        <v>33</v>
      </c>
      <c r="F333" s="1">
        <v>43.47</v>
      </c>
      <c r="G333" s="1" t="s">
        <v>1598</v>
      </c>
      <c r="H333" s="1" t="str">
        <f ca="1">IFERROR(__xludf.DUMMYFUNCTION("GOOGLETRANSLATE(G333,""pl"",""en"")"),"street. King Casimir the Great, Czarnów Government, Kielce, Świętokrzyskie")</f>
        <v>street. King Casimir the Great, Czarnów Government, Kielce, Świętokrzyskie</v>
      </c>
      <c r="I333" s="1" t="b">
        <v>1</v>
      </c>
      <c r="J333" s="1" t="s">
        <v>21</v>
      </c>
      <c r="K333" s="1" t="s">
        <v>45</v>
      </c>
      <c r="L333" s="1" t="s">
        <v>1599</v>
      </c>
      <c r="M333" s="1">
        <v>2</v>
      </c>
      <c r="N333" s="1" t="s">
        <v>24</v>
      </c>
      <c r="O333" s="1" t="str">
        <f ca="1">IFERROR(__xludf.DUMMYFUNCTION("GOOGLETRANSLATE(N333,""pl"",""en"")"),"full ownership")</f>
        <v>full ownership</v>
      </c>
      <c r="P333" s="3" t="s">
        <v>1600</v>
      </c>
      <c r="Q333" s="1" t="b">
        <v>1</v>
      </c>
      <c r="R333" s="1" t="s">
        <v>1601</v>
      </c>
    </row>
    <row r="334" spans="1:18" x14ac:dyDescent="0.25">
      <c r="A334" s="2">
        <v>45173</v>
      </c>
      <c r="B334" s="1" t="s">
        <v>1602</v>
      </c>
      <c r="C334" s="1" t="str">
        <f ca="1">IFERROR(__xludf.DUMMYFUNCTION("GOOGLETRANSLATE(B334,""pl"",""en"")"),"Apartment 2 rooms 2 terraces")</f>
        <v>Apartment 2 rooms 2 terraces</v>
      </c>
      <c r="D334" s="1">
        <v>619000</v>
      </c>
      <c r="E334" s="1" t="s">
        <v>33</v>
      </c>
      <c r="F334" s="1">
        <v>46.07</v>
      </c>
      <c r="G334" s="1" t="s">
        <v>1603</v>
      </c>
      <c r="H334" s="1" t="str">
        <f ca="1">IFERROR(__xludf.DUMMYFUNCTION("GOOGLETRANSLATE(G334,""pl"",""en"")"),"street. Father Jerzy Popiełuszko, Wieniawa, Lublin, Lublin Voivodeship")</f>
        <v>street. Father Jerzy Popiełuszko, Wieniawa, Lublin, Lublin Voivodeship</v>
      </c>
      <c r="I334" s="1" t="s">
        <v>21</v>
      </c>
      <c r="J334" s="1" t="s">
        <v>21</v>
      </c>
      <c r="K334" s="1" t="s">
        <v>45</v>
      </c>
      <c r="L334" s="1" t="s">
        <v>1604</v>
      </c>
      <c r="M334" s="1">
        <v>2</v>
      </c>
      <c r="N334" s="1" t="s">
        <v>24</v>
      </c>
      <c r="O334" s="1" t="str">
        <f ca="1">IFERROR(__xludf.DUMMYFUNCTION("GOOGLETRANSLATE(N334,""pl"",""en"")"),"full ownership")</f>
        <v>full ownership</v>
      </c>
      <c r="P334" s="3" t="s">
        <v>1605</v>
      </c>
      <c r="Q334" s="1" t="b">
        <v>1</v>
      </c>
      <c r="R334" s="1" t="s">
        <v>1606</v>
      </c>
    </row>
    <row r="335" spans="1:18" x14ac:dyDescent="0.25">
      <c r="A335" s="2">
        <v>45173</v>
      </c>
      <c r="B335" s="1" t="s">
        <v>1607</v>
      </c>
      <c r="C335" s="1" t="str">
        <f ca="1">IFERROR(__xludf.DUMMYFUNCTION("GOOGLETRANSLATE(B335,""pl"",""en"")"),"Turnkey apartment 100 m to the beach, 4th stage")</f>
        <v>Turnkey apartment 100 m to the beach, 4th stage</v>
      </c>
      <c r="D335" s="1">
        <v>570670</v>
      </c>
      <c r="E335" s="1" t="s">
        <v>19</v>
      </c>
      <c r="F335" s="1">
        <v>38.299999999999997</v>
      </c>
      <c r="G335" s="1" t="s">
        <v>1608</v>
      </c>
      <c r="H335" s="1" t="str">
        <f ca="1">IFERROR(__xludf.DUMMYFUNCTION("GOOGLETRANSLATE(G335,""pl"",""en"")"),"Grzybowo, Kołobrzeg, Kołobrzeski, West Pomeranian Voivodeship")</f>
        <v>Grzybowo, Kołobrzeg, Kołobrzeski, West Pomeranian Voivodeship</v>
      </c>
      <c r="I335" s="1" t="s">
        <v>21</v>
      </c>
      <c r="J335" s="1" t="s">
        <v>21</v>
      </c>
      <c r="K335" s="1" t="s">
        <v>22</v>
      </c>
      <c r="L335" s="1" t="s">
        <v>1609</v>
      </c>
      <c r="M335" s="1">
        <v>2</v>
      </c>
      <c r="N335" s="1" t="s">
        <v>24</v>
      </c>
      <c r="O335" s="1" t="str">
        <f ca="1">IFERROR(__xludf.DUMMYFUNCTION("GOOGLETRANSLATE(N335,""pl"",""en"")"),"full ownership")</f>
        <v>full ownership</v>
      </c>
      <c r="P335" s="3" t="s">
        <v>1610</v>
      </c>
      <c r="Q335" s="1" t="b">
        <v>1</v>
      </c>
      <c r="R335" s="1" t="s">
        <v>1611</v>
      </c>
    </row>
    <row r="336" spans="1:18" x14ac:dyDescent="0.25">
      <c r="A336" s="2">
        <v>45173</v>
      </c>
      <c r="B336" s="1" t="s">
        <v>1612</v>
      </c>
      <c r="C336" s="1" t="str">
        <f ca="1">IFERROR(__xludf.DUMMYFUNCTION("GOOGLETRANSLATE(B336,""pl"",""en"")"),"Apartments of Jan Paweł/apartment 2 room 49.54m2")</f>
        <v>Apartments of Jan Paweł/apartment 2 room 49.54m2</v>
      </c>
      <c r="D336" s="1">
        <v>401274</v>
      </c>
      <c r="E336" s="1" t="s">
        <v>19</v>
      </c>
      <c r="F336" s="1">
        <v>49.54</v>
      </c>
      <c r="G336" s="1" t="s">
        <v>1613</v>
      </c>
      <c r="H336" s="1" t="str">
        <f ca="1">IFERROR(__xludf.DUMMYFUNCTION("GOOGLETRANSLATE(G336,""pl"",""en"")"),"Budziwój, Rzeszów, Podkarpackie")</f>
        <v>Budziwój, Rzeszów, Podkarpackie</v>
      </c>
      <c r="I336" s="1" t="s">
        <v>21</v>
      </c>
      <c r="J336" s="1" t="s">
        <v>21</v>
      </c>
      <c r="K336" s="1" t="s">
        <v>194</v>
      </c>
      <c r="L336" s="1" t="s">
        <v>1614</v>
      </c>
      <c r="M336" s="1">
        <v>3</v>
      </c>
      <c r="N336" s="1" t="s">
        <v>24</v>
      </c>
      <c r="O336" s="1" t="str">
        <f ca="1">IFERROR(__xludf.DUMMYFUNCTION("GOOGLETRANSLATE(N336,""pl"",""en"")"),"full ownership")</f>
        <v>full ownership</v>
      </c>
      <c r="P336" s="3" t="s">
        <v>1615</v>
      </c>
      <c r="Q336" s="1" t="b">
        <v>1</v>
      </c>
      <c r="R336" s="1" t="s">
        <v>1616</v>
      </c>
    </row>
    <row r="337" spans="1:18" x14ac:dyDescent="0.25">
      <c r="A337" s="2">
        <v>45173</v>
      </c>
      <c r="B337" s="1" t="s">
        <v>1607</v>
      </c>
      <c r="C337" s="1" t="str">
        <f ca="1">IFERROR(__xludf.DUMMYFUNCTION("GOOGLETRANSLATE(B337,""pl"",""en"")"),"Turnkey apartment 100 m to the beach, 4th stage")</f>
        <v>Turnkey apartment 100 m to the beach, 4th stage</v>
      </c>
      <c r="D337" s="1">
        <v>492892</v>
      </c>
      <c r="E337" s="1" t="s">
        <v>19</v>
      </c>
      <c r="F337" s="1">
        <v>33.08</v>
      </c>
      <c r="G337" s="1" t="s">
        <v>1608</v>
      </c>
      <c r="H337" s="1" t="str">
        <f ca="1">IFERROR(__xludf.DUMMYFUNCTION("GOOGLETRANSLATE(G337,""pl"",""en"")"),"Grzybowo, Kołobrzeg, Kołobrzeski, West Pomeranian Voivodeship")</f>
        <v>Grzybowo, Kołobrzeg, Kołobrzeski, West Pomeranian Voivodeship</v>
      </c>
      <c r="I337" s="1" t="s">
        <v>21</v>
      </c>
      <c r="J337" s="1" t="s">
        <v>21</v>
      </c>
      <c r="K337" s="1" t="s">
        <v>22</v>
      </c>
      <c r="L337" s="1" t="s">
        <v>1617</v>
      </c>
      <c r="M337" s="1">
        <v>2</v>
      </c>
      <c r="N337" s="1" t="s">
        <v>24</v>
      </c>
      <c r="O337" s="1" t="str">
        <f ca="1">IFERROR(__xludf.DUMMYFUNCTION("GOOGLETRANSLATE(N337,""pl"",""en"")"),"full ownership")</f>
        <v>full ownership</v>
      </c>
      <c r="P337" s="3" t="s">
        <v>1618</v>
      </c>
      <c r="Q337" s="1" t="b">
        <v>1</v>
      </c>
      <c r="R337" s="1" t="s">
        <v>1619</v>
      </c>
    </row>
    <row r="338" spans="1:18" x14ac:dyDescent="0.25">
      <c r="A338" s="2">
        <v>45173</v>
      </c>
      <c r="B338" s="1" t="s">
        <v>1620</v>
      </c>
      <c r="C338" s="1" t="str">
        <f ca="1">IFERROR(__xludf.DUMMYFUNCTION("GOOGLETRANSLATE(B338,""pl"",""en"")"),"Apartment 3-room eye of the Karkonosze")</f>
        <v>Apartment 3-room eye of the Karkonosze</v>
      </c>
      <c r="D338" s="1">
        <v>487000</v>
      </c>
      <c r="E338" s="1" t="s">
        <v>19</v>
      </c>
      <c r="F338" s="1">
        <v>57.37</v>
      </c>
      <c r="G338" s="1" t="s">
        <v>1621</v>
      </c>
      <c r="H338" s="1" t="str">
        <f ca="1">IFERROR(__xludf.DUMMYFUNCTION("GOOGLETRANSLATE(G338,""pl"",""en"")"),"street. Okopowa, Śródmieście, Jelenia Góra, DolnoSilesian Voivodeship")</f>
        <v>street. Okopowa, Śródmieście, Jelenia Góra, DolnoSilesian Voivodeship</v>
      </c>
      <c r="I338" s="1" t="b">
        <v>1</v>
      </c>
      <c r="J338" s="1" t="s">
        <v>21</v>
      </c>
      <c r="K338" s="1" t="s">
        <v>194</v>
      </c>
      <c r="L338" s="1" t="s">
        <v>1622</v>
      </c>
      <c r="M338" s="1">
        <v>3</v>
      </c>
      <c r="N338" s="1" t="s">
        <v>24</v>
      </c>
      <c r="O338" s="1" t="str">
        <f ca="1">IFERROR(__xludf.DUMMYFUNCTION("GOOGLETRANSLATE(N338,""pl"",""en"")"),"full ownership")</f>
        <v>full ownership</v>
      </c>
      <c r="P338" s="3" t="s">
        <v>1623</v>
      </c>
      <c r="Q338" s="1" t="b">
        <v>1</v>
      </c>
      <c r="R338" s="1" t="s">
        <v>1624</v>
      </c>
    </row>
    <row r="339" spans="1:18" x14ac:dyDescent="0.25">
      <c r="A339" s="2">
        <v>45173</v>
      </c>
      <c r="B339" s="1" t="s">
        <v>1625</v>
      </c>
      <c r="C339" s="1" t="str">
        <f ca="1">IFERROR(__xludf.DUMMYFUNCTION("GOOGLETRANSLATE(B339,""pl"",""en"")"),"Apartment for connoisseurs !! At the foot of Wawel!")</f>
        <v>Apartment for connoisseurs !! At the foot of Wawel!</v>
      </c>
      <c r="D339" s="1">
        <v>2492000</v>
      </c>
      <c r="E339" s="1" t="s">
        <v>33</v>
      </c>
      <c r="F339" s="1">
        <v>56</v>
      </c>
      <c r="G339" s="1" t="s">
        <v>4752</v>
      </c>
      <c r="H339" s="1" t="str">
        <f ca="1">IFERROR(__xludf.DUMMYFUNCTION("GOOGLETRANSLATE(G339,""pl"",""en"")"),"street. Sukiennicza, Stradom, Old Town, Kraków, Lesser Poland")</f>
        <v>street. Sukiennicza, Stradom, Old Town, Kraków, Lesser Poland</v>
      </c>
      <c r="I339" s="1" t="s">
        <v>21</v>
      </c>
      <c r="J339" s="1" t="s">
        <v>21</v>
      </c>
      <c r="K339" s="1" t="s">
        <v>22</v>
      </c>
      <c r="L339" s="1" t="s">
        <v>1626</v>
      </c>
      <c r="M339" s="1">
        <v>2</v>
      </c>
      <c r="N339" s="1" t="s">
        <v>24</v>
      </c>
      <c r="O339" s="1" t="str">
        <f ca="1">IFERROR(__xludf.DUMMYFUNCTION("GOOGLETRANSLATE(N339,""pl"",""en"")"),"full ownership")</f>
        <v>full ownership</v>
      </c>
      <c r="P339" s="3" t="s">
        <v>1627</v>
      </c>
      <c r="Q339" s="1" t="b">
        <v>1</v>
      </c>
      <c r="R339" s="1" t="s">
        <v>1628</v>
      </c>
    </row>
    <row r="340" spans="1:18" x14ac:dyDescent="0.25">
      <c r="A340" s="2">
        <v>45173</v>
      </c>
      <c r="B340" s="1" t="s">
        <v>1629</v>
      </c>
      <c r="C340" s="1" t="str">
        <f ca="1">IFERROR(__xludf.DUMMYFUNCTION("GOOGLETRANSLATE(B340,""pl"",""en"")"),"4 rooms in the very center / large balcony / 66m2")</f>
        <v>4 rooms in the very center / large balcony / 66m2</v>
      </c>
      <c r="D340" s="1">
        <v>368000</v>
      </c>
      <c r="E340" s="1" t="s">
        <v>33</v>
      </c>
      <c r="F340" s="1">
        <v>66</v>
      </c>
      <c r="G340" s="1" t="s">
        <v>1630</v>
      </c>
      <c r="H340" s="1" t="str">
        <f ca="1">IFERROR(__xludf.DUMMYFUNCTION("GOOGLETRANSLATE(G340,""pl"",""en"")"),"Koniecpol, Koniecpol, Częstochowski, Silesian Voivodeship")</f>
        <v>Koniecpol, Koniecpol, Częstochowski, Silesian Voivodeship</v>
      </c>
      <c r="I340" s="1" t="s">
        <v>21</v>
      </c>
      <c r="J340" s="1" t="s">
        <v>21</v>
      </c>
      <c r="K340" s="1" t="s">
        <v>22</v>
      </c>
      <c r="L340" s="1" t="s">
        <v>1631</v>
      </c>
      <c r="M340" s="1">
        <v>4</v>
      </c>
      <c r="N340" s="1" t="s">
        <v>24</v>
      </c>
      <c r="O340" s="1" t="str">
        <f ca="1">IFERROR(__xludf.DUMMYFUNCTION("GOOGLETRANSLATE(N340,""pl"",""en"")"),"full ownership")</f>
        <v>full ownership</v>
      </c>
      <c r="P340" s="3" t="s">
        <v>1632</v>
      </c>
      <c r="Q340" s="1" t="b">
        <v>1</v>
      </c>
      <c r="R340" s="1" t="s">
        <v>1633</v>
      </c>
    </row>
    <row r="341" spans="1:18" x14ac:dyDescent="0.25">
      <c r="A341" s="2">
        <v>45173</v>
      </c>
      <c r="B341" s="1" t="s">
        <v>1634</v>
      </c>
      <c r="C341" s="1" t="str">
        <f ca="1">IFERROR(__xludf.DUMMYFUNCTION("GOOGLETRANSLATE(B341,""pl"",""en"")"),"Pinea Invest at the sea")</f>
        <v>Pinea Invest at the sea</v>
      </c>
      <c r="D341" s="1">
        <v>816060</v>
      </c>
      <c r="E341" s="1" t="s">
        <v>19</v>
      </c>
      <c r="F341" s="1">
        <v>38.86</v>
      </c>
      <c r="G341" s="1" t="s">
        <v>1635</v>
      </c>
      <c r="H341" s="1" t="str">
        <f ca="1">IFERROR(__xludf.DUMMYFUNCTION("GOOGLETRANSLATE(G341,""pl"",""en"")"),"Pobierowo, Rewal, Gryficki, West Pomeranian Voivodeship")</f>
        <v>Pobierowo, Rewal, Gryficki, West Pomeranian Voivodeship</v>
      </c>
      <c r="I341" s="1" t="s">
        <v>21</v>
      </c>
      <c r="J341" s="1" t="s">
        <v>21</v>
      </c>
      <c r="K341" s="1" t="s">
        <v>194</v>
      </c>
      <c r="L341" s="1" t="s">
        <v>1636</v>
      </c>
      <c r="M341" s="1">
        <v>2</v>
      </c>
      <c r="N341" s="1" t="s">
        <v>24</v>
      </c>
      <c r="O341" s="1" t="str">
        <f ca="1">IFERROR(__xludf.DUMMYFUNCTION("GOOGLETRANSLATE(N341,""pl"",""en"")"),"full ownership")</f>
        <v>full ownership</v>
      </c>
      <c r="P341" s="3" t="s">
        <v>1637</v>
      </c>
      <c r="Q341" s="1" t="b">
        <v>1</v>
      </c>
      <c r="R341" s="1" t="s">
        <v>1638</v>
      </c>
    </row>
    <row r="342" spans="1:18" x14ac:dyDescent="0.25">
      <c r="A342" s="2">
        <v>45173</v>
      </c>
      <c r="B342" s="1" t="s">
        <v>1639</v>
      </c>
      <c r="C342" s="1" t="str">
        <f ca="1">IFERROR(__xludf.DUMMYFUNCTION("GOOGLETRANSLATE(B342,""pl"",""en"")"),"Apartment, ul. Orange near ZTM")</f>
        <v>Apartment, ul. Orange near ZTM</v>
      </c>
      <c r="D342" s="1">
        <v>499000</v>
      </c>
      <c r="E342" s="1" t="s">
        <v>19</v>
      </c>
      <c r="F342" s="1">
        <v>53.02</v>
      </c>
      <c r="G342" s="1" t="s">
        <v>1640</v>
      </c>
      <c r="H342" s="1" t="str">
        <f ca="1">IFERROR(__xludf.DUMMYFUNCTION("GOOGLETRANSLATE(G342,""pl"",""en"")"),"street. Orange, brands, Wołomiński, Masovian Voivodeship")</f>
        <v>street. Orange, brands, Wołomiński, Masovian Voivodeship</v>
      </c>
      <c r="I342" s="1" t="s">
        <v>21</v>
      </c>
      <c r="J342" s="1" t="s">
        <v>21</v>
      </c>
      <c r="K342" s="1" t="s">
        <v>22</v>
      </c>
      <c r="L342" s="1" t="s">
        <v>1641</v>
      </c>
      <c r="M342" s="1">
        <v>2</v>
      </c>
      <c r="N342" s="1" t="s">
        <v>24</v>
      </c>
      <c r="O342" s="1" t="str">
        <f ca="1">IFERROR(__xludf.DUMMYFUNCTION("GOOGLETRANSLATE(N342,""pl"",""en"")"),"full ownership")</f>
        <v>full ownership</v>
      </c>
      <c r="P342" s="3" t="s">
        <v>1642</v>
      </c>
      <c r="Q342" s="1" t="b">
        <v>1</v>
      </c>
      <c r="R342" s="1" t="s">
        <v>1643</v>
      </c>
    </row>
    <row r="343" spans="1:18" x14ac:dyDescent="0.25">
      <c r="A343" s="2">
        <v>45173</v>
      </c>
      <c r="B343" s="1" t="s">
        <v>1644</v>
      </c>
      <c r="C343" s="1" t="str">
        <f ca="1">IFERROR(__xludf.DUMMYFUNCTION("GOOGLETRANSLATE(B343,""pl"",""en"")"),"Beautiful new home loan 2% possible separate office")</f>
        <v>Beautiful new home loan 2% possible separate office</v>
      </c>
      <c r="D343" s="1">
        <v>839000</v>
      </c>
      <c r="E343" s="1" t="s">
        <v>33</v>
      </c>
      <c r="F343" s="1">
        <v>141</v>
      </c>
      <c r="G343" s="1" t="s">
        <v>4753</v>
      </c>
      <c r="H343" s="1" t="str">
        <f ca="1">IFERROR(__xludf.DUMMYFUNCTION("GOOGLETRANSLATE(G343,""pl"",""en"")"),"Oborniki, Oborniki, Obornicki, Greater Poland")</f>
        <v>Oborniki, Oborniki, Obornicki, Greater Poland</v>
      </c>
      <c r="I343" s="1" t="b">
        <v>1</v>
      </c>
      <c r="J343" s="1" t="s">
        <v>21</v>
      </c>
      <c r="K343" s="1" t="s">
        <v>22</v>
      </c>
      <c r="L343" s="1" t="s">
        <v>1645</v>
      </c>
      <c r="M343" s="1">
        <v>3</v>
      </c>
      <c r="N343" s="1" t="s">
        <v>21</v>
      </c>
      <c r="O343" s="1" t="str">
        <f ca="1">IFERROR(__xludf.DUMMYFUNCTION("GOOGLETRANSLATE(N343,""pl"",""en"")"),"null")</f>
        <v>null</v>
      </c>
      <c r="P343" s="3" t="s">
        <v>1646</v>
      </c>
      <c r="Q343" s="1" t="b">
        <v>1</v>
      </c>
      <c r="R343" s="1" t="s">
        <v>1647</v>
      </c>
    </row>
    <row r="344" spans="1:18" x14ac:dyDescent="0.25">
      <c r="A344" s="2">
        <v>45173</v>
      </c>
      <c r="B344" s="1" t="s">
        <v>1648</v>
      </c>
      <c r="C344" s="1" t="str">
        <f ca="1">IFERROR(__xludf.DUMMYFUNCTION("GOOGLETRANSLATE(B344,""pl"",""en"")"),"Pension after the renovation of Wisła.")</f>
        <v>Pension after the renovation of Wisła.</v>
      </c>
      <c r="D344" s="1">
        <v>1549000</v>
      </c>
      <c r="E344" s="1" t="s">
        <v>33</v>
      </c>
      <c r="F344" s="1">
        <v>450</v>
      </c>
      <c r="G344" s="1" t="s">
        <v>1649</v>
      </c>
      <c r="H344" s="1" t="str">
        <f ca="1">IFERROR(__xludf.DUMMYFUNCTION("GOOGLETRANSLATE(G344,""pl"",""en"")"),"Wisła, Cieszyński, Silesian Voivodeship")</f>
        <v>Wisła, Cieszyński, Silesian Voivodeship</v>
      </c>
      <c r="I344" s="1" t="b">
        <v>1</v>
      </c>
      <c r="J344" s="1" t="s">
        <v>21</v>
      </c>
      <c r="K344" s="1" t="s">
        <v>22</v>
      </c>
      <c r="L344" s="1" t="s">
        <v>1650</v>
      </c>
      <c r="M344" s="1">
        <v>8</v>
      </c>
      <c r="N344" s="1" t="s">
        <v>21</v>
      </c>
      <c r="O344" s="1" t="str">
        <f ca="1">IFERROR(__xludf.DUMMYFUNCTION("GOOGLETRANSLATE(N344,""pl"",""en"")"),"null")</f>
        <v>null</v>
      </c>
      <c r="P344" s="3" t="s">
        <v>1651</v>
      </c>
      <c r="Q344" s="1" t="b">
        <v>1</v>
      </c>
      <c r="R344" s="1" t="s">
        <v>1652</v>
      </c>
    </row>
    <row r="345" spans="1:18" x14ac:dyDescent="0.25">
      <c r="A345" s="2">
        <v>45173</v>
      </c>
      <c r="B345" s="1" t="s">
        <v>1653</v>
      </c>
      <c r="C345" s="1" t="str">
        <f ca="1">IFERROR(__xludf.DUMMYFUNCTION("GOOGLETRANSLATE(B345,""pl"",""en"")"),"Apartment at Tre Mare Jelitkowo beach")</f>
        <v>Apartment at Tre Mare Jelitkowo beach</v>
      </c>
      <c r="D345" s="1">
        <v>1344000</v>
      </c>
      <c r="E345" s="1" t="s">
        <v>33</v>
      </c>
      <c r="F345" s="1">
        <v>42.03</v>
      </c>
      <c r="G345" s="1" t="s">
        <v>1654</v>
      </c>
      <c r="H345" s="1" t="str">
        <f ca="1">IFERROR(__xludf.DUMMYFUNCTION("GOOGLETRANSLATE(G345,""pl"",""en"")"),"street. Jelitkowska, Jelitkowo, Gdańsk, Pomeranian Voivodeship")</f>
        <v>street. Jelitkowska, Jelitkowo, Gdańsk, Pomeranian Voivodeship</v>
      </c>
      <c r="I345" s="1" t="s">
        <v>21</v>
      </c>
      <c r="J345" s="1" t="s">
        <v>21</v>
      </c>
      <c r="K345" s="1" t="s">
        <v>22</v>
      </c>
      <c r="L345" s="1" t="s">
        <v>1655</v>
      </c>
      <c r="M345" s="1">
        <v>2</v>
      </c>
      <c r="N345" s="1" t="s">
        <v>24</v>
      </c>
      <c r="O345" s="1" t="str">
        <f ca="1">IFERROR(__xludf.DUMMYFUNCTION("GOOGLETRANSLATE(N345,""pl"",""en"")"),"full ownership")</f>
        <v>full ownership</v>
      </c>
      <c r="P345" s="3" t="s">
        <v>1656</v>
      </c>
      <c r="Q345" s="1" t="b">
        <v>1</v>
      </c>
      <c r="R345" s="1" t="s">
        <v>1657</v>
      </c>
    </row>
    <row r="346" spans="1:18" x14ac:dyDescent="0.25">
      <c r="A346" s="2">
        <v>45173</v>
      </c>
      <c r="B346" s="1" t="s">
        <v>1658</v>
      </c>
      <c r="C346" s="1" t="str">
        <f ca="1">IFERROR(__xludf.DUMMYFUNCTION("GOOGLETRANSLATE(B346,""pl"",""en"")"),"60 m 2, 1st floor, 3 PKOJE")</f>
        <v>60 m 2, 1st floor, 3 PKOJE</v>
      </c>
      <c r="D346" s="1">
        <v>355000</v>
      </c>
      <c r="E346" s="1" t="s">
        <v>33</v>
      </c>
      <c r="F346" s="1">
        <v>60</v>
      </c>
      <c r="G346" s="1" t="s">
        <v>4845</v>
      </c>
      <c r="H346" s="1" t="str">
        <f ca="1">IFERROR(__xludf.DUMMYFUNCTION("GOOGLETRANSLATE(G346,""pl"",""en"")"),"Żary, Żarski, Lubusz Voivodeship")</f>
        <v>Żary, Żarski, Lubusz Voivodeship</v>
      </c>
      <c r="I346" s="1" t="s">
        <v>21</v>
      </c>
      <c r="J346" s="1" t="s">
        <v>21</v>
      </c>
      <c r="K346" s="1" t="s">
        <v>22</v>
      </c>
      <c r="L346" s="1" t="s">
        <v>1659</v>
      </c>
      <c r="M346" s="1">
        <v>3</v>
      </c>
      <c r="N346" s="1" t="s">
        <v>24</v>
      </c>
      <c r="O346" s="1" t="str">
        <f ca="1">IFERROR(__xludf.DUMMYFUNCTION("GOOGLETRANSLATE(N346,""pl"",""en"")"),"full ownership")</f>
        <v>full ownership</v>
      </c>
      <c r="P346" s="3" t="s">
        <v>1660</v>
      </c>
      <c r="Q346" s="1" t="b">
        <v>1</v>
      </c>
      <c r="R346" s="1" t="s">
        <v>1661</v>
      </c>
    </row>
    <row r="347" spans="1:18" x14ac:dyDescent="0.25">
      <c r="A347" s="2">
        <v>45173</v>
      </c>
      <c r="B347" s="1" t="s">
        <v>1662</v>
      </c>
      <c r="C347" s="1" t="str">
        <f ca="1">IFERROR(__xludf.DUMMYFUNCTION("GOOGLETRANSLATE(B347,""pl"",""en"")"),"4 rooms with a large balcony for Jagodno")</f>
        <v>4 rooms with a large balcony for Jagodno</v>
      </c>
      <c r="D347" s="1">
        <v>636900</v>
      </c>
      <c r="E347" s="1" t="s">
        <v>19</v>
      </c>
      <c r="F347" s="1">
        <v>59.43</v>
      </c>
      <c r="G347" s="1" t="s">
        <v>1663</v>
      </c>
      <c r="H347" s="1" t="str">
        <f ca="1">IFERROR(__xludf.DUMMYFUNCTION("GOOGLETRANSLATE(G347,""pl"",""en"")"),"street. BUFOROWA, JAGODNO, Krzyki, Wrocław, DolnoSilesian Voivodeship")</f>
        <v>street. BUFOROWA, JAGODNO, Krzyki, Wrocław, DolnoSilesian Voivodeship</v>
      </c>
      <c r="I347" s="1" t="s">
        <v>21</v>
      </c>
      <c r="J347" s="1" t="s">
        <v>21</v>
      </c>
      <c r="K347" s="1" t="s">
        <v>22</v>
      </c>
      <c r="L347" s="1" t="s">
        <v>1664</v>
      </c>
      <c r="M347" s="1">
        <v>4</v>
      </c>
      <c r="N347" s="1" t="s">
        <v>24</v>
      </c>
      <c r="O347" s="1" t="str">
        <f ca="1">IFERROR(__xludf.DUMMYFUNCTION("GOOGLETRANSLATE(N347,""pl"",""en"")"),"full ownership")</f>
        <v>full ownership</v>
      </c>
      <c r="P347" s="3" t="s">
        <v>1665</v>
      </c>
      <c r="Q347" s="1" t="b">
        <v>1</v>
      </c>
      <c r="R347" s="1" t="s">
        <v>1666</v>
      </c>
    </row>
    <row r="348" spans="1:18" x14ac:dyDescent="0.25">
      <c r="A348" s="2">
        <v>45173</v>
      </c>
      <c r="B348" s="1" t="s">
        <v>1667</v>
      </c>
      <c r="C348" s="1" t="str">
        <f ca="1">IFERROR(__xludf.DUMMYFUNCTION("GOOGLETRANSLATE(B348,""pl"",""en"")"),"Apartment in Stary Żoliborz")</f>
        <v>Apartment in Stary Żoliborz</v>
      </c>
      <c r="D348" s="1">
        <v>2450000</v>
      </c>
      <c r="E348" s="1" t="s">
        <v>33</v>
      </c>
      <c r="F348" s="1">
        <v>98</v>
      </c>
      <c r="G348" s="1" t="s">
        <v>1668</v>
      </c>
      <c r="H348" s="1" t="str">
        <f ca="1">IFERROR(__xludf.DUMMYFUNCTION("GOOGLETRANSLATE(G348,""pl"",""en"")"),"street. General Józef Zajączka, Stary Żoliborz, Żoliborz, Warsaw, Masovian Voivodeship")</f>
        <v>street. General Józef Zajączka, Stary Żoliborz, Żoliborz, Warsaw, Masovian Voivodeship</v>
      </c>
      <c r="I348" s="1" t="b">
        <v>1</v>
      </c>
      <c r="J348" s="1" t="s">
        <v>21</v>
      </c>
      <c r="K348" s="1" t="s">
        <v>45</v>
      </c>
      <c r="L348" s="1" t="s">
        <v>1669</v>
      </c>
      <c r="M348" s="1">
        <v>4</v>
      </c>
      <c r="N348" s="1" t="s">
        <v>24</v>
      </c>
      <c r="O348" s="1" t="str">
        <f ca="1">IFERROR(__xludf.DUMMYFUNCTION("GOOGLETRANSLATE(N348,""pl"",""en"")"),"full ownership")</f>
        <v>full ownership</v>
      </c>
      <c r="P348" s="3" t="s">
        <v>1670</v>
      </c>
      <c r="Q348" s="1" t="b">
        <v>1</v>
      </c>
      <c r="R348" s="1" t="s">
        <v>1671</v>
      </c>
    </row>
    <row r="349" spans="1:18" x14ac:dyDescent="0.25">
      <c r="A349" s="2">
        <v>45173</v>
      </c>
      <c r="B349" s="1" t="s">
        <v>1672</v>
      </c>
      <c r="C349" s="1" t="str">
        <f ca="1">IFERROR(__xludf.DUMMYFUNCTION("GOOGLETRANSLATE(B349,""pl"",""en"")"),"For a single, with a balcony and a beautiful view of water")</f>
        <v>For a single, with a balcony and a beautiful view of water</v>
      </c>
      <c r="D349" s="1">
        <v>369000</v>
      </c>
      <c r="E349" s="1" t="s">
        <v>33</v>
      </c>
      <c r="F349" s="1">
        <v>19.78</v>
      </c>
      <c r="G349" s="1" t="s">
        <v>1327</v>
      </c>
      <c r="H349" s="1" t="str">
        <f ca="1">IFERROR(__xludf.DUMMYFUNCTION("GOOGLETRANSLATE(G349,""pl"",""en"")"),"Świnoujście, ZachodnioPomeranian Voivodeship")</f>
        <v>Świnoujście, ZachodnioPomeranian Voivodeship</v>
      </c>
      <c r="I349" s="1" t="s">
        <v>21</v>
      </c>
      <c r="J349" s="1" t="s">
        <v>21</v>
      </c>
      <c r="K349" s="1" t="s">
        <v>22</v>
      </c>
      <c r="L349" s="1" t="s">
        <v>1673</v>
      </c>
      <c r="M349" s="1">
        <v>1</v>
      </c>
      <c r="N349" s="1" t="s">
        <v>24</v>
      </c>
      <c r="O349" s="1" t="str">
        <f ca="1">IFERROR(__xludf.DUMMYFUNCTION("GOOGLETRANSLATE(N349,""pl"",""en"")"),"full ownership")</f>
        <v>full ownership</v>
      </c>
      <c r="P349" s="3" t="s">
        <v>1674</v>
      </c>
      <c r="Q349" s="1" t="b">
        <v>1</v>
      </c>
      <c r="R349" s="1" t="s">
        <v>1675</v>
      </c>
    </row>
    <row r="350" spans="1:18" x14ac:dyDescent="0.25">
      <c r="A350" s="2">
        <v>45173</v>
      </c>
      <c r="B350" s="1" t="s">
        <v>1676</v>
      </c>
      <c r="C350" s="1" t="str">
        <f ca="1">IFERROR(__xludf.DUMMYFUNCTION("GOOGLETRANSLATE(B350,""pl"",""en"")"),"4 rooms with balcony/60m2/ski")</f>
        <v>4 rooms with balcony/60m2/ski</v>
      </c>
      <c r="D350" s="1">
        <v>569000</v>
      </c>
      <c r="E350" s="1" t="s">
        <v>33</v>
      </c>
      <c r="F350" s="1">
        <v>59.5</v>
      </c>
      <c r="G350" s="1" t="s">
        <v>1677</v>
      </c>
      <c r="H350" s="1" t="str">
        <f ca="1">IFERROR(__xludf.DUMMYFUNCTION("GOOGLETRANSLATE(G350,""pl"",""en"")"),"street. Ski, Karolew, Polesie, Łódź, Łódź")</f>
        <v>street. Ski, Karolew, Polesie, Łódź, Łódź</v>
      </c>
      <c r="I350" s="1" t="s">
        <v>21</v>
      </c>
      <c r="J350" s="1" t="s">
        <v>21</v>
      </c>
      <c r="K350" s="1" t="s">
        <v>22</v>
      </c>
      <c r="L350" s="1" t="s">
        <v>1678</v>
      </c>
      <c r="M350" s="1">
        <v>4</v>
      </c>
      <c r="N350" s="1" t="s">
        <v>24</v>
      </c>
      <c r="O350" s="1" t="str">
        <f ca="1">IFERROR(__xludf.DUMMYFUNCTION("GOOGLETRANSLATE(N350,""pl"",""en"")"),"full ownership")</f>
        <v>full ownership</v>
      </c>
      <c r="P350" s="3" t="s">
        <v>1679</v>
      </c>
      <c r="Q350" s="1" t="b">
        <v>1</v>
      </c>
      <c r="R350" s="1" t="s">
        <v>1680</v>
      </c>
    </row>
    <row r="351" spans="1:18" x14ac:dyDescent="0.25">
      <c r="A351" s="2">
        <v>45173</v>
      </c>
      <c r="B351" s="1" t="s">
        <v>1634</v>
      </c>
      <c r="C351" s="1" t="str">
        <f ca="1">IFERROR(__xludf.DUMMYFUNCTION("GOOGLETRANSLATE(B351,""pl"",""en"")"),"Pinea Invest at the sea")</f>
        <v>Pinea Invest at the sea</v>
      </c>
      <c r="D351" s="1">
        <v>921272</v>
      </c>
      <c r="E351" s="1" t="s">
        <v>19</v>
      </c>
      <c r="F351" s="1">
        <v>44.08</v>
      </c>
      <c r="G351" s="1" t="s">
        <v>1635</v>
      </c>
      <c r="H351" s="1" t="str">
        <f ca="1">IFERROR(__xludf.DUMMYFUNCTION("GOOGLETRANSLATE(G351,""pl"",""en"")"),"Pobierowo, Rewal, Gryficki, West Pomeranian Voivodeship")</f>
        <v>Pobierowo, Rewal, Gryficki, West Pomeranian Voivodeship</v>
      </c>
      <c r="I351" s="1" t="s">
        <v>21</v>
      </c>
      <c r="J351" s="1" t="s">
        <v>21</v>
      </c>
      <c r="K351" s="1" t="s">
        <v>194</v>
      </c>
      <c r="L351" s="1" t="s">
        <v>1681</v>
      </c>
      <c r="M351" s="1">
        <v>2</v>
      </c>
      <c r="N351" s="1" t="s">
        <v>24</v>
      </c>
      <c r="O351" s="1" t="str">
        <f ca="1">IFERROR(__xludf.DUMMYFUNCTION("GOOGLETRANSLATE(N351,""pl"",""en"")"),"full ownership")</f>
        <v>full ownership</v>
      </c>
      <c r="P351" s="3" t="s">
        <v>1682</v>
      </c>
      <c r="Q351" s="1" t="b">
        <v>1</v>
      </c>
      <c r="R351" s="1" t="s">
        <v>1683</v>
      </c>
    </row>
    <row r="352" spans="1:18" x14ac:dyDescent="0.25">
      <c r="A352" s="2">
        <v>45173</v>
      </c>
      <c r="B352" s="1" t="s">
        <v>1684</v>
      </c>
      <c r="C352" s="1" t="str">
        <f ca="1">IFERROR(__xludf.DUMMYFUNCTION("GOOGLETRANSLATE(B352,""pl"",""en"")"),"2 -room apartment in Dune, Mielno, 20m from the beach")</f>
        <v>2 -room apartment in Dune, Mielno, 20m from the beach</v>
      </c>
      <c r="D352" s="1">
        <v>1744665</v>
      </c>
      <c r="E352" s="1" t="s">
        <v>33</v>
      </c>
      <c r="F352" s="1">
        <v>58.35</v>
      </c>
      <c r="G352" s="1" t="s">
        <v>1685</v>
      </c>
      <c r="H352" s="1" t="str">
        <f ca="1">IFERROR(__xludf.DUMMYFUNCTION("GOOGLETRANSLATE(G352,""pl"",""en"")"),"street. Pioneers, Mielno, Mielno, Koszaliński, West Pomeranian Voivodeship")</f>
        <v>street. Pioneers, Mielno, Mielno, Koszaliński, West Pomeranian Voivodeship</v>
      </c>
      <c r="I352" s="1" t="s">
        <v>21</v>
      </c>
      <c r="J352" s="1" t="s">
        <v>21</v>
      </c>
      <c r="K352" s="1" t="s">
        <v>22</v>
      </c>
      <c r="L352" s="1" t="s">
        <v>1686</v>
      </c>
      <c r="M352" s="1">
        <v>2</v>
      </c>
      <c r="N352" s="1" t="s">
        <v>24</v>
      </c>
      <c r="O352" s="1" t="str">
        <f ca="1">IFERROR(__xludf.DUMMYFUNCTION("GOOGLETRANSLATE(N352,""pl"",""en"")"),"full ownership")</f>
        <v>full ownership</v>
      </c>
      <c r="P352" s="3" t="s">
        <v>1687</v>
      </c>
      <c r="Q352" s="1" t="b">
        <v>1</v>
      </c>
      <c r="R352" s="1" t="s">
        <v>1688</v>
      </c>
    </row>
    <row r="353" spans="1:18" x14ac:dyDescent="0.25">
      <c r="A353" s="2">
        <v>45173</v>
      </c>
      <c r="B353" s="1" t="s">
        <v>1607</v>
      </c>
      <c r="C353" s="1" t="str">
        <f ca="1">IFERROR(__xludf.DUMMYFUNCTION("GOOGLETRANSLATE(B353,""pl"",""en"")"),"Turnkey apartment 100 m to the beach, 4th stage")</f>
        <v>Turnkey apartment 100 m to the beach, 4th stage</v>
      </c>
      <c r="D353" s="1">
        <v>636379</v>
      </c>
      <c r="E353" s="1" t="s">
        <v>19</v>
      </c>
      <c r="F353" s="1">
        <v>42.71</v>
      </c>
      <c r="G353" s="1" t="s">
        <v>1608</v>
      </c>
      <c r="H353" s="1" t="str">
        <f ca="1">IFERROR(__xludf.DUMMYFUNCTION("GOOGLETRANSLATE(G353,""pl"",""en"")"),"Grzybowo, Kołobrzeg, Kołobrzeski, West Pomeranian Voivodeship")</f>
        <v>Grzybowo, Kołobrzeg, Kołobrzeski, West Pomeranian Voivodeship</v>
      </c>
      <c r="I353" s="1" t="s">
        <v>21</v>
      </c>
      <c r="J353" s="1" t="s">
        <v>21</v>
      </c>
      <c r="K353" s="1" t="s">
        <v>22</v>
      </c>
      <c r="L353" s="1" t="s">
        <v>1689</v>
      </c>
      <c r="M353" s="1">
        <v>2</v>
      </c>
      <c r="N353" s="1" t="s">
        <v>24</v>
      </c>
      <c r="O353" s="1" t="str">
        <f ca="1">IFERROR(__xludf.DUMMYFUNCTION("GOOGLETRANSLATE(N353,""pl"",""en"")"),"full ownership")</f>
        <v>full ownership</v>
      </c>
      <c r="P353" s="3" t="s">
        <v>1690</v>
      </c>
      <c r="Q353" s="1" t="b">
        <v>1</v>
      </c>
      <c r="R353" s="1" t="s">
        <v>1691</v>
      </c>
    </row>
    <row r="354" spans="1:18" x14ac:dyDescent="0.25">
      <c r="A354" s="2">
        <v>45173</v>
      </c>
      <c r="B354" s="1" t="s">
        <v>1692</v>
      </c>
      <c r="C354" s="1" t="str">
        <f ca="1">IFERROR(__xludf.DUMMYFUNCTION("GOOGLETRANSLATE(B354,""pl"",""en"")"),"We offer you the highest standard in Żywiec!")</f>
        <v>We offer you the highest standard in Żywiec!</v>
      </c>
      <c r="D354" s="1">
        <v>526150</v>
      </c>
      <c r="E354" s="1" t="s">
        <v>19</v>
      </c>
      <c r="F354" s="1">
        <v>61.9</v>
      </c>
      <c r="G354" s="1" t="s">
        <v>1693</v>
      </c>
      <c r="H354" s="1" t="str">
        <f ca="1">IFERROR(__xludf.DUMMYFUNCTION("GOOGLETRANSLATE(G354,""pl"",""en"")"),"street. Świętokrzyska, Żywiec, Żywiec, Silesian Voivodeship")</f>
        <v>street. Świętokrzyska, Żywiec, Żywiec, Silesian Voivodeship</v>
      </c>
      <c r="I354" s="1" t="s">
        <v>21</v>
      </c>
      <c r="J354" s="1" t="s">
        <v>21</v>
      </c>
      <c r="K354" s="1" t="s">
        <v>22</v>
      </c>
      <c r="L354" s="1" t="s">
        <v>1694</v>
      </c>
      <c r="M354" s="1">
        <v>3</v>
      </c>
      <c r="N354" s="1" t="s">
        <v>24</v>
      </c>
      <c r="O354" s="1" t="str">
        <f ca="1">IFERROR(__xludf.DUMMYFUNCTION("GOOGLETRANSLATE(N354,""pl"",""en"")"),"full ownership")</f>
        <v>full ownership</v>
      </c>
      <c r="P354" s="3" t="s">
        <v>1695</v>
      </c>
      <c r="Q354" s="1" t="b">
        <v>1</v>
      </c>
      <c r="R354" s="1" t="s">
        <v>1696</v>
      </c>
    </row>
    <row r="355" spans="1:18" x14ac:dyDescent="0.25">
      <c r="A355" s="2">
        <v>45173</v>
      </c>
      <c r="B355" s="1" t="s">
        <v>1697</v>
      </c>
      <c r="C355" s="1" t="str">
        <f ca="1">IFERROR(__xludf.DUMMYFUNCTION("GOOGLETRANSLATE(B355,""pl"",""en"")"),"After a general renovation for 250,000")</f>
        <v>After a general renovation for 250,000</v>
      </c>
      <c r="D355" s="1">
        <v>699000</v>
      </c>
      <c r="E355" s="1" t="s">
        <v>33</v>
      </c>
      <c r="F355" s="1">
        <v>53.5</v>
      </c>
      <c r="G355" s="1" t="s">
        <v>1698</v>
      </c>
      <c r="H355" s="1" t="str">
        <f ca="1">IFERROR(__xludf.DUMMYFUNCTION("GOOGLETRANSLATE(G355,""pl"",""en"")"),"street. Bolesławicka, Bródno, Targówek, Warsaw, Masovian Voivodeship")</f>
        <v>street. Bolesławicka, Bródno, Targówek, Warsaw, Masovian Voivodeship</v>
      </c>
      <c r="I355" s="1" t="s">
        <v>21</v>
      </c>
      <c r="J355" s="1" t="s">
        <v>21</v>
      </c>
      <c r="K355" s="1" t="s">
        <v>22</v>
      </c>
      <c r="L355" s="1" t="s">
        <v>1699</v>
      </c>
      <c r="M355" s="1">
        <v>3</v>
      </c>
      <c r="N355" s="1" t="s">
        <v>85</v>
      </c>
      <c r="O355" s="1" t="str">
        <f ca="1">IFERROR(__xludf.DUMMYFUNCTION("GOOGLETRANSLATE(N355,""pl"",""en"")"),"Cooperative ownership of the right to the premises")</f>
        <v>Cooperative ownership of the right to the premises</v>
      </c>
      <c r="P355" s="3" t="s">
        <v>1700</v>
      </c>
      <c r="Q355" s="1" t="b">
        <v>1</v>
      </c>
      <c r="R355" s="1" t="s">
        <v>1701</v>
      </c>
    </row>
    <row r="356" spans="1:18" x14ac:dyDescent="0.25">
      <c r="A356" s="2">
        <v>45173</v>
      </c>
      <c r="B356" s="1" t="s">
        <v>1702</v>
      </c>
      <c r="C356" s="1" t="str">
        <f ca="1">IFERROR(__xludf.DUMMYFUNCTION("GOOGLETRANSLATE(B356,""pl"",""en"")"),"Apartment with a sea view, near Gdynia")</f>
        <v>Apartment with a sea view, near Gdynia</v>
      </c>
      <c r="D356" s="1">
        <v>653100</v>
      </c>
      <c r="E356" s="1" t="s">
        <v>19</v>
      </c>
      <c r="F356" s="1">
        <v>77</v>
      </c>
      <c r="G356" s="1" t="s">
        <v>1703</v>
      </c>
      <c r="H356" s="1" t="str">
        <f ca="1">IFERROR(__xludf.DUMMYFUNCTION("GOOGLETRANSLATE(G356,""pl"",""en"")"),"Tesoro gardens, Pogóra, Kosakowo, Pucki, Pomeranian")</f>
        <v>Tesoro gardens, Pogóra, Kosakowo, Pucki, Pomeranian</v>
      </c>
      <c r="I356" s="1" t="s">
        <v>21</v>
      </c>
      <c r="J356" s="1" t="s">
        <v>21</v>
      </c>
      <c r="K356" s="1" t="s">
        <v>22</v>
      </c>
      <c r="L356" s="1" t="s">
        <v>1704</v>
      </c>
      <c r="M356" s="1">
        <v>4</v>
      </c>
      <c r="N356" s="1" t="s">
        <v>24</v>
      </c>
      <c r="O356" s="1" t="str">
        <f ca="1">IFERROR(__xludf.DUMMYFUNCTION("GOOGLETRANSLATE(N356,""pl"",""en"")"),"full ownership")</f>
        <v>full ownership</v>
      </c>
      <c r="P356" s="3" t="s">
        <v>1705</v>
      </c>
      <c r="Q356" s="1" t="b">
        <v>1</v>
      </c>
      <c r="R356" s="1" t="s">
        <v>1706</v>
      </c>
    </row>
    <row r="357" spans="1:18" x14ac:dyDescent="0.25">
      <c r="A357" s="2">
        <v>45173</v>
      </c>
      <c r="B357" s="1" t="s">
        <v>1707</v>
      </c>
      <c r="C357" s="1" t="str">
        <f ca="1">IFERROR(__xludf.DUMMYFUNCTION("GOOGLETRANSLATE(B357,""pl"",""en"")"),"Apartment with a beautiful view of the culture of culture")</f>
        <v>Apartment with a beautiful view of the culture of culture</v>
      </c>
      <c r="D357" s="1">
        <v>2450000</v>
      </c>
      <c r="E357" s="1" t="s">
        <v>33</v>
      </c>
      <c r="F357" s="1">
        <v>86</v>
      </c>
      <c r="G357" s="1" t="s">
        <v>1708</v>
      </c>
      <c r="H357" s="1" t="str">
        <f ca="1">IFERROR(__xludf.DUMMYFUNCTION("GOOGLETRANSLATE(G357,""pl"",""en"")"),"pl. Plac Konstytucji, Śródmieście South, Śródmieście, Warsaw, Masovian Voivodeship")</f>
        <v>pl. Plac Konstytucji, Śródmieście South, Śródmieście, Warsaw, Masovian Voivodeship</v>
      </c>
      <c r="I357" s="1" t="b">
        <v>1</v>
      </c>
      <c r="J357" s="1" t="s">
        <v>21</v>
      </c>
      <c r="K357" s="1" t="s">
        <v>45</v>
      </c>
      <c r="L357" s="1" t="s">
        <v>1709</v>
      </c>
      <c r="M357" s="1">
        <v>3</v>
      </c>
      <c r="N357" s="1" t="s">
        <v>24</v>
      </c>
      <c r="O357" s="1" t="str">
        <f ca="1">IFERROR(__xludf.DUMMYFUNCTION("GOOGLETRANSLATE(N357,""pl"",""en"")"),"full ownership")</f>
        <v>full ownership</v>
      </c>
      <c r="P357" s="3" t="s">
        <v>1710</v>
      </c>
      <c r="Q357" s="1" t="b">
        <v>1</v>
      </c>
      <c r="R357" s="1" t="s">
        <v>1711</v>
      </c>
    </row>
    <row r="358" spans="1:18" x14ac:dyDescent="0.25">
      <c r="A358" s="2">
        <v>45173</v>
      </c>
      <c r="B358" s="1" t="s">
        <v>1712</v>
      </c>
      <c r="C358" s="1" t="str">
        <f ca="1">IFERROR(__xludf.DUMMYFUNCTION("GOOGLETRANSLATE(B358,""pl"",""en"")"),"Apartment in a prestigious investment at the Vistula")</f>
        <v>Apartment in a prestigious investment at the Vistula</v>
      </c>
      <c r="D358" s="1">
        <v>1890000</v>
      </c>
      <c r="E358" s="1" t="s">
        <v>19</v>
      </c>
      <c r="F358" s="1">
        <v>65.989999999999995</v>
      </c>
      <c r="G358" s="1" t="s">
        <v>4739</v>
      </c>
      <c r="H358" s="1" t="str">
        <f ca="1">IFERROR(__xludf.DUMMYFUNCTION("GOOGLETRANSLATE(G358,""pl"",""en"")"),"street. General Tadeusz Kościuszko, Zwierzyniec, Zwierzyniec, Kraków, Lesser Poland")</f>
        <v>street. General Tadeusz Kościuszko, Zwierzyniec, Zwierzyniec, Kraków, Lesser Poland</v>
      </c>
      <c r="I358" s="1" t="s">
        <v>21</v>
      </c>
      <c r="J358" s="1" t="s">
        <v>21</v>
      </c>
      <c r="K358" s="1" t="s">
        <v>22</v>
      </c>
      <c r="L358" s="1" t="s">
        <v>1713</v>
      </c>
      <c r="M358" s="1">
        <v>3</v>
      </c>
      <c r="N358" s="1" t="s">
        <v>24</v>
      </c>
      <c r="O358" s="1" t="str">
        <f ca="1">IFERROR(__xludf.DUMMYFUNCTION("GOOGLETRANSLATE(N358,""pl"",""en"")"),"full ownership")</f>
        <v>full ownership</v>
      </c>
      <c r="P358" s="3" t="s">
        <v>1714</v>
      </c>
      <c r="Q358" s="1" t="b">
        <v>1</v>
      </c>
      <c r="R358" s="1" t="s">
        <v>1715</v>
      </c>
    </row>
    <row r="359" spans="1:18" x14ac:dyDescent="0.25">
      <c r="A359" s="2">
        <v>45173</v>
      </c>
      <c r="B359" s="1" t="s">
        <v>1716</v>
      </c>
      <c r="C359" s="1" t="str">
        <f ca="1">IFERROR(__xludf.DUMMYFUNCTION("GOOGLETRANSLATE(B359,""pl"",""en"")"),"Apartment with a swimming pool and a tennis court")</f>
        <v>Apartment with a swimming pool and a tennis court</v>
      </c>
      <c r="D359" s="1">
        <v>699000</v>
      </c>
      <c r="E359" s="1" t="s">
        <v>33</v>
      </c>
      <c r="F359" s="1">
        <v>56.48</v>
      </c>
      <c r="G359" s="1" t="s">
        <v>1635</v>
      </c>
      <c r="H359" s="1" t="str">
        <f ca="1">IFERROR(__xludf.DUMMYFUNCTION("GOOGLETRANSLATE(G359,""pl"",""en"")"),"Pobierowo, Rewal, Gryficki, West Pomeranian Voivodeship")</f>
        <v>Pobierowo, Rewal, Gryficki, West Pomeranian Voivodeship</v>
      </c>
      <c r="I359" s="1" t="s">
        <v>21</v>
      </c>
      <c r="J359" s="1" t="s">
        <v>21</v>
      </c>
      <c r="K359" s="1" t="s">
        <v>22</v>
      </c>
      <c r="L359" s="1" t="s">
        <v>1717</v>
      </c>
      <c r="M359" s="1">
        <v>2</v>
      </c>
      <c r="N359" s="1" t="s">
        <v>24</v>
      </c>
      <c r="O359" s="1" t="str">
        <f ca="1">IFERROR(__xludf.DUMMYFUNCTION("GOOGLETRANSLATE(N359,""pl"",""en"")"),"full ownership")</f>
        <v>full ownership</v>
      </c>
      <c r="P359" s="3" t="s">
        <v>1718</v>
      </c>
      <c r="Q359" s="1" t="b">
        <v>1</v>
      </c>
      <c r="R359" s="1" t="s">
        <v>1719</v>
      </c>
    </row>
    <row r="360" spans="1:18" x14ac:dyDescent="0.25">
      <c r="A360" s="2">
        <v>45173</v>
      </c>
      <c r="B360" s="1" t="s">
        <v>1720</v>
      </c>
      <c r="C360" s="1" t="str">
        <f ca="1">IFERROR(__xludf.DUMMYFUNCTION("GOOGLETRANSLATE(B360,""pl"",""en"")"),"Apartment of the Karkonosze eye")</f>
        <v>Apartment of the Karkonosze eye</v>
      </c>
      <c r="D360" s="1">
        <v>399000</v>
      </c>
      <c r="E360" s="1" t="s">
        <v>19</v>
      </c>
      <c r="F360" s="1">
        <v>37.01</v>
      </c>
      <c r="G360" s="1" t="s">
        <v>1621</v>
      </c>
      <c r="H360" s="1" t="str">
        <f ca="1">IFERROR(__xludf.DUMMYFUNCTION("GOOGLETRANSLATE(G360,""pl"",""en"")"),"street. Okopowa, Śródmieście, Jelenia Góra, DolnoSilesian Voivodeship")</f>
        <v>street. Okopowa, Śródmieście, Jelenia Góra, DolnoSilesian Voivodeship</v>
      </c>
      <c r="I360" s="1" t="b">
        <v>1</v>
      </c>
      <c r="J360" s="1" t="s">
        <v>21</v>
      </c>
      <c r="K360" s="1" t="s">
        <v>194</v>
      </c>
      <c r="L360" s="1" t="s">
        <v>1721</v>
      </c>
      <c r="M360" s="1">
        <v>2</v>
      </c>
      <c r="N360" s="1" t="s">
        <v>24</v>
      </c>
      <c r="O360" s="1" t="str">
        <f ca="1">IFERROR(__xludf.DUMMYFUNCTION("GOOGLETRANSLATE(N360,""pl"",""en"")"),"full ownership")</f>
        <v>full ownership</v>
      </c>
      <c r="P360" s="3" t="s">
        <v>1722</v>
      </c>
      <c r="Q360" s="1" t="b">
        <v>1</v>
      </c>
      <c r="R360" s="1" t="s">
        <v>1723</v>
      </c>
    </row>
    <row r="361" spans="1:18" x14ac:dyDescent="0.25">
      <c r="A361" s="2">
        <v>45173</v>
      </c>
      <c r="B361" s="1" t="s">
        <v>1724</v>
      </c>
      <c r="C361" s="1" t="str">
        <f ca="1">IFERROR(__xludf.DUMMYFUNCTION("GOOGLETRANSLATE(B361,""pl"",""en"")"),"Two -level apartment 133.5 m2 Ruczaj")</f>
        <v>Two -level apartment 133.5 m2 Ruczaj</v>
      </c>
      <c r="D361" s="1">
        <v>1190000</v>
      </c>
      <c r="E361" s="1" t="s">
        <v>33</v>
      </c>
      <c r="F361" s="1">
        <v>133.5</v>
      </c>
      <c r="G361" s="1" t="s">
        <v>4754</v>
      </c>
      <c r="H361" s="1" t="str">
        <f ca="1">IFERROR(__xludf.DUMMYFUNCTION("GOOGLETRANSLATE(G361,""pl"",""en"")"),"street. Kobierzyńska, Ruczaj, Dębniki, Kraków, Lesser Poland")</f>
        <v>street. Kobierzyńska, Ruczaj, Dębniki, Kraków, Lesser Poland</v>
      </c>
      <c r="I361" s="1" t="s">
        <v>21</v>
      </c>
      <c r="J361" s="1" t="s">
        <v>21</v>
      </c>
      <c r="K361" s="1" t="s">
        <v>22</v>
      </c>
      <c r="L361" s="1" t="s">
        <v>1725</v>
      </c>
      <c r="M361" s="1">
        <v>4</v>
      </c>
      <c r="N361" s="1" t="s">
        <v>24</v>
      </c>
      <c r="O361" s="1" t="str">
        <f ca="1">IFERROR(__xludf.DUMMYFUNCTION("GOOGLETRANSLATE(N361,""pl"",""en"")"),"full ownership")</f>
        <v>full ownership</v>
      </c>
      <c r="P361" s="3" t="s">
        <v>1726</v>
      </c>
      <c r="Q361" s="1" t="b">
        <v>1</v>
      </c>
      <c r="R361" s="1" t="s">
        <v>1727</v>
      </c>
    </row>
    <row r="362" spans="1:18" x14ac:dyDescent="0.25">
      <c r="A362" s="2">
        <v>45173</v>
      </c>
      <c r="B362" s="1" t="s">
        <v>1728</v>
      </c>
      <c r="C362" s="1" t="str">
        <f ca="1">IFERROR(__xludf.DUMMYFUNCTION("GOOGLETRANSLATE(B362,""pl"",""en"")"),"Apartment with a garden at the closed estate")</f>
        <v>Apartment with a garden at the closed estate</v>
      </c>
      <c r="D362" s="1">
        <v>333000</v>
      </c>
      <c r="E362" s="1" t="s">
        <v>19</v>
      </c>
      <c r="F362" s="1">
        <v>56.1</v>
      </c>
      <c r="G362" s="1" t="s">
        <v>1729</v>
      </c>
      <c r="H362" s="1" t="str">
        <f ca="1">IFERROR(__xludf.DUMMYFUNCTION("GOOGLETRANSLATE(G362,""pl"",""en"")"),"street. Powstańców Wielkopolskich, Gniewkowo, Gniewkowo, Inowrocław, Kujawsko-Pomeranian Voivodeship")</f>
        <v>street. Powstańców Wielkopolskich, Gniewkowo, Gniewkowo, Inowrocław, Kujawsko-Pomeranian Voivodeship</v>
      </c>
      <c r="I362" s="1" t="b">
        <v>1</v>
      </c>
      <c r="J362" s="1" t="s">
        <v>21</v>
      </c>
      <c r="K362" s="1" t="s">
        <v>45</v>
      </c>
      <c r="L362" s="1" t="s">
        <v>1730</v>
      </c>
      <c r="M362" s="1">
        <v>2</v>
      </c>
      <c r="N362" s="1" t="s">
        <v>24</v>
      </c>
      <c r="O362" s="1" t="str">
        <f ca="1">IFERROR(__xludf.DUMMYFUNCTION("GOOGLETRANSLATE(N362,""pl"",""en"")"),"full ownership")</f>
        <v>full ownership</v>
      </c>
      <c r="P362" s="3" t="s">
        <v>1731</v>
      </c>
      <c r="Q362" s="1" t="b">
        <v>1</v>
      </c>
      <c r="R362" s="1" t="s">
        <v>1732</v>
      </c>
    </row>
    <row r="363" spans="1:18" x14ac:dyDescent="0.25">
      <c r="A363" s="2">
        <v>45173</v>
      </c>
      <c r="B363" s="1" t="s">
        <v>1733</v>
      </c>
      <c r="C363" s="1" t="str">
        <f ca="1">IFERROR(__xludf.DUMMYFUNCTION("GOOGLETRANSLATE(B363,""pl"",""en"")"),"Kasprowicz apartments Apartment C215")</f>
        <v>Kasprowicz apartments Apartment C215</v>
      </c>
      <c r="D363" s="1">
        <v>629000</v>
      </c>
      <c r="E363" s="1" t="s">
        <v>19</v>
      </c>
      <c r="F363" s="1">
        <v>38.130000000000003</v>
      </c>
      <c r="G363" s="1" t="s">
        <v>1510</v>
      </c>
      <c r="H363" s="1" t="str">
        <f ca="1">IFERROR(__xludf.DUMMYFUNCTION("GOOGLETRANSLATE(G363,""pl"",""en"")"),"street. Jana Kasprowicz, Kołobrzeg, Kołobrzeski, West Pomeranian Voivodeship")</f>
        <v>street. Jana Kasprowicz, Kołobrzeg, Kołobrzeski, West Pomeranian Voivodeship</v>
      </c>
      <c r="I363" s="1" t="b">
        <v>1</v>
      </c>
      <c r="J363" s="1" t="s">
        <v>21</v>
      </c>
      <c r="K363" s="1" t="s">
        <v>194</v>
      </c>
      <c r="L363" s="1" t="s">
        <v>1734</v>
      </c>
      <c r="M363" s="1">
        <v>1</v>
      </c>
      <c r="N363" s="1" t="s">
        <v>24</v>
      </c>
      <c r="O363" s="1" t="str">
        <f ca="1">IFERROR(__xludf.DUMMYFUNCTION("GOOGLETRANSLATE(N363,""pl"",""en"")"),"full ownership")</f>
        <v>full ownership</v>
      </c>
      <c r="P363" s="3" t="s">
        <v>1735</v>
      </c>
      <c r="Q363" s="1" t="b">
        <v>1</v>
      </c>
      <c r="R363" s="1" t="s">
        <v>1736</v>
      </c>
    </row>
    <row r="364" spans="1:18" x14ac:dyDescent="0.25">
      <c r="A364" s="2">
        <v>45173</v>
      </c>
      <c r="B364" s="1" t="s">
        <v>1737</v>
      </c>
      <c r="C364" s="1" t="str">
        <f ca="1">IFERROR(__xludf.DUMMYFUNCTION("GOOGLETRANSLATE(B364,""pl"",""en"")"),"Apartment for investment with air conditioning and terrace")</f>
        <v>Apartment for investment with air conditioning and terrace</v>
      </c>
      <c r="D364" s="1">
        <v>627287</v>
      </c>
      <c r="E364" s="1" t="s">
        <v>33</v>
      </c>
      <c r="F364" s="1">
        <v>42.91</v>
      </c>
      <c r="G364" s="1" t="s">
        <v>1738</v>
      </c>
      <c r="H364" s="1" t="str">
        <f ca="1">IFERROR(__xludf.DUMMYFUNCTION("GOOGLETRANSLATE(G364,""pl"",""en"")"),"al. Aleje Jerozolimskie, Raków, Italy, Warsaw, Masovian Voivodeship")</f>
        <v>al. Aleje Jerozolimskie, Raków, Italy, Warsaw, Masovian Voivodeship</v>
      </c>
      <c r="I364" s="1" t="b">
        <v>1</v>
      </c>
      <c r="J364" s="1" t="s">
        <v>21</v>
      </c>
      <c r="K364" s="1" t="s">
        <v>22</v>
      </c>
      <c r="L364" s="1" t="s">
        <v>1739</v>
      </c>
      <c r="M364" s="1">
        <v>2</v>
      </c>
      <c r="N364" s="1" t="s">
        <v>24</v>
      </c>
      <c r="O364" s="1" t="str">
        <f ca="1">IFERROR(__xludf.DUMMYFUNCTION("GOOGLETRANSLATE(N364,""pl"",""en"")"),"full ownership")</f>
        <v>full ownership</v>
      </c>
      <c r="P364" s="3" t="s">
        <v>1740</v>
      </c>
      <c r="Q364" s="1" t="b">
        <v>1</v>
      </c>
      <c r="R364" s="1" t="s">
        <v>1741</v>
      </c>
    </row>
    <row r="365" spans="1:18" x14ac:dyDescent="0.25">
      <c r="A365" s="2">
        <v>45173</v>
      </c>
      <c r="B365" s="1" t="s">
        <v>1742</v>
      </c>
      <c r="C365" s="1" t="str">
        <f ca="1">IFERROR(__xludf.DUMMYFUNCTION("GOOGLETRANSLATE(B365,""pl"",""en"")"),"Apartment in the investment ""Plansjonat Polna"" - ditches")</f>
        <v>Apartment in the investment "Plansjonat Polna" - ditches</v>
      </c>
      <c r="D365" s="1">
        <v>368000</v>
      </c>
      <c r="E365" s="1" t="s">
        <v>19</v>
      </c>
      <c r="F365" s="1">
        <v>37.950000000000003</v>
      </c>
      <c r="G365" s="1" t="s">
        <v>1743</v>
      </c>
      <c r="H365" s="1" t="str">
        <f ca="1">IFERROR(__xludf.DUMMYFUNCTION("GOOGLETRANSLATE(G365,""pl"",""en"")"),"street. Polna, Rowy, Ustka, Słupski, Pomeranian")</f>
        <v>street. Polna, Rowy, Ustka, Słupski, Pomeranian</v>
      </c>
      <c r="I365" s="1" t="s">
        <v>21</v>
      </c>
      <c r="J365" s="1" t="s">
        <v>21</v>
      </c>
      <c r="K365" s="1" t="s">
        <v>194</v>
      </c>
      <c r="L365" s="1" t="s">
        <v>1744</v>
      </c>
      <c r="M365" s="1">
        <v>2</v>
      </c>
      <c r="N365" s="1" t="s">
        <v>24</v>
      </c>
      <c r="O365" s="1" t="str">
        <f ca="1">IFERROR(__xludf.DUMMYFUNCTION("GOOGLETRANSLATE(N365,""pl"",""en"")"),"full ownership")</f>
        <v>full ownership</v>
      </c>
      <c r="P365" s="3" t="s">
        <v>1745</v>
      </c>
      <c r="Q365" s="1" t="b">
        <v>1</v>
      </c>
      <c r="R365" s="1" t="s">
        <v>1746</v>
      </c>
    </row>
    <row r="366" spans="1:18" x14ac:dyDescent="0.25">
      <c r="A366" s="2">
        <v>45173</v>
      </c>
      <c r="B366" s="1" t="s">
        <v>1747</v>
      </c>
      <c r="C366" s="1" t="str">
        <f ca="1">IFERROR(__xludf.DUMMYFUNCTION("GOOGLETRANSLATE(B366,""pl"",""en"")"),"A beautiful house with a large plot - Chyby")</f>
        <v>A beautiful house with a large plot - Chyby</v>
      </c>
      <c r="D366" s="1">
        <v>2690000</v>
      </c>
      <c r="E366" s="1" t="s">
        <v>33</v>
      </c>
      <c r="F366" s="1">
        <v>474.04</v>
      </c>
      <c r="G366" s="1" t="s">
        <v>4755</v>
      </c>
      <c r="H366" s="1" t="str">
        <f ca="1">IFERROR(__xludf.DUMMYFUNCTION("GOOGLETRANSLATE(G366,""pl"",""en"")"),"Chyby, Tarnowo Podgórne, Poznań, Greater Poland")</f>
        <v>Chyby, Tarnowo Podgórne, Poznań, Greater Poland</v>
      </c>
      <c r="I366" s="1" t="b">
        <v>1</v>
      </c>
      <c r="J366" s="1" t="s">
        <v>21</v>
      </c>
      <c r="K366" s="1" t="s">
        <v>22</v>
      </c>
      <c r="L366" s="1" t="s">
        <v>1748</v>
      </c>
      <c r="M366" s="1">
        <v>4</v>
      </c>
      <c r="N366" s="1" t="s">
        <v>21</v>
      </c>
      <c r="O366" s="1" t="str">
        <f ca="1">IFERROR(__xludf.DUMMYFUNCTION("GOOGLETRANSLATE(N366,""pl"",""en"")"),"null")</f>
        <v>null</v>
      </c>
      <c r="P366" s="3" t="s">
        <v>1749</v>
      </c>
      <c r="Q366" s="1" t="b">
        <v>1</v>
      </c>
      <c r="R366" s="1" t="s">
        <v>1750</v>
      </c>
    </row>
    <row r="367" spans="1:18" x14ac:dyDescent="0.25">
      <c r="A367" s="2">
        <v>45173</v>
      </c>
      <c r="B367" s="1" t="s">
        <v>1751</v>
      </c>
      <c r="C367" s="1" t="str">
        <f ca="1">IFERROR(__xludf.DUMMYFUNCTION("GOOGLETRANSLATE(B367,""pl"",""en"")"),"A beautiful apartment for a family! Parking space!")</f>
        <v>A beautiful apartment for a family! Parking space!</v>
      </c>
      <c r="D367" s="1">
        <v>272000</v>
      </c>
      <c r="E367" s="1" t="s">
        <v>33</v>
      </c>
      <c r="F367" s="1">
        <v>49</v>
      </c>
      <c r="G367" s="1" t="s">
        <v>1752</v>
      </c>
      <c r="H367" s="1" t="str">
        <f ca="1">IFERROR(__xludf.DUMMYFUNCTION("GOOGLETRANSLATE(G367,""pl"",""en"")"),"street. General Jan Henryk Dąbrowski, Strzelno, Strzelno, Mogileński, Kujawsko-Pomeranian Voivodeship")</f>
        <v>street. General Jan Henryk Dąbrowski, Strzelno, Strzelno, Mogileński, Kujawsko-Pomeranian Voivodeship</v>
      </c>
      <c r="I367" s="1" t="s">
        <v>21</v>
      </c>
      <c r="J367" s="1" t="s">
        <v>21</v>
      </c>
      <c r="K367" s="1" t="s">
        <v>22</v>
      </c>
      <c r="L367" s="1" t="s">
        <v>1753</v>
      </c>
      <c r="M367" s="1">
        <v>2</v>
      </c>
      <c r="N367" s="1" t="s">
        <v>24</v>
      </c>
      <c r="O367" s="1" t="str">
        <f ca="1">IFERROR(__xludf.DUMMYFUNCTION("GOOGLETRANSLATE(N367,""pl"",""en"")"),"full ownership")</f>
        <v>full ownership</v>
      </c>
      <c r="P367" s="3" t="s">
        <v>1754</v>
      </c>
      <c r="Q367" s="1" t="b">
        <v>1</v>
      </c>
      <c r="R367" s="1" t="s">
        <v>1755</v>
      </c>
    </row>
    <row r="368" spans="1:18" x14ac:dyDescent="0.25">
      <c r="A368" s="2">
        <v>45173</v>
      </c>
      <c r="B368" s="1" t="s">
        <v>1756</v>
      </c>
      <c r="C368" s="1" t="str">
        <f ca="1">IFERROR(__xludf.DUMMYFUNCTION("GOOGLETRANSLATE(B368,""pl"",""en"")"),"Kasprowicz apartments Apartment C323")</f>
        <v>Kasprowicz apartments Apartment C323</v>
      </c>
      <c r="D368" s="1">
        <v>739000</v>
      </c>
      <c r="E368" s="1" t="s">
        <v>19</v>
      </c>
      <c r="F368" s="1">
        <v>42.76</v>
      </c>
      <c r="G368" s="1" t="s">
        <v>1510</v>
      </c>
      <c r="H368" s="1" t="str">
        <f ca="1">IFERROR(__xludf.DUMMYFUNCTION("GOOGLETRANSLATE(G368,""pl"",""en"")"),"street. Jana Kasprowicz, Kołobrzeg, Kołobrzeski, West Pomeranian Voivodeship")</f>
        <v>street. Jana Kasprowicz, Kołobrzeg, Kołobrzeski, West Pomeranian Voivodeship</v>
      </c>
      <c r="I368" s="1" t="b">
        <v>1</v>
      </c>
      <c r="J368" s="1" t="s">
        <v>21</v>
      </c>
      <c r="K368" s="1" t="s">
        <v>194</v>
      </c>
      <c r="L368" s="1" t="s">
        <v>1757</v>
      </c>
      <c r="M368" s="1">
        <v>2</v>
      </c>
      <c r="N368" s="1" t="s">
        <v>24</v>
      </c>
      <c r="O368" s="1" t="str">
        <f ca="1">IFERROR(__xludf.DUMMYFUNCTION("GOOGLETRANSLATE(N368,""pl"",""en"")"),"full ownership")</f>
        <v>full ownership</v>
      </c>
      <c r="P368" s="3" t="s">
        <v>1758</v>
      </c>
      <c r="Q368" s="1" t="b">
        <v>1</v>
      </c>
      <c r="R368" s="1" t="s">
        <v>1759</v>
      </c>
    </row>
    <row r="369" spans="1:18" x14ac:dyDescent="0.25">
      <c r="A369" s="2">
        <v>45173</v>
      </c>
      <c r="B369" s="1" t="s">
        <v>1760</v>
      </c>
      <c r="C369" s="1" t="str">
        <f ca="1">IFERROR(__xludf.DUMMYFUNCTION("GOOGLETRANSLATE(B369,""pl"",""en"")"),"Beautiful tenement house and listed installations and olive")</f>
        <v>Beautiful tenement house and listed installations and olive</v>
      </c>
      <c r="D369" s="1">
        <v>1549000</v>
      </c>
      <c r="E369" s="1" t="s">
        <v>33</v>
      </c>
      <c r="F369" s="1">
        <v>93.42</v>
      </c>
      <c r="G369" s="1" t="s">
        <v>1761</v>
      </c>
      <c r="H369" s="1" t="str">
        <f ca="1">IFERROR(__xludf.DUMMYFUNCTION("GOOGLETRANSLATE(G369,""pl"",""en"")"),"Oliwa, Gdańsk, Pomeranian Voivodeship")</f>
        <v>Oliwa, Gdańsk, Pomeranian Voivodeship</v>
      </c>
      <c r="I369" s="1" t="s">
        <v>21</v>
      </c>
      <c r="J369" s="1" t="s">
        <v>21</v>
      </c>
      <c r="K369" s="1" t="s">
        <v>22</v>
      </c>
      <c r="L369" s="1" t="s">
        <v>1762</v>
      </c>
      <c r="M369" s="1">
        <v>4</v>
      </c>
      <c r="N369" s="1" t="s">
        <v>24</v>
      </c>
      <c r="O369" s="1" t="str">
        <f ca="1">IFERROR(__xludf.DUMMYFUNCTION("GOOGLETRANSLATE(N369,""pl"",""en"")"),"full ownership")</f>
        <v>full ownership</v>
      </c>
      <c r="P369" s="3" t="s">
        <v>1763</v>
      </c>
      <c r="Q369" s="1" t="b">
        <v>1</v>
      </c>
      <c r="R369" s="1" t="s">
        <v>1764</v>
      </c>
    </row>
    <row r="370" spans="1:18" x14ac:dyDescent="0.25">
      <c r="A370" s="2">
        <v>45173</v>
      </c>
      <c r="B370" s="1" t="s">
        <v>1765</v>
      </c>
      <c r="C370" s="1" t="str">
        <f ca="1">IFERROR(__xludf.DUMMYFUNCTION("GOOGLETRANSLATE(B370,""pl"",""en"")"),"Apartment in the Starter 2 Investment Beautiful View")</f>
        <v>Apartment in the Starter 2 Investment Beautiful View</v>
      </c>
      <c r="D370" s="1">
        <v>589000</v>
      </c>
      <c r="E370" s="1" t="s">
        <v>33</v>
      </c>
      <c r="F370" s="1">
        <v>34.29</v>
      </c>
      <c r="G370" s="1" t="s">
        <v>1766</v>
      </c>
      <c r="H370" s="1" t="str">
        <f ca="1">IFERROR(__xludf.DUMMYFUNCTION("GOOGLETRANSLATE(G370,""pl"",""en"")"),"pl. Grunwaldzki, Plac Grunwaldzki, Śródmieście, Wrocław, DolnoSilesian Voivodeship")</f>
        <v>pl. Grunwaldzki, Plac Grunwaldzki, Śródmieście, Wrocław, DolnoSilesian Voivodeship</v>
      </c>
      <c r="I370" s="1" t="s">
        <v>21</v>
      </c>
      <c r="J370" s="1" t="s">
        <v>21</v>
      </c>
      <c r="K370" s="1" t="s">
        <v>22</v>
      </c>
      <c r="L370" s="1" t="s">
        <v>1767</v>
      </c>
      <c r="M370" s="1">
        <v>2</v>
      </c>
      <c r="N370" s="1" t="s">
        <v>24</v>
      </c>
      <c r="O370" s="1" t="str">
        <f ca="1">IFERROR(__xludf.DUMMYFUNCTION("GOOGLETRANSLATE(N370,""pl"",""en"")"),"full ownership")</f>
        <v>full ownership</v>
      </c>
      <c r="P370" s="3" t="s">
        <v>1768</v>
      </c>
      <c r="Q370" s="1" t="b">
        <v>1</v>
      </c>
      <c r="R370" s="1" t="s">
        <v>1769</v>
      </c>
    </row>
    <row r="371" spans="1:18" x14ac:dyDescent="0.25">
      <c r="A371" s="2">
        <v>45173</v>
      </c>
      <c r="B371" s="1" t="s">
        <v>1770</v>
      </c>
      <c r="C371" s="1" t="str">
        <f ca="1">IFERROR(__xludf.DUMMYFUNCTION("GOOGLETRANSLATE(B371,""pl"",""en"")"),"A beautiful classic style apartment for sale")</f>
        <v>A beautiful classic style apartment for sale</v>
      </c>
      <c r="D371" s="1">
        <v>640000</v>
      </c>
      <c r="E371" s="1" t="s">
        <v>19</v>
      </c>
      <c r="F371" s="1">
        <v>41.26</v>
      </c>
      <c r="G371" s="1" t="s">
        <v>1771</v>
      </c>
      <c r="H371" s="1" t="str">
        <f ca="1">IFERROR(__xludf.DUMMYFUNCTION("GOOGLETRANSLATE(G371,""pl"",""en"")"),"street. Baltycka, Kołobrzeg, Kołobrzeski, West Pomeranian Voivodeship")</f>
        <v>street. Baltycka, Kołobrzeg, Kołobrzeski, West Pomeranian Voivodeship</v>
      </c>
      <c r="I371" s="1" t="s">
        <v>21</v>
      </c>
      <c r="J371" s="1" t="s">
        <v>21</v>
      </c>
      <c r="K371" s="1" t="s">
        <v>22</v>
      </c>
      <c r="L371" s="1" t="s">
        <v>1772</v>
      </c>
      <c r="M371" s="1">
        <v>2</v>
      </c>
      <c r="N371" s="1" t="s">
        <v>24</v>
      </c>
      <c r="O371" s="1" t="str">
        <f ca="1">IFERROR(__xludf.DUMMYFUNCTION("GOOGLETRANSLATE(N371,""pl"",""en"")"),"full ownership")</f>
        <v>full ownership</v>
      </c>
      <c r="P371" s="3" t="s">
        <v>1773</v>
      </c>
      <c r="Q371" s="1" t="b">
        <v>1</v>
      </c>
      <c r="R371" s="1" t="s">
        <v>1774</v>
      </c>
    </row>
    <row r="372" spans="1:18" x14ac:dyDescent="0.25">
      <c r="A372" s="2">
        <v>45173</v>
      </c>
      <c r="B372" s="1" t="s">
        <v>1775</v>
      </c>
      <c r="C372" s="1" t="str">
        <f ca="1">IFERROR(__xludf.DUMMYFUNCTION("GOOGLETRANSLATE(B372,""pl"",""en"")"),"A two -level apartment with a balcony and a large terrace")</f>
        <v>A two -level apartment with a balcony and a large terrace</v>
      </c>
      <c r="D372" s="1">
        <v>1197856</v>
      </c>
      <c r="E372" s="1" t="s">
        <v>19</v>
      </c>
      <c r="F372" s="1">
        <v>68.06</v>
      </c>
      <c r="G372" s="1" t="s">
        <v>1635</v>
      </c>
      <c r="H372" s="1" t="str">
        <f ca="1">IFERROR(__xludf.DUMMYFUNCTION("GOOGLETRANSLATE(G372,""pl"",""en"")"),"Pobierowo, Rewal, Gryficki, West Pomeranian Voivodeship")</f>
        <v>Pobierowo, Rewal, Gryficki, West Pomeranian Voivodeship</v>
      </c>
      <c r="I372" s="1" t="s">
        <v>21</v>
      </c>
      <c r="J372" s="1" t="s">
        <v>21</v>
      </c>
      <c r="K372" s="1" t="s">
        <v>22</v>
      </c>
      <c r="L372" s="1" t="s">
        <v>1776</v>
      </c>
      <c r="M372" s="1">
        <v>4</v>
      </c>
      <c r="N372" s="1" t="s">
        <v>24</v>
      </c>
      <c r="O372" s="1" t="str">
        <f ca="1">IFERROR(__xludf.DUMMYFUNCTION("GOOGLETRANSLATE(N372,""pl"",""en"")"),"full ownership")</f>
        <v>full ownership</v>
      </c>
      <c r="P372" s="3" t="s">
        <v>1777</v>
      </c>
      <c r="Q372" s="1" t="b">
        <v>1</v>
      </c>
      <c r="R372" s="1" t="s">
        <v>1778</v>
      </c>
    </row>
    <row r="373" spans="1:18" x14ac:dyDescent="0.25">
      <c r="A373" s="2">
        <v>45173</v>
      </c>
      <c r="B373" s="1" t="s">
        <v>1779</v>
      </c>
      <c r="C373" s="1" t="str">
        <f ca="1">IFERROR(__xludf.DUMMYFUNCTION("GOOGLETRANSLATE(B373,""pl"",""en"")"),"Pilska 2 | Stage I A.2.8 blinds in the price, immediately")</f>
        <v>Pilska 2 | Stage I A.2.8 blinds in the price, immediately</v>
      </c>
      <c r="D373" s="1">
        <v>383705</v>
      </c>
      <c r="E373" s="1" t="s">
        <v>19</v>
      </c>
      <c r="F373" s="1">
        <v>57.7</v>
      </c>
      <c r="G373" s="1" t="s">
        <v>4756</v>
      </c>
      <c r="H373" s="1" t="str">
        <f ca="1">IFERROR(__xludf.DUMMYFUNCTION("GOOGLETRANSLATE(G373,""pl"",""en"")"),"September, September, Wrzesiński, Greater Poland")</f>
        <v>September, September, Wrzesiński, Greater Poland</v>
      </c>
      <c r="I373" s="1" t="s">
        <v>21</v>
      </c>
      <c r="J373" s="1" t="s">
        <v>21</v>
      </c>
      <c r="K373" s="1" t="s">
        <v>194</v>
      </c>
      <c r="L373" s="1" t="s">
        <v>1780</v>
      </c>
      <c r="M373" s="1">
        <v>2</v>
      </c>
      <c r="N373" s="1" t="s">
        <v>24</v>
      </c>
      <c r="O373" s="1" t="str">
        <f ca="1">IFERROR(__xludf.DUMMYFUNCTION("GOOGLETRANSLATE(N373,""pl"",""en"")"),"full ownership")</f>
        <v>full ownership</v>
      </c>
      <c r="P373" s="3" t="s">
        <v>1781</v>
      </c>
      <c r="Q373" s="1" t="b">
        <v>1</v>
      </c>
      <c r="R373" s="1" t="s">
        <v>1782</v>
      </c>
    </row>
    <row r="374" spans="1:18" x14ac:dyDescent="0.25">
      <c r="A374" s="2">
        <v>45173</v>
      </c>
      <c r="B374" s="1" t="s">
        <v>1783</v>
      </c>
      <c r="C374" s="1" t="str">
        <f ca="1">IFERROR(__xludf.DUMMYFUNCTION("GOOGLETRANSLATE(B374,""pl"",""en"")"),"47m ul. Modlińska 6 intimate block")</f>
        <v>47m ul. Modlińska 6 intimate block</v>
      </c>
      <c r="D374" s="1">
        <v>470000</v>
      </c>
      <c r="E374" s="1" t="s">
        <v>33</v>
      </c>
      <c r="F374" s="1">
        <v>47</v>
      </c>
      <c r="G374" s="1" t="s">
        <v>1784</v>
      </c>
      <c r="H374" s="1" t="str">
        <f ca="1">IFERROR(__xludf.DUMMYFUNCTION("GOOGLETRANSLATE(G374,""pl"",""en"")"),"street. Modlińska 6, Bojary, Białystok, Podlasie")</f>
        <v>street. Modlińska 6, Bojary, Białystok, Podlasie</v>
      </c>
      <c r="I374" s="1" t="s">
        <v>21</v>
      </c>
      <c r="J374" s="1" t="s">
        <v>21</v>
      </c>
      <c r="K374" s="1" t="s">
        <v>45</v>
      </c>
      <c r="L374" s="1" t="s">
        <v>1785</v>
      </c>
      <c r="M374" s="1">
        <v>2</v>
      </c>
      <c r="N374" s="1" t="s">
        <v>24</v>
      </c>
      <c r="O374" s="1" t="str">
        <f ca="1">IFERROR(__xludf.DUMMYFUNCTION("GOOGLETRANSLATE(N374,""pl"",""en"")"),"full ownership")</f>
        <v>full ownership</v>
      </c>
      <c r="P374" s="3" t="s">
        <v>1786</v>
      </c>
      <c r="Q374" s="1" t="b">
        <v>1</v>
      </c>
      <c r="R374" s="1" t="s">
        <v>1787</v>
      </c>
    </row>
    <row r="375" spans="1:18" x14ac:dyDescent="0.25">
      <c r="A375" s="2">
        <v>45173</v>
      </c>
      <c r="B375" s="1" t="s">
        <v>1788</v>
      </c>
      <c r="C375" s="1" t="str">
        <f ca="1">IFERROR(__xludf.DUMMYFUNCTION("GOOGLETRANSLATE(B375,""pl"",""en"")"),"4 rooms with a balcony")</f>
        <v>4 rooms with a balcony</v>
      </c>
      <c r="D375" s="1">
        <v>619000</v>
      </c>
      <c r="E375" s="1" t="s">
        <v>19</v>
      </c>
      <c r="F375" s="1">
        <v>77.84</v>
      </c>
      <c r="G375" s="1" t="s">
        <v>1789</v>
      </c>
      <c r="H375" s="1" t="str">
        <f ca="1">IFERROR(__xludf.DUMMYFUNCTION("GOOGLETRANSLATE(G375,""pl"",""en"")"),"Brands, Wołomiński, Masovian Voivodeship")</f>
        <v>Brands, Wołomiński, Masovian Voivodeship</v>
      </c>
      <c r="I375" s="1" t="s">
        <v>21</v>
      </c>
      <c r="J375" s="1" t="s">
        <v>21</v>
      </c>
      <c r="K375" s="1" t="s">
        <v>22</v>
      </c>
      <c r="L375" s="1" t="s">
        <v>1790</v>
      </c>
      <c r="M375" s="1">
        <v>4</v>
      </c>
      <c r="N375" s="1" t="s">
        <v>24</v>
      </c>
      <c r="O375" s="1" t="str">
        <f ca="1">IFERROR(__xludf.DUMMYFUNCTION("GOOGLETRANSLATE(N375,""pl"",""en"")"),"full ownership")</f>
        <v>full ownership</v>
      </c>
      <c r="P375" s="3" t="s">
        <v>1791</v>
      </c>
      <c r="Q375" s="1" t="b">
        <v>1</v>
      </c>
      <c r="R375" s="1" t="s">
        <v>1792</v>
      </c>
    </row>
    <row r="376" spans="1:18" x14ac:dyDescent="0.25">
      <c r="A376" s="2">
        <v>45173</v>
      </c>
      <c r="B376" s="1" t="s">
        <v>1793</v>
      </c>
      <c r="C376" s="1" t="str">
        <f ca="1">IFERROR(__xludf.DUMMYFUNCTION("GOOGLETRANSLATE(B376,""pl"",""en"")"),"Pentrhouse, 390m2 terraces, 303m2 apartment")</f>
        <v>Pentrhouse, 390m2 terraces, 303m2 apartment</v>
      </c>
      <c r="D376" s="1">
        <v>6000000</v>
      </c>
      <c r="E376" s="1" t="s">
        <v>33</v>
      </c>
      <c r="F376" s="1">
        <v>303</v>
      </c>
      <c r="G376" s="1" t="s">
        <v>1794</v>
      </c>
      <c r="H376" s="1" t="str">
        <f ca="1">IFERROR(__xludf.DUMMYFUNCTION("GOOGLETRANSLATE(G376,""pl"",""en"")"),"street. Adam Naruszewicz, Wierzbno, Mokotów, Warsaw, Masovian Voivodeship")</f>
        <v>street. Adam Naruszewicz, Wierzbno, Mokotów, Warsaw, Masovian Voivodeship</v>
      </c>
      <c r="I376" s="1" t="b">
        <v>1</v>
      </c>
      <c r="J376" s="1" t="s">
        <v>21</v>
      </c>
      <c r="K376" s="1" t="s">
        <v>22</v>
      </c>
      <c r="L376" s="1" t="s">
        <v>1795</v>
      </c>
      <c r="M376" s="1">
        <v>4</v>
      </c>
      <c r="N376" s="1" t="s">
        <v>24</v>
      </c>
      <c r="O376" s="1" t="str">
        <f ca="1">IFERROR(__xludf.DUMMYFUNCTION("GOOGLETRANSLATE(N376,""pl"",""en"")"),"full ownership")</f>
        <v>full ownership</v>
      </c>
      <c r="P376" s="3" t="s">
        <v>1796</v>
      </c>
      <c r="Q376" s="1" t="b">
        <v>1</v>
      </c>
      <c r="R376" s="1" t="s">
        <v>1797</v>
      </c>
    </row>
    <row r="377" spans="1:18" x14ac:dyDescent="0.25">
      <c r="A377" s="2">
        <v>45173</v>
      </c>
      <c r="B377" s="1" t="s">
        <v>1798</v>
      </c>
      <c r="C377" s="1" t="str">
        <f ca="1">IFERROR(__xludf.DUMMYFUNCTION("GOOGLETRANSLATE(B377,""pl"",""en"")"),"Apartment with a balcony, a pastel housing estate.")</f>
        <v>Apartment with a balcony, a pastel housing estate.</v>
      </c>
      <c r="D377" s="1">
        <v>529600</v>
      </c>
      <c r="E377" s="1" t="s">
        <v>19</v>
      </c>
      <c r="F377" s="1">
        <v>58.91</v>
      </c>
      <c r="G377" s="1" t="s">
        <v>282</v>
      </c>
      <c r="H377" s="1" t="str">
        <f ca="1">IFERROR(__xludf.DUMMYFUNCTION("GOOGLETRANSLATE(G377,""pl"",""en"")"),"Orunia Górna - Gdańsk Południe, Gdańsk, Pomeranian Voivodeship")</f>
        <v>Orunia Górna - Gdańsk Południe, Gdańsk, Pomeranian Voivodeship</v>
      </c>
      <c r="I377" s="1" t="s">
        <v>21</v>
      </c>
      <c r="J377" s="1" t="s">
        <v>21</v>
      </c>
      <c r="K377" s="1" t="s">
        <v>22</v>
      </c>
      <c r="L377" s="1" t="s">
        <v>1799</v>
      </c>
      <c r="M377" s="1">
        <v>3</v>
      </c>
      <c r="N377" s="1" t="s">
        <v>24</v>
      </c>
      <c r="O377" s="1" t="str">
        <f ca="1">IFERROR(__xludf.DUMMYFUNCTION("GOOGLETRANSLATE(N377,""pl"",""en"")"),"full ownership")</f>
        <v>full ownership</v>
      </c>
      <c r="P377" s="3" t="s">
        <v>1800</v>
      </c>
      <c r="Q377" s="1" t="b">
        <v>1</v>
      </c>
      <c r="R377" s="1" t="s">
        <v>1801</v>
      </c>
    </row>
    <row r="378" spans="1:18" x14ac:dyDescent="0.25">
      <c r="A378" s="2">
        <v>45173</v>
      </c>
      <c r="B378" s="1" t="s">
        <v>1802</v>
      </c>
      <c r="C378" s="1" t="str">
        <f ca="1">IFERROR(__xludf.DUMMYFUNCTION("GOOGLETRANSLATE(B378,""pl"",""en"")"),"A beautiful tenement house in a great location")</f>
        <v>A beautiful tenement house in a great location</v>
      </c>
      <c r="D378" s="1">
        <v>699000</v>
      </c>
      <c r="E378" s="1" t="s">
        <v>33</v>
      </c>
      <c r="F378" s="1">
        <v>65</v>
      </c>
      <c r="G378" s="1" t="s">
        <v>1803</v>
      </c>
      <c r="H378" s="1" t="str">
        <f ca="1">IFERROR(__xludf.DUMMYFUNCTION("GOOGLETRANSLATE(G378,""pl"",""en"")"),"street. Robotnicza, Śródmieście, Gdańsk, Pomeranian Voivodeship")</f>
        <v>street. Robotnicza, Śródmieście, Gdańsk, Pomeranian Voivodeship</v>
      </c>
      <c r="I378" s="1" t="s">
        <v>21</v>
      </c>
      <c r="J378" s="1" t="s">
        <v>21</v>
      </c>
      <c r="K378" s="1" t="s">
        <v>22</v>
      </c>
      <c r="L378" s="1" t="s">
        <v>1804</v>
      </c>
      <c r="M378" s="1">
        <v>2</v>
      </c>
      <c r="N378" s="1" t="s">
        <v>24</v>
      </c>
      <c r="O378" s="1" t="str">
        <f ca="1">IFERROR(__xludf.DUMMYFUNCTION("GOOGLETRANSLATE(N378,""pl"",""en"")"),"full ownership")</f>
        <v>full ownership</v>
      </c>
      <c r="P378" s="3" t="s">
        <v>1805</v>
      </c>
      <c r="Q378" s="1" t="b">
        <v>1</v>
      </c>
      <c r="R378" s="1" t="s">
        <v>1806</v>
      </c>
    </row>
    <row r="379" spans="1:18" x14ac:dyDescent="0.25">
      <c r="A379" s="2">
        <v>45173</v>
      </c>
      <c r="B379" s="1" t="s">
        <v>1807</v>
      </c>
      <c r="C379" s="1" t="str">
        <f ca="1">IFERROR(__xludf.DUMMYFUNCTION("GOOGLETRANSLATE(B379,""pl"",""en"")"),"A7 - two rooms, utility room+balcony")</f>
        <v>A7 - two rooms, utility room+balcony</v>
      </c>
      <c r="D379" s="1">
        <v>369816</v>
      </c>
      <c r="E379" s="1" t="s">
        <v>19</v>
      </c>
      <c r="F379" s="1">
        <v>48.66</v>
      </c>
      <c r="G379" s="1" t="s">
        <v>1808</v>
      </c>
      <c r="H379" s="1" t="str">
        <f ca="1">IFERROR(__xludf.DUMMYFUNCTION("GOOGLETRANSLATE(G379,""pl"",""en"")"),"street. Augustyna Weltzla, Żory, Silesian Voivodeship")</f>
        <v>street. Augustyna Weltzla, Żory, Silesian Voivodeship</v>
      </c>
      <c r="I379" s="1" t="s">
        <v>21</v>
      </c>
      <c r="J379" s="1" t="s">
        <v>21</v>
      </c>
      <c r="K379" s="1" t="s">
        <v>194</v>
      </c>
      <c r="L379" s="1" t="s">
        <v>1809</v>
      </c>
      <c r="M379" s="1">
        <v>2</v>
      </c>
      <c r="N379" s="1" t="s">
        <v>24</v>
      </c>
      <c r="O379" s="1" t="str">
        <f ca="1">IFERROR(__xludf.DUMMYFUNCTION("GOOGLETRANSLATE(N379,""pl"",""en"")"),"full ownership")</f>
        <v>full ownership</v>
      </c>
      <c r="P379" s="3" t="s">
        <v>1810</v>
      </c>
      <c r="Q379" s="1" t="b">
        <v>1</v>
      </c>
      <c r="R379" s="1" t="s">
        <v>1811</v>
      </c>
    </row>
    <row r="380" spans="1:18" x14ac:dyDescent="0.25">
      <c r="A380" s="2">
        <v>45173</v>
      </c>
      <c r="B380" s="1" t="s">
        <v>1812</v>
      </c>
      <c r="C380" s="1" t="str">
        <f ca="1">IFERROR(__xludf.DUMMYFUNCTION("GOOGLETRANSLATE(B380,""pl"",""en"")"),"A20 - spacious 2 rooms + balcony")</f>
        <v>A20 - spacious 2 rooms + balcony</v>
      </c>
      <c r="D380" s="1">
        <v>348308</v>
      </c>
      <c r="E380" s="1" t="s">
        <v>19</v>
      </c>
      <c r="F380" s="1">
        <v>45.83</v>
      </c>
      <c r="G380" s="1" t="s">
        <v>1808</v>
      </c>
      <c r="H380" s="1" t="str">
        <f ca="1">IFERROR(__xludf.DUMMYFUNCTION("GOOGLETRANSLATE(G380,""pl"",""en"")"),"street. Augustyna Weltzla, Żory, Silesian Voivodeship")</f>
        <v>street. Augustyna Weltzla, Żory, Silesian Voivodeship</v>
      </c>
      <c r="I380" s="1" t="s">
        <v>21</v>
      </c>
      <c r="J380" s="1" t="s">
        <v>21</v>
      </c>
      <c r="K380" s="1" t="s">
        <v>194</v>
      </c>
      <c r="L380" s="1" t="s">
        <v>1813</v>
      </c>
      <c r="M380" s="1">
        <v>2</v>
      </c>
      <c r="N380" s="1" t="s">
        <v>24</v>
      </c>
      <c r="O380" s="1" t="str">
        <f ca="1">IFERROR(__xludf.DUMMYFUNCTION("GOOGLETRANSLATE(N380,""pl"",""en"")"),"full ownership")</f>
        <v>full ownership</v>
      </c>
      <c r="P380" s="3" t="s">
        <v>1814</v>
      </c>
      <c r="Q380" s="1" t="b">
        <v>1</v>
      </c>
      <c r="R380" s="1" t="s">
        <v>1815</v>
      </c>
    </row>
    <row r="381" spans="1:18" x14ac:dyDescent="0.25">
      <c r="A381" s="2">
        <v>45173</v>
      </c>
      <c r="B381" s="1" t="s">
        <v>1816</v>
      </c>
      <c r="C381" s="1" t="str">
        <f ca="1">IFERROR(__xludf.DUMMYFUNCTION("GOOGLETRANSLATE(B381,""pl"",""en"")"),"Kasprowicz apartments Apartment C604")</f>
        <v>Kasprowicz apartments Apartment C604</v>
      </c>
      <c r="D381" s="1">
        <v>759000</v>
      </c>
      <c r="E381" s="1" t="s">
        <v>19</v>
      </c>
      <c r="F381" s="1">
        <v>43.73</v>
      </c>
      <c r="G381" s="1" t="s">
        <v>1510</v>
      </c>
      <c r="H381" s="1" t="str">
        <f ca="1">IFERROR(__xludf.DUMMYFUNCTION("GOOGLETRANSLATE(G381,""pl"",""en"")"),"street. Jana Kasprowicz, Kołobrzeg, Kołobrzeski, West Pomeranian Voivodeship")</f>
        <v>street. Jana Kasprowicz, Kołobrzeg, Kołobrzeski, West Pomeranian Voivodeship</v>
      </c>
      <c r="I381" s="1" t="b">
        <v>1</v>
      </c>
      <c r="J381" s="1" t="s">
        <v>21</v>
      </c>
      <c r="K381" s="1" t="s">
        <v>194</v>
      </c>
      <c r="L381" s="1" t="s">
        <v>1817</v>
      </c>
      <c r="M381" s="1">
        <v>2</v>
      </c>
      <c r="N381" s="1" t="s">
        <v>24</v>
      </c>
      <c r="O381" s="1" t="str">
        <f ca="1">IFERROR(__xludf.DUMMYFUNCTION("GOOGLETRANSLATE(N381,""pl"",""en"")"),"full ownership")</f>
        <v>full ownership</v>
      </c>
      <c r="P381" s="3" t="s">
        <v>1818</v>
      </c>
      <c r="Q381" s="1" t="b">
        <v>1</v>
      </c>
      <c r="R381" s="1" t="s">
        <v>1819</v>
      </c>
    </row>
    <row r="382" spans="1:18" x14ac:dyDescent="0.25">
      <c r="A382" s="2">
        <v>45173</v>
      </c>
      <c r="B382" s="1" t="s">
        <v>1820</v>
      </c>
      <c r="C382" s="1" t="str">
        <f ca="1">IFERROR(__xludf.DUMMYFUNCTION("GOOGLETRANSLATE(B382,""pl"",""en"")"),"A beautiful two -level apartment in Gumieńce")</f>
        <v>A beautiful two -level apartment in Gumieńce</v>
      </c>
      <c r="D382" s="1">
        <v>695000</v>
      </c>
      <c r="E382" s="1" t="s">
        <v>33</v>
      </c>
      <c r="F382" s="1">
        <v>86.59</v>
      </c>
      <c r="G382" s="1" t="s">
        <v>1821</v>
      </c>
      <c r="H382" s="1" t="str">
        <f ca="1">IFERROR(__xludf.DUMMYFUNCTION("GOOGLETRANSLATE(G382,""pl"",""en"")"),"street. General Stanisław Kopański, Gumieńce, West, Szczecin, West Pomeranian Voivodeship")</f>
        <v>street. General Stanisław Kopański, Gumieńce, West, Szczecin, West Pomeranian Voivodeship</v>
      </c>
      <c r="I382" s="1" t="s">
        <v>21</v>
      </c>
      <c r="J382" s="1" t="s">
        <v>21</v>
      </c>
      <c r="K382" s="1" t="s">
        <v>22</v>
      </c>
      <c r="L382" s="1" t="s">
        <v>1822</v>
      </c>
      <c r="M382" s="1">
        <v>3</v>
      </c>
      <c r="N382" s="1" t="s">
        <v>24</v>
      </c>
      <c r="O382" s="1" t="str">
        <f ca="1">IFERROR(__xludf.DUMMYFUNCTION("GOOGLETRANSLATE(N382,""pl"",""en"")"),"full ownership")</f>
        <v>full ownership</v>
      </c>
      <c r="P382" s="3" t="s">
        <v>1823</v>
      </c>
      <c r="Q382" s="1" t="b">
        <v>1</v>
      </c>
      <c r="R382" s="1" t="s">
        <v>1824</v>
      </c>
    </row>
    <row r="383" spans="1:18" x14ac:dyDescent="0.25">
      <c r="A383" s="2">
        <v>45173</v>
      </c>
      <c r="B383" s="1" t="s">
        <v>1825</v>
      </c>
      <c r="C383" s="1" t="str">
        <f ca="1">IFERROR(__xludf.DUMMYFUNCTION("GOOGLETRANSLATE(B383,""pl"",""en"")"),"Apartment 500m from the sea! Swimming pool, court, gym")</f>
        <v>Apartment 500m from the sea! Swimming pool, court, gym</v>
      </c>
      <c r="D383" s="1">
        <v>700000</v>
      </c>
      <c r="E383" s="1" t="s">
        <v>33</v>
      </c>
      <c r="F383" s="1">
        <v>48.16</v>
      </c>
      <c r="G383" s="1" t="s">
        <v>1826</v>
      </c>
      <c r="H383" s="1" t="str">
        <f ca="1">IFERROR(__xludf.DUMMYFUNCTION("GOOGLETRANSLATE(G383,""pl"",""en"")"),"street. Zachodnia, Ustronie Morskie, Ustronie Morskie, Kołobrzeski, West Pomeranian Voivodeship")</f>
        <v>street. Zachodnia, Ustronie Morskie, Ustronie Morskie, Kołobrzeski, West Pomeranian Voivodeship</v>
      </c>
      <c r="I383" s="1" t="s">
        <v>21</v>
      </c>
      <c r="J383" s="1" t="s">
        <v>21</v>
      </c>
      <c r="K383" s="1" t="s">
        <v>22</v>
      </c>
      <c r="L383" s="1" t="s">
        <v>1827</v>
      </c>
      <c r="M383" s="1">
        <v>2</v>
      </c>
      <c r="N383" s="1" t="s">
        <v>24</v>
      </c>
      <c r="O383" s="1" t="str">
        <f ca="1">IFERROR(__xludf.DUMMYFUNCTION("GOOGLETRANSLATE(N383,""pl"",""en"")"),"full ownership")</f>
        <v>full ownership</v>
      </c>
      <c r="P383" s="3" t="s">
        <v>1828</v>
      </c>
      <c r="Q383" s="1" t="b">
        <v>1</v>
      </c>
      <c r="R383" s="1" t="s">
        <v>1829</v>
      </c>
    </row>
    <row r="384" spans="1:18" x14ac:dyDescent="0.25">
      <c r="A384" s="2">
        <v>45173</v>
      </c>
      <c r="B384" s="1" t="s">
        <v>1830</v>
      </c>
      <c r="C384" s="1" t="str">
        <f ca="1">IFERROR(__xludf.DUMMYFUNCTION("GOOGLETRANSLATE(B384,""pl"",""en"")"),"Pogodno house with a garden and 2 garages")</f>
        <v>Pogodno house with a garden and 2 garages</v>
      </c>
      <c r="D384" s="1">
        <v>1599000</v>
      </c>
      <c r="E384" s="1" t="s">
        <v>33</v>
      </c>
      <c r="F384" s="1">
        <v>162</v>
      </c>
      <c r="G384" s="1" t="s">
        <v>1831</v>
      </c>
      <c r="H384" s="1" t="str">
        <f ca="1">IFERROR(__xludf.DUMMYFUNCTION("GOOGLETRANSLATE(G384,""pl"",""en"")"),"Pogodno, West, Szczecin, West Pomeranian Voivodeship")</f>
        <v>Pogodno, West, Szczecin, West Pomeranian Voivodeship</v>
      </c>
      <c r="I384" s="1" t="b">
        <v>1</v>
      </c>
      <c r="J384" s="1" t="s">
        <v>21</v>
      </c>
      <c r="K384" s="1" t="s">
        <v>22</v>
      </c>
      <c r="L384" s="1" t="s">
        <v>1832</v>
      </c>
      <c r="M384" s="1">
        <v>7</v>
      </c>
      <c r="N384" s="1" t="s">
        <v>21</v>
      </c>
      <c r="O384" s="1" t="str">
        <f ca="1">IFERROR(__xludf.DUMMYFUNCTION("GOOGLETRANSLATE(N384,""pl"",""en"")"),"null")</f>
        <v>null</v>
      </c>
      <c r="P384" s="3" t="s">
        <v>1833</v>
      </c>
      <c r="Q384" s="1" t="b">
        <v>1</v>
      </c>
      <c r="R384" s="1" t="s">
        <v>1834</v>
      </c>
    </row>
    <row r="385" spans="1:18" x14ac:dyDescent="0.25">
      <c r="A385" s="2">
        <v>45173</v>
      </c>
      <c r="B385" s="1" t="s">
        <v>1835</v>
      </c>
      <c r="C385" s="1" t="str">
        <f ca="1">IFERROR(__xludf.DUMMYFUNCTION("GOOGLETRANSLATE(B385,""pl"",""en"")"),"Apartment with a view of the bay, Jurata!")</f>
        <v>Apartment with a view of the bay, Jurata!</v>
      </c>
      <c r="D385" s="1">
        <v>3179000</v>
      </c>
      <c r="E385" s="1" t="s">
        <v>33</v>
      </c>
      <c r="F385" s="1">
        <v>70.66</v>
      </c>
      <c r="G385" s="1" t="s">
        <v>1836</v>
      </c>
      <c r="H385" s="1" t="str">
        <f ca="1">IFERROR(__xludf.DUMMYFUNCTION("GOOGLETRANSLATE(G385,""pl"",""en"")"),"Mestwina, Jurata, Jastarnia, Pucki, Pomeranian Voivodeship")</f>
        <v>Mestwina, Jurata, Jastarnia, Pucki, Pomeranian Voivodeship</v>
      </c>
      <c r="I385" s="1" t="s">
        <v>21</v>
      </c>
      <c r="J385" s="1" t="s">
        <v>21</v>
      </c>
      <c r="K385" s="1" t="s">
        <v>22</v>
      </c>
      <c r="L385" s="1" t="s">
        <v>1837</v>
      </c>
      <c r="M385" s="1">
        <v>3</v>
      </c>
      <c r="N385" s="1" t="s">
        <v>24</v>
      </c>
      <c r="O385" s="1" t="str">
        <f ca="1">IFERROR(__xludf.DUMMYFUNCTION("GOOGLETRANSLATE(N385,""pl"",""en"")"),"full ownership")</f>
        <v>full ownership</v>
      </c>
      <c r="P385" s="3" t="s">
        <v>1838</v>
      </c>
      <c r="Q385" s="1" t="b">
        <v>1</v>
      </c>
      <c r="R385" s="1" t="s">
        <v>1839</v>
      </c>
    </row>
    <row r="386" spans="1:18" x14ac:dyDescent="0.25">
      <c r="A386" s="2">
        <v>45173</v>
      </c>
      <c r="B386" s="1" t="s">
        <v>1840</v>
      </c>
      <c r="C386" s="1" t="str">
        <f ca="1">IFERROR(__xludf.DUMMYFUNCTION("GOOGLETRANSLATE(B386,""pl"",""en"")"),"Glamor pearl next to Piotrkowska. Air conditioning.")</f>
        <v>Glamor pearl next to Piotrkowska. Air conditioning.</v>
      </c>
      <c r="D386" s="1">
        <v>599000</v>
      </c>
      <c r="E386" s="1" t="s">
        <v>33</v>
      </c>
      <c r="F386" s="1">
        <v>50.93</v>
      </c>
      <c r="G386" s="1" t="s">
        <v>1841</v>
      </c>
      <c r="H386" s="1" t="str">
        <f ca="1">IFERROR(__xludf.DUMMYFUNCTION("GOOGLETRANSLATE(G386,""pl"",""en"")"),"street. Adama Próchnik, Centrum, Śródmieście, Łódź, Łódź")</f>
        <v>street. Adama Próchnik, Centrum, Śródmieście, Łódź, Łódź</v>
      </c>
      <c r="I386" s="1" t="b">
        <v>1</v>
      </c>
      <c r="J386" s="1" t="s">
        <v>21</v>
      </c>
      <c r="K386" s="1" t="s">
        <v>45</v>
      </c>
      <c r="L386" s="1" t="s">
        <v>1842</v>
      </c>
      <c r="M386" s="1">
        <v>2</v>
      </c>
      <c r="N386" s="1" t="s">
        <v>24</v>
      </c>
      <c r="O386" s="1" t="str">
        <f ca="1">IFERROR(__xludf.DUMMYFUNCTION("GOOGLETRANSLATE(N386,""pl"",""en"")"),"full ownership")</f>
        <v>full ownership</v>
      </c>
      <c r="P386" s="3" t="s">
        <v>1843</v>
      </c>
      <c r="Q386" s="1" t="b">
        <v>1</v>
      </c>
      <c r="R386" s="1" t="s">
        <v>1844</v>
      </c>
    </row>
    <row r="387" spans="1:18" x14ac:dyDescent="0.25">
      <c r="A387" s="2">
        <v>45173</v>
      </c>
      <c r="B387" s="1" t="s">
        <v>1634</v>
      </c>
      <c r="C387" s="1" t="str">
        <f ca="1">IFERROR(__xludf.DUMMYFUNCTION("GOOGLETRANSLATE(B387,""pl"",""en"")"),"Pinea Invest at the sea")</f>
        <v>Pinea Invest at the sea</v>
      </c>
      <c r="D387" s="1">
        <v>777200</v>
      </c>
      <c r="E387" s="1" t="s">
        <v>19</v>
      </c>
      <c r="F387" s="1">
        <v>38.86</v>
      </c>
      <c r="G387" s="1" t="s">
        <v>1635</v>
      </c>
      <c r="H387" s="1" t="str">
        <f ca="1">IFERROR(__xludf.DUMMYFUNCTION("GOOGLETRANSLATE(G387,""pl"",""en"")"),"Pobierowo, Rewal, Gryficki, West Pomeranian Voivodeship")</f>
        <v>Pobierowo, Rewal, Gryficki, West Pomeranian Voivodeship</v>
      </c>
      <c r="I387" s="1" t="s">
        <v>21</v>
      </c>
      <c r="J387" s="1" t="s">
        <v>21</v>
      </c>
      <c r="K387" s="1" t="s">
        <v>194</v>
      </c>
      <c r="L387" s="1" t="s">
        <v>1636</v>
      </c>
      <c r="M387" s="1">
        <v>2</v>
      </c>
      <c r="N387" s="1" t="s">
        <v>24</v>
      </c>
      <c r="O387" s="1" t="str">
        <f ca="1">IFERROR(__xludf.DUMMYFUNCTION("GOOGLETRANSLATE(N387,""pl"",""en"")"),"full ownership")</f>
        <v>full ownership</v>
      </c>
      <c r="P387" s="3" t="s">
        <v>1845</v>
      </c>
      <c r="Q387" s="1" t="b">
        <v>1</v>
      </c>
      <c r="R387" s="1" t="s">
        <v>1846</v>
      </c>
    </row>
    <row r="388" spans="1:18" x14ac:dyDescent="0.25">
      <c r="A388" s="2">
        <v>45173</v>
      </c>
      <c r="B388" s="1" t="s">
        <v>1847</v>
      </c>
      <c r="C388" s="1" t="str">
        <f ca="1">IFERROR(__xludf.DUMMYFUNCTION("GOOGLETRANSLATE(B388,""pl"",""en"")"),"Apartment in the view of Motława and the Old Town")</f>
        <v>Apartment in the view of Motława and the Old Town</v>
      </c>
      <c r="D388" s="1">
        <v>2038000</v>
      </c>
      <c r="E388" s="1" t="s">
        <v>33</v>
      </c>
      <c r="F388" s="1">
        <v>81.55</v>
      </c>
      <c r="G388" s="1" t="s">
        <v>1848</v>
      </c>
      <c r="H388" s="1" t="str">
        <f ca="1">IFERROR(__xludf.DUMMYFUNCTION("GOOGLETRANSLATE(G388,""pl"",""en"")"),"street. Sienna Grobla, Śródmieście, Gdańsk, Pomeranian Voivodeship")</f>
        <v>street. Sienna Grobla, Śródmieście, Gdańsk, Pomeranian Voivodeship</v>
      </c>
      <c r="I388" s="1" t="s">
        <v>21</v>
      </c>
      <c r="J388" s="1" t="s">
        <v>21</v>
      </c>
      <c r="K388" s="1" t="s">
        <v>22</v>
      </c>
      <c r="L388" s="1" t="s">
        <v>1849</v>
      </c>
      <c r="M388" s="1">
        <v>4</v>
      </c>
      <c r="N388" s="1" t="s">
        <v>24</v>
      </c>
      <c r="O388" s="1" t="str">
        <f ca="1">IFERROR(__xludf.DUMMYFUNCTION("GOOGLETRANSLATE(N388,""pl"",""en"")"),"full ownership")</f>
        <v>full ownership</v>
      </c>
      <c r="P388" s="3" t="s">
        <v>1850</v>
      </c>
      <c r="Q388" s="1" t="b">
        <v>1</v>
      </c>
      <c r="R388" s="1" t="s">
        <v>1851</v>
      </c>
    </row>
    <row r="389" spans="1:18" x14ac:dyDescent="0.25">
      <c r="A389" s="2">
        <v>45173</v>
      </c>
      <c r="B389" s="1" t="s">
        <v>1852</v>
      </c>
      <c r="C389" s="1" t="str">
        <f ca="1">IFERROR(__xludf.DUMMYFUNCTION("GOOGLETRANSLATE(B389,""pl"",""en"")"),"Premium apartment with a terrace and a view of the river")</f>
        <v>Premium apartment with a terrace and a view of the river</v>
      </c>
      <c r="D389" s="1">
        <v>1515000</v>
      </c>
      <c r="E389" s="1" t="s">
        <v>19</v>
      </c>
      <c r="F389" s="1">
        <v>86.51</v>
      </c>
      <c r="G389" s="1" t="s">
        <v>1853</v>
      </c>
      <c r="H389" s="1" t="str">
        <f ca="1">IFERROR(__xludf.DUMMYFUNCTION("GOOGLETRANSLATE(G389,""pl"",""en"")"),"street. National Unity, Ołbin, Śródmieście, Wrocław, DolnoSilesian Voivodeship")</f>
        <v>street. National Unity, Ołbin, Śródmieście, Wrocław, DolnoSilesian Voivodeship</v>
      </c>
      <c r="I389" s="1" t="s">
        <v>21</v>
      </c>
      <c r="J389" s="1" t="s">
        <v>21</v>
      </c>
      <c r="K389" s="1" t="s">
        <v>22</v>
      </c>
      <c r="L389" s="1" t="s">
        <v>1854</v>
      </c>
      <c r="M389" s="1">
        <v>4</v>
      </c>
      <c r="N389" s="1" t="s">
        <v>24</v>
      </c>
      <c r="O389" s="1" t="str">
        <f ca="1">IFERROR(__xludf.DUMMYFUNCTION("GOOGLETRANSLATE(N389,""pl"",""en"")"),"full ownership")</f>
        <v>full ownership</v>
      </c>
      <c r="P389" s="3" t="s">
        <v>1855</v>
      </c>
      <c r="Q389" s="1" t="b">
        <v>1</v>
      </c>
      <c r="R389" s="1" t="s">
        <v>1856</v>
      </c>
    </row>
    <row r="390" spans="1:18" x14ac:dyDescent="0.25">
      <c r="A390" s="2">
        <v>45173</v>
      </c>
      <c r="B390" s="1" t="s">
        <v>1857</v>
      </c>
      <c r="C390" s="1" t="str">
        <f ca="1">IFERROR(__xludf.DUMMYFUNCTION("GOOGLETRANSLATE(B390,""pl"",""en"")"),"Pinea Apartment next to the beach")</f>
        <v>Pinea Apartment next to the beach</v>
      </c>
      <c r="D390" s="1">
        <v>920460</v>
      </c>
      <c r="E390" s="1" t="s">
        <v>19</v>
      </c>
      <c r="F390" s="1">
        <v>53.36</v>
      </c>
      <c r="G390" s="1" t="s">
        <v>1635</v>
      </c>
      <c r="H390" s="1" t="str">
        <f ca="1">IFERROR(__xludf.DUMMYFUNCTION("GOOGLETRANSLATE(G390,""pl"",""en"")"),"Pobierowo, Rewal, Gryficki, West Pomeranian Voivodeship")</f>
        <v>Pobierowo, Rewal, Gryficki, West Pomeranian Voivodeship</v>
      </c>
      <c r="I390" s="1" t="b">
        <v>1</v>
      </c>
      <c r="J390" s="1" t="s">
        <v>21</v>
      </c>
      <c r="K390" s="1" t="s">
        <v>194</v>
      </c>
      <c r="L390" s="1" t="s">
        <v>1858</v>
      </c>
      <c r="M390" s="1">
        <v>2</v>
      </c>
      <c r="N390" s="1" t="s">
        <v>24</v>
      </c>
      <c r="O390" s="1" t="str">
        <f ca="1">IFERROR(__xludf.DUMMYFUNCTION("GOOGLETRANSLATE(N390,""pl"",""en"")"),"full ownership")</f>
        <v>full ownership</v>
      </c>
      <c r="P390" s="3" t="s">
        <v>1859</v>
      </c>
      <c r="Q390" s="1" t="b">
        <v>1</v>
      </c>
      <c r="R390" s="1" t="s">
        <v>1860</v>
      </c>
    </row>
    <row r="391" spans="1:18" x14ac:dyDescent="0.25">
      <c r="A391" s="2">
        <v>45173</v>
      </c>
      <c r="B391" s="1" t="s">
        <v>1861</v>
      </c>
      <c r="C391" s="1" t="str">
        <f ca="1">IFERROR(__xludf.DUMMYFUNCTION("GOOGLETRANSLATE(B391,""pl"",""en"")"),"Apartment at the trails of bicycle routes themselves")</f>
        <v>Apartment at the trails of bicycle routes themselves</v>
      </c>
      <c r="D391" s="1">
        <v>339000</v>
      </c>
      <c r="E391" s="1" t="s">
        <v>33</v>
      </c>
      <c r="F391" s="1">
        <v>30.74</v>
      </c>
      <c r="G391" s="1" t="s">
        <v>1862</v>
      </c>
      <c r="H391" s="1" t="str">
        <f ca="1">IFERROR(__xludf.DUMMYFUNCTION("GOOGLETRANSLATE(G391,""pl"",""en"")"),"Szklarska Poręba, Karkonoski, DolnoSilesian Voivodeship")</f>
        <v>Szklarska Poręba, Karkonoski, DolnoSilesian Voivodeship</v>
      </c>
      <c r="I391" s="1" t="s">
        <v>21</v>
      </c>
      <c r="J391" s="1" t="s">
        <v>21</v>
      </c>
      <c r="K391" s="1" t="s">
        <v>22</v>
      </c>
      <c r="L391" s="1" t="s">
        <v>1863</v>
      </c>
      <c r="M391" s="1">
        <v>2</v>
      </c>
      <c r="N391" s="1" t="s">
        <v>24</v>
      </c>
      <c r="O391" s="1" t="str">
        <f ca="1">IFERROR(__xludf.DUMMYFUNCTION("GOOGLETRANSLATE(N391,""pl"",""en"")"),"full ownership")</f>
        <v>full ownership</v>
      </c>
      <c r="P391" s="3" t="s">
        <v>1864</v>
      </c>
      <c r="Q391" s="1" t="b">
        <v>1</v>
      </c>
      <c r="R391" s="1" t="s">
        <v>1865</v>
      </c>
    </row>
    <row r="392" spans="1:18" x14ac:dyDescent="0.25">
      <c r="A392" s="2">
        <v>45173</v>
      </c>
      <c r="B392" s="1" t="s">
        <v>1866</v>
      </c>
      <c r="C392" s="1" t="str">
        <f ca="1">IFERROR(__xludf.DUMMYFUNCTION("GOOGLETRANSLATE(B392,""pl"",""en"")"),"Beautiful apartment, 4pok. 79.30m2, cell phone, terrace, garage")</f>
        <v>Beautiful apartment, 4pok. 79.30m2, cell phone, terrace, garage</v>
      </c>
      <c r="D392" s="1">
        <v>1397777</v>
      </c>
      <c r="E392" s="1" t="s">
        <v>33</v>
      </c>
      <c r="F392" s="1">
        <v>79.3</v>
      </c>
      <c r="G392" s="1" t="s">
        <v>1867</v>
      </c>
      <c r="H392" s="1" t="str">
        <f ca="1">IFERROR(__xludf.DUMMYFUNCTION("GOOGLETRANSLATE(G392,""pl"",""en"")"),"al. Aleja Wilanowska, Stegny, Mokotów, Warsaw, Masovian Voivodeship")</f>
        <v>al. Aleja Wilanowska, Stegny, Mokotów, Warsaw, Masovian Voivodeship</v>
      </c>
      <c r="I392" s="1" t="s">
        <v>21</v>
      </c>
      <c r="J392" s="1" t="s">
        <v>21</v>
      </c>
      <c r="K392" s="1" t="s">
        <v>22</v>
      </c>
      <c r="L392" s="1" t="s">
        <v>1868</v>
      </c>
      <c r="M392" s="1">
        <v>4</v>
      </c>
      <c r="N392" s="1" t="s">
        <v>24</v>
      </c>
      <c r="O392" s="1" t="str">
        <f ca="1">IFERROR(__xludf.DUMMYFUNCTION("GOOGLETRANSLATE(N392,""pl"",""en"")"),"full ownership")</f>
        <v>full ownership</v>
      </c>
      <c r="P392" s="3" t="s">
        <v>1869</v>
      </c>
      <c r="Q392" s="1" t="b">
        <v>1</v>
      </c>
      <c r="R392" s="1" t="s">
        <v>1870</v>
      </c>
    </row>
    <row r="393" spans="1:18" x14ac:dyDescent="0.25">
      <c r="A393" s="2">
        <v>45173</v>
      </c>
      <c r="B393" s="1" t="s">
        <v>1871</v>
      </c>
      <c r="C393" s="1" t="str">
        <f ca="1">IFERROR(__xludf.DUMMYFUNCTION("GOOGLETRANSLATE(B393,""pl"",""en"")"),"3 rooms with a garden with an area 98 m2")</f>
        <v>3 rooms with a garden with an area 98 m2</v>
      </c>
      <c r="D393" s="1">
        <v>886800</v>
      </c>
      <c r="E393" s="1" t="s">
        <v>19</v>
      </c>
      <c r="F393" s="1">
        <v>73.900000000000006</v>
      </c>
      <c r="G393" s="1" t="s">
        <v>4757</v>
      </c>
      <c r="H393" s="1" t="str">
        <f ca="1">IFERROR(__xludf.DUMMYFUNCTION("GOOGLETRANSLATE(G393,""pl"",""en"")"),"street. Jan Kantego Andrusikiewicz, Prokocim, Bieżanów-Prokocim, Kraków, Lesser Poland")</f>
        <v>street. Jan Kantego Andrusikiewicz, Prokocim, Bieżanów-Prokocim, Kraków, Lesser Poland</v>
      </c>
      <c r="I393" s="1" t="b">
        <v>1</v>
      </c>
      <c r="J393" s="1" t="s">
        <v>21</v>
      </c>
      <c r="K393" s="1" t="s">
        <v>22</v>
      </c>
      <c r="L393" s="1" t="s">
        <v>1872</v>
      </c>
      <c r="M393" s="1">
        <v>3</v>
      </c>
      <c r="N393" s="1" t="s">
        <v>24</v>
      </c>
      <c r="O393" s="1" t="str">
        <f ca="1">IFERROR(__xludf.DUMMYFUNCTION("GOOGLETRANSLATE(N393,""pl"",""en"")"),"full ownership")</f>
        <v>full ownership</v>
      </c>
      <c r="P393" s="3" t="s">
        <v>1873</v>
      </c>
      <c r="Q393" s="1" t="b">
        <v>1</v>
      </c>
      <c r="R393" s="1" t="s">
        <v>1874</v>
      </c>
    </row>
    <row r="394" spans="1:18" x14ac:dyDescent="0.25">
      <c r="A394" s="2">
        <v>45173</v>
      </c>
      <c r="B394" s="1" t="s">
        <v>1875</v>
      </c>
      <c r="C394" s="1" t="str">
        <f ca="1">IFERROR(__xludf.DUMMYFUNCTION("GOOGLETRANSLATE(B394,""pl"",""en"")"),"Apartment 128.17 m2 / Prądnik Biały")</f>
        <v>Apartment 128.17 m2 / Prądnik Biały</v>
      </c>
      <c r="D394" s="1">
        <v>1230000</v>
      </c>
      <c r="E394" s="1" t="s">
        <v>19</v>
      </c>
      <c r="F394" s="1">
        <v>128.16999999999999</v>
      </c>
      <c r="G394" s="1" t="s">
        <v>4758</v>
      </c>
      <c r="H394" s="1" t="str">
        <f ca="1">IFERROR(__xludf.DUMMYFUNCTION("GOOGLETRANSLATE(G394,""pl"",""en"")"),"street. Maciejkowa, Ton, Prądnik Biały, Kraków, Lesser Poland")</f>
        <v>street. Maciejkowa, Ton, Prądnik Biały, Kraków, Lesser Poland</v>
      </c>
      <c r="I394" s="1" t="s">
        <v>21</v>
      </c>
      <c r="J394" s="1" t="s">
        <v>21</v>
      </c>
      <c r="K394" s="1" t="s">
        <v>194</v>
      </c>
      <c r="L394" s="1" t="s">
        <v>1876</v>
      </c>
      <c r="M394" s="1">
        <v>6</v>
      </c>
      <c r="N394" s="1" t="s">
        <v>24</v>
      </c>
      <c r="O394" s="1" t="str">
        <f ca="1">IFERROR(__xludf.DUMMYFUNCTION("GOOGLETRANSLATE(N394,""pl"",""en"")"),"full ownership")</f>
        <v>full ownership</v>
      </c>
      <c r="P394" s="3" t="s">
        <v>1877</v>
      </c>
      <c r="Q394" s="1" t="b">
        <v>1</v>
      </c>
      <c r="R394" s="1" t="s">
        <v>1878</v>
      </c>
    </row>
    <row r="395" spans="1:18" x14ac:dyDescent="0.25">
      <c r="A395" s="2">
        <v>45173</v>
      </c>
      <c r="B395" s="1" t="s">
        <v>1879</v>
      </c>
      <c r="C395" s="1" t="str">
        <f ca="1">IFERROR(__xludf.DUMMYFUNCTION("GOOGLETRANSLATE(B395,""pl"",""en"")"),"A beautiful apartment ready to live")</f>
        <v>A beautiful apartment ready to live</v>
      </c>
      <c r="D395" s="1">
        <v>929000</v>
      </c>
      <c r="E395" s="1" t="s">
        <v>33</v>
      </c>
      <c r="F395" s="1">
        <v>110.4</v>
      </c>
      <c r="G395" s="1" t="s">
        <v>1880</v>
      </c>
      <c r="H395" s="1" t="str">
        <f ca="1">IFERROR(__xludf.DUMMYFUNCTION("GOOGLETRANSLATE(G395,""pl"",""en"")"),"Przybyszówka, Rzeszów, Podkarpackie")</f>
        <v>Przybyszówka, Rzeszów, Podkarpackie</v>
      </c>
      <c r="I395" s="1" t="s">
        <v>21</v>
      </c>
      <c r="J395" s="1" t="s">
        <v>21</v>
      </c>
      <c r="K395" s="1" t="s">
        <v>22</v>
      </c>
      <c r="L395" s="1" t="s">
        <v>1881</v>
      </c>
      <c r="M395" s="1">
        <v>4</v>
      </c>
      <c r="N395" s="1" t="s">
        <v>24</v>
      </c>
      <c r="O395" s="1" t="str">
        <f ca="1">IFERROR(__xludf.DUMMYFUNCTION("GOOGLETRANSLATE(N395,""pl"",""en"")"),"full ownership")</f>
        <v>full ownership</v>
      </c>
      <c r="P395" s="3" t="s">
        <v>1882</v>
      </c>
      <c r="Q395" s="1" t="b">
        <v>1</v>
      </c>
      <c r="R395" s="1" t="s">
        <v>1883</v>
      </c>
    </row>
    <row r="396" spans="1:18" x14ac:dyDescent="0.25">
      <c r="A396" s="2">
        <v>45173</v>
      </c>
      <c r="B396" s="1" t="s">
        <v>1884</v>
      </c>
      <c r="C396" s="1" t="str">
        <f ca="1">IFERROR(__xludf.DUMMYFUNCTION("GOOGLETRANSLATE(B396,""pl"",""en"")"),"Apartments peach apartment b10")</f>
        <v>Apartments peach apartment b10</v>
      </c>
      <c r="D396" s="1">
        <v>529000</v>
      </c>
      <c r="E396" s="1" t="s">
        <v>19</v>
      </c>
      <c r="F396" s="1">
        <v>63.28</v>
      </c>
      <c r="G396" s="1" t="s">
        <v>1885</v>
      </c>
      <c r="H396" s="1" t="str">
        <f ca="1">IFERROR(__xludf.DUMMYFUNCTION("GOOGLETRANSLATE(G396,""pl"",""en"")"),"street. Peach, heather, Toruń, Kujawsko-Pomeranian Voivodeship")</f>
        <v>street. Peach, heather, Toruń, Kujawsko-Pomeranian Voivodeship</v>
      </c>
      <c r="I396" s="1" t="s">
        <v>21</v>
      </c>
      <c r="J396" s="1" t="s">
        <v>21</v>
      </c>
      <c r="K396" s="1" t="s">
        <v>194</v>
      </c>
      <c r="L396" s="1" t="s">
        <v>1886</v>
      </c>
      <c r="M396" s="1">
        <v>2</v>
      </c>
      <c r="N396" s="1" t="s">
        <v>24</v>
      </c>
      <c r="O396" s="1" t="str">
        <f ca="1">IFERROR(__xludf.DUMMYFUNCTION("GOOGLETRANSLATE(N396,""pl"",""en"")"),"full ownership")</f>
        <v>full ownership</v>
      </c>
      <c r="P396" s="3" t="s">
        <v>1887</v>
      </c>
      <c r="Q396" s="1" t="b">
        <v>1</v>
      </c>
      <c r="R396" s="1" t="s">
        <v>1888</v>
      </c>
    </row>
    <row r="397" spans="1:18" x14ac:dyDescent="0.25">
      <c r="A397" s="2">
        <v>45173</v>
      </c>
      <c r="B397" s="1" t="s">
        <v>1889</v>
      </c>
      <c r="C397" s="1" t="str">
        <f ca="1">IFERROR(__xludf.DUMMYFUNCTION("GOOGLETRANSLATE(B397,""pl"",""en"")"),"Apartment ul. Prince Witold with a view of the Oder")</f>
        <v>Apartment ul. Prince Witold with a view of the Oder</v>
      </c>
      <c r="D397" s="1">
        <v>2192400</v>
      </c>
      <c r="E397" s="1" t="s">
        <v>19</v>
      </c>
      <c r="F397" s="1">
        <v>116</v>
      </c>
      <c r="G397" s="1" t="s">
        <v>1890</v>
      </c>
      <c r="H397" s="1" t="str">
        <f ca="1">IFERROR(__xludf.DUMMYFUNCTION("GOOGLETRANSLATE(G397,""pl"",""en"")"),"street. Prince Witold, Nadodrze, Śródmieście, Wrocław, Lower Silesia")</f>
        <v>street. Prince Witold, Nadodrze, Śródmieście, Wrocław, Lower Silesia</v>
      </c>
      <c r="I397" s="1" t="s">
        <v>21</v>
      </c>
      <c r="J397" s="1" t="s">
        <v>21</v>
      </c>
      <c r="K397" s="1" t="s">
        <v>22</v>
      </c>
      <c r="L397" s="1" t="s">
        <v>1891</v>
      </c>
      <c r="M397" s="1">
        <v>4</v>
      </c>
      <c r="N397" s="1" t="s">
        <v>24</v>
      </c>
      <c r="O397" s="1" t="str">
        <f ca="1">IFERROR(__xludf.DUMMYFUNCTION("GOOGLETRANSLATE(N397,""pl"",""en"")"),"full ownership")</f>
        <v>full ownership</v>
      </c>
      <c r="P397" s="3" t="s">
        <v>1892</v>
      </c>
      <c r="Q397" s="1" t="b">
        <v>1</v>
      </c>
      <c r="R397" s="1" t="s">
        <v>1893</v>
      </c>
    </row>
    <row r="398" spans="1:18" x14ac:dyDescent="0.25">
      <c r="A398" s="2">
        <v>45173</v>
      </c>
      <c r="B398" s="1" t="s">
        <v>1894</v>
      </c>
      <c r="C398" s="1" t="str">
        <f ca="1">IFERROR(__xludf.DUMMYFUNCTION("GOOGLETRANSLATE(B398,""pl"",""en"")"),"4-room, energy-saving apartment !!")</f>
        <v>4-room, energy-saving apartment !!</v>
      </c>
      <c r="D398" s="1">
        <v>307000</v>
      </c>
      <c r="E398" s="1" t="s">
        <v>19</v>
      </c>
      <c r="F398" s="1">
        <v>80</v>
      </c>
      <c r="G398" s="1" t="s">
        <v>1895</v>
      </c>
      <c r="H398" s="1" t="str">
        <f ca="1">IFERROR(__xludf.DUMMYFUNCTION("GOOGLETRANSLATE(G398,""pl"",""en"")"),"Gostkowo, Łysomice, Toruń, Kujawsko-Pomeranian Voivodeship")</f>
        <v>Gostkowo, Łysomice, Toruń, Kujawsko-Pomeranian Voivodeship</v>
      </c>
      <c r="I398" s="1" t="b">
        <v>1</v>
      </c>
      <c r="J398" s="1" t="s">
        <v>21</v>
      </c>
      <c r="K398" s="1" t="s">
        <v>22</v>
      </c>
      <c r="L398" s="1" t="s">
        <v>1896</v>
      </c>
      <c r="M398" s="1">
        <v>4</v>
      </c>
      <c r="N398" s="1" t="s">
        <v>24</v>
      </c>
      <c r="O398" s="1" t="str">
        <f ca="1">IFERROR(__xludf.DUMMYFUNCTION("GOOGLETRANSLATE(N398,""pl"",""en"")"),"full ownership")</f>
        <v>full ownership</v>
      </c>
      <c r="P398" s="3" t="s">
        <v>1897</v>
      </c>
      <c r="Q398" s="1" t="b">
        <v>1</v>
      </c>
      <c r="R398" s="1" t="s">
        <v>1898</v>
      </c>
    </row>
    <row r="399" spans="1:18" x14ac:dyDescent="0.25">
      <c r="A399" s="2">
        <v>45173</v>
      </c>
      <c r="B399" s="1" t="s">
        <v>1899</v>
      </c>
      <c r="C399" s="1" t="str">
        <f ca="1">IFERROR(__xludf.DUMMYFUNCTION("GOOGLETRANSLATE(B399,""pl"",""en"")"),"Apartment 3 minutes from the beach!")</f>
        <v>Apartment 3 minutes from the beach!</v>
      </c>
      <c r="D399" s="1">
        <v>1850000</v>
      </c>
      <c r="E399" s="1" t="s">
        <v>33</v>
      </c>
      <c r="F399" s="1">
        <v>92.76</v>
      </c>
      <c r="G399" s="1" t="s">
        <v>1900</v>
      </c>
      <c r="H399" s="1" t="str">
        <f ca="1">IFERROR(__xludf.DUMMYFUNCTION("GOOGLETRANSLATE(G399,""pl"",""en"")"),"street. Battle of Płowce, Karlikowo, Sopot, Pomeranian Voivodeship")</f>
        <v>street. Battle of Płowce, Karlikowo, Sopot, Pomeranian Voivodeship</v>
      </c>
      <c r="I399" s="1" t="s">
        <v>21</v>
      </c>
      <c r="J399" s="1" t="s">
        <v>21</v>
      </c>
      <c r="K399" s="1" t="s">
        <v>22</v>
      </c>
      <c r="L399" s="1" t="s">
        <v>1901</v>
      </c>
      <c r="M399" s="1">
        <v>4</v>
      </c>
      <c r="N399" s="1" t="s">
        <v>24</v>
      </c>
      <c r="O399" s="1" t="str">
        <f ca="1">IFERROR(__xludf.DUMMYFUNCTION("GOOGLETRANSLATE(N399,""pl"",""en"")"),"full ownership")</f>
        <v>full ownership</v>
      </c>
      <c r="P399" s="3" t="s">
        <v>1902</v>
      </c>
      <c r="Q399" s="1" t="b">
        <v>1</v>
      </c>
      <c r="R399" s="1" t="s">
        <v>1903</v>
      </c>
    </row>
    <row r="400" spans="1:18" x14ac:dyDescent="0.25">
      <c r="A400" s="2">
        <v>45173</v>
      </c>
      <c r="B400" s="1" t="s">
        <v>1904</v>
      </c>
      <c r="C400" s="1" t="str">
        <f ca="1">IFERROR(__xludf.DUMMYFUNCTION("GOOGLETRANSLATE(B400,""pl"",""en"")"),"Kamienica floor with a large plot.")</f>
        <v>Kamienica floor with a large plot.</v>
      </c>
      <c r="D400" s="1">
        <v>349000</v>
      </c>
      <c r="E400" s="1" t="s">
        <v>33</v>
      </c>
      <c r="F400" s="1">
        <v>131.6</v>
      </c>
      <c r="G400" s="1" t="s">
        <v>1905</v>
      </c>
      <c r="H400" s="1" t="str">
        <f ca="1">IFERROR(__xludf.DUMMYFUNCTION("GOOGLETRANSLATE(G400,""pl"",""en"")"),"Bielawa, Dzierżoniowski, DolnoSilesian Voivodeship")</f>
        <v>Bielawa, Dzierżoniowski, DolnoSilesian Voivodeship</v>
      </c>
      <c r="I400" s="1" t="s">
        <v>21</v>
      </c>
      <c r="J400" s="1" t="s">
        <v>21</v>
      </c>
      <c r="K400" s="1" t="s">
        <v>22</v>
      </c>
      <c r="L400" s="1" t="s">
        <v>1906</v>
      </c>
      <c r="M400" s="1">
        <v>4</v>
      </c>
      <c r="N400" s="1" t="s">
        <v>24</v>
      </c>
      <c r="O400" s="1" t="str">
        <f ca="1">IFERROR(__xludf.DUMMYFUNCTION("GOOGLETRANSLATE(N400,""pl"",""en"")"),"full ownership")</f>
        <v>full ownership</v>
      </c>
      <c r="P400" s="3" t="s">
        <v>1907</v>
      </c>
      <c r="Q400" s="1" t="b">
        <v>1</v>
      </c>
      <c r="R400" s="1" t="s">
        <v>1908</v>
      </c>
    </row>
    <row r="401" spans="1:18" x14ac:dyDescent="0.25">
      <c r="A401" s="2">
        <v>45173</v>
      </c>
      <c r="B401" s="1" t="s">
        <v>1909</v>
      </c>
      <c r="C401" s="1" t="str">
        <f ca="1">IFERROR(__xludf.DUMMYFUNCTION("GOOGLETRANSLATE(B401,""pl"",""en"")"),"75 m2 Development condition")</f>
        <v>75 m2 Development condition</v>
      </c>
      <c r="D401" s="1">
        <v>562500</v>
      </c>
      <c r="E401" s="1" t="s">
        <v>33</v>
      </c>
      <c r="F401" s="1">
        <v>75</v>
      </c>
      <c r="G401" s="1" t="s">
        <v>1910</v>
      </c>
      <c r="H401" s="1" t="str">
        <f ca="1">IFERROR(__xludf.DUMMYFUNCTION("GOOGLETRANSLATE(G401,""pl"",""en"")"),"street. Rybaki, Stary Fordon, Bydgoszcz, Kujawsko-Pomeranian Voivodeship")</f>
        <v>street. Rybaki, Stary Fordon, Bydgoszcz, Kujawsko-Pomeranian Voivodeship</v>
      </c>
      <c r="I401" s="1" t="s">
        <v>21</v>
      </c>
      <c r="J401" s="1" t="s">
        <v>21</v>
      </c>
      <c r="K401" s="1" t="s">
        <v>22</v>
      </c>
      <c r="L401" s="1" t="s">
        <v>1911</v>
      </c>
      <c r="M401" s="1">
        <v>3</v>
      </c>
      <c r="N401" s="1" t="s">
        <v>24</v>
      </c>
      <c r="O401" s="1" t="str">
        <f ca="1">IFERROR(__xludf.DUMMYFUNCTION("GOOGLETRANSLATE(N401,""pl"",""en"")"),"full ownership")</f>
        <v>full ownership</v>
      </c>
      <c r="P401" s="3" t="s">
        <v>1912</v>
      </c>
      <c r="Q401" s="1" t="b">
        <v>1</v>
      </c>
      <c r="R401" s="1" t="s">
        <v>1913</v>
      </c>
    </row>
    <row r="402" spans="1:18" x14ac:dyDescent="0.25">
      <c r="A402" s="2">
        <v>45173</v>
      </c>
      <c r="B402" s="1" t="s">
        <v>1914</v>
      </c>
      <c r="C402" s="1" t="str">
        <f ca="1">IFERROR(__xludf.DUMMYFUNCTION("GOOGLETRANSLATE(B402,""pl"",""en"")"),"Beautiful apartment 2 room 600m to the beach")</f>
        <v>Beautiful apartment 2 room 600m to the beach</v>
      </c>
      <c r="D402" s="1">
        <v>399000</v>
      </c>
      <c r="E402" s="1" t="s">
        <v>33</v>
      </c>
      <c r="F402" s="1">
        <v>28.56</v>
      </c>
      <c r="G402" s="1" t="s">
        <v>150</v>
      </c>
      <c r="H402" s="1" t="str">
        <f ca="1">IFERROR(__xludf.DUMMYFUNCTION("GOOGLETRANSLATE(G402,""pl"",""en"")"),"Kołobrzeg, Kołobrzeski, ZachodnioPomeranian Voivodeship")</f>
        <v>Kołobrzeg, Kołobrzeski, ZachodnioPomeranian Voivodeship</v>
      </c>
      <c r="I402" s="1" t="s">
        <v>21</v>
      </c>
      <c r="J402" s="1" t="s">
        <v>21</v>
      </c>
      <c r="K402" s="1" t="s">
        <v>22</v>
      </c>
      <c r="L402" s="1" t="s">
        <v>1915</v>
      </c>
      <c r="M402" s="1">
        <v>2</v>
      </c>
      <c r="N402" s="1" t="s">
        <v>24</v>
      </c>
      <c r="O402" s="1" t="str">
        <f ca="1">IFERROR(__xludf.DUMMYFUNCTION("GOOGLETRANSLATE(N402,""pl"",""en"")"),"full ownership")</f>
        <v>full ownership</v>
      </c>
      <c r="P402" s="3" t="s">
        <v>1916</v>
      </c>
      <c r="Q402" s="1" t="b">
        <v>1</v>
      </c>
      <c r="R402" s="1" t="s">
        <v>1917</v>
      </c>
    </row>
    <row r="403" spans="1:18" x14ac:dyDescent="0.25">
      <c r="A403" s="2">
        <v>45173</v>
      </c>
      <c r="B403" s="1" t="s">
        <v>1918</v>
      </c>
      <c r="C403" s="1" t="str">
        <f ca="1">IFERROR(__xludf.DUMMYFUNCTION("GOOGLETRANSLATE(B403,""pl"",""en"")"),"2nd apartment. 46.37m2 center, high standard")</f>
        <v>2nd apartment. 46.37m2 center, high standard</v>
      </c>
      <c r="D403" s="1">
        <v>399000</v>
      </c>
      <c r="E403" s="1" t="s">
        <v>33</v>
      </c>
      <c r="F403" s="1">
        <v>46.37</v>
      </c>
      <c r="G403" s="1" t="s">
        <v>4841</v>
      </c>
      <c r="H403" s="1" t="str">
        <f ca="1">IFERROR(__xludf.DUMMYFUNCTION("GOOGLETRANSLATE(G403,""pl"",""en"")"),"Gorzów Wielkopolski, Lubusz Voivodeship")</f>
        <v>Gorzów Wielkopolski, Lubusz Voivodeship</v>
      </c>
      <c r="I403" s="1" t="s">
        <v>21</v>
      </c>
      <c r="J403" s="1" t="s">
        <v>21</v>
      </c>
      <c r="K403" s="1" t="s">
        <v>22</v>
      </c>
      <c r="L403" s="1" t="s">
        <v>1919</v>
      </c>
      <c r="M403" s="1">
        <v>2</v>
      </c>
      <c r="N403" s="1" t="s">
        <v>24</v>
      </c>
      <c r="O403" s="1" t="str">
        <f ca="1">IFERROR(__xludf.DUMMYFUNCTION("GOOGLETRANSLATE(N403,""pl"",""en"")"),"full ownership")</f>
        <v>full ownership</v>
      </c>
      <c r="P403" s="3" t="s">
        <v>1920</v>
      </c>
      <c r="Q403" s="1" t="b">
        <v>1</v>
      </c>
      <c r="R403" s="1" t="s">
        <v>1921</v>
      </c>
    </row>
    <row r="404" spans="1:18" x14ac:dyDescent="0.25">
      <c r="A404" s="2">
        <v>45173</v>
      </c>
      <c r="B404" s="1" t="s">
        <v>1922</v>
      </c>
      <c r="C404" s="1" t="str">
        <f ca="1">IFERROR(__xludf.DUMMYFUNCTION("GOOGLETRANSLATE(B404,""pl"",""en"")"),"Beautifully finished 3 rooms from 2023 without PCC!")</f>
        <v>Beautifully finished 3 rooms from 2023 without PCC!</v>
      </c>
      <c r="D404" s="1">
        <v>711977</v>
      </c>
      <c r="E404" s="1" t="s">
        <v>33</v>
      </c>
      <c r="F404" s="1">
        <v>59.83</v>
      </c>
      <c r="G404" s="1" t="s">
        <v>1454</v>
      </c>
      <c r="H404" s="1" t="str">
        <f ca="1">IFERROR(__xludf.DUMMYFUNCTION("GOOGLETRANSLATE(G404,""pl"",""en"")"),"Wrotków, Lublin, Lublin Voivodeship")</f>
        <v>Wrotków, Lublin, Lublin Voivodeship</v>
      </c>
      <c r="I404" s="1" t="s">
        <v>21</v>
      </c>
      <c r="J404" s="1" t="s">
        <v>21</v>
      </c>
      <c r="K404" s="1" t="s">
        <v>22</v>
      </c>
      <c r="L404" s="1" t="s">
        <v>1923</v>
      </c>
      <c r="M404" s="1">
        <v>3</v>
      </c>
      <c r="N404" s="1" t="s">
        <v>24</v>
      </c>
      <c r="O404" s="1" t="str">
        <f ca="1">IFERROR(__xludf.DUMMYFUNCTION("GOOGLETRANSLATE(N404,""pl"",""en"")"),"full ownership")</f>
        <v>full ownership</v>
      </c>
      <c r="P404" s="3" t="s">
        <v>1924</v>
      </c>
      <c r="Q404" s="1" t="b">
        <v>1</v>
      </c>
      <c r="R404" s="1" t="s">
        <v>1925</v>
      </c>
    </row>
    <row r="405" spans="1:18" x14ac:dyDescent="0.25">
      <c r="A405" s="2">
        <v>45173</v>
      </c>
      <c r="B405" s="1" t="s">
        <v>1926</v>
      </c>
      <c r="C405" s="1" t="str">
        <f ca="1">IFERROR(__xludf.DUMMYFUNCTION("GOOGLETRANSLATE(B405,""pl"",""en"")"),"Apartament/ Podgórze/ 34m2/ ul. Turka/")</f>
        <v>Apartament/ Podgórze/ 34m2/ ul. Turka/</v>
      </c>
      <c r="D405" s="1">
        <v>369000</v>
      </c>
      <c r="E405" s="1" t="s">
        <v>33</v>
      </c>
      <c r="F405" s="1">
        <v>34</v>
      </c>
      <c r="G405" s="1" t="s">
        <v>4759</v>
      </c>
      <c r="H405" s="1" t="str">
        <f ca="1">IFERROR(__xludf.DUMMYFUNCTION("GOOGLETRANSLATE(G405,""pl"",""en"")"),"street. Father Wincentego Turka, Płaszów, Podgórze, Kraków, Lesser Poland")</f>
        <v>street. Father Wincentego Turka, Płaszów, Podgórze, Kraków, Lesser Poland</v>
      </c>
      <c r="I405" s="1" t="s">
        <v>21</v>
      </c>
      <c r="J405" s="1" t="s">
        <v>21</v>
      </c>
      <c r="K405" s="1" t="s">
        <v>22</v>
      </c>
      <c r="L405" s="1" t="s">
        <v>1927</v>
      </c>
      <c r="M405" s="1">
        <v>1</v>
      </c>
      <c r="N405" s="1" t="s">
        <v>85</v>
      </c>
      <c r="O405" s="1" t="str">
        <f ca="1">IFERROR(__xludf.DUMMYFUNCTION("GOOGLETRANSLATE(N405,""pl"",""en"")"),"Cooperative ownership of the right to the premises")</f>
        <v>Cooperative ownership of the right to the premises</v>
      </c>
      <c r="P405" s="3" t="s">
        <v>1928</v>
      </c>
      <c r="Q405" s="1" t="b">
        <v>1</v>
      </c>
      <c r="R405" s="1" t="s">
        <v>1929</v>
      </c>
    </row>
    <row r="406" spans="1:18" x14ac:dyDescent="0.25">
      <c r="A406" s="2">
        <v>45173</v>
      </c>
      <c r="B406" s="1" t="s">
        <v>1930</v>
      </c>
      <c r="C406" s="1" t="str">
        <f ca="1">IFERROR(__xludf.DUMMYFUNCTION("GOOGLETRANSLATE(B406,""pl"",""en"")"),"A beautiful apartment in the center, from the developer!")</f>
        <v>A beautiful apartment in the center, from the developer!</v>
      </c>
      <c r="D406" s="1">
        <v>404404</v>
      </c>
      <c r="E406" s="1" t="s">
        <v>19</v>
      </c>
      <c r="F406" s="1">
        <v>28.28</v>
      </c>
      <c r="G406" s="1" t="s">
        <v>1931</v>
      </c>
      <c r="H406" s="1" t="str">
        <f ca="1">IFERROR(__xludf.DUMMYFUNCTION("GOOGLETRANSLATE(G406,""pl"",""en"")"),"street. Komuny Paris, Przedmieście Oławskie, Krzyki, Wrocław, DolnoSilesian Voivodeship")</f>
        <v>street. Komuny Paris, Przedmieście Oławskie, Krzyki, Wrocław, DolnoSilesian Voivodeship</v>
      </c>
      <c r="I406" s="1" t="s">
        <v>21</v>
      </c>
      <c r="J406" s="1" t="s">
        <v>21</v>
      </c>
      <c r="K406" s="1" t="s">
        <v>22</v>
      </c>
      <c r="L406" s="1" t="s">
        <v>1932</v>
      </c>
      <c r="M406" s="1">
        <v>1</v>
      </c>
      <c r="N406" s="1" t="s">
        <v>24</v>
      </c>
      <c r="O406" s="1" t="str">
        <f ca="1">IFERROR(__xludf.DUMMYFUNCTION("GOOGLETRANSLATE(N406,""pl"",""en"")"),"full ownership")</f>
        <v>full ownership</v>
      </c>
      <c r="P406" s="3" t="s">
        <v>1933</v>
      </c>
      <c r="Q406" s="1" t="b">
        <v>1</v>
      </c>
      <c r="R406" s="1" t="s">
        <v>1934</v>
      </c>
    </row>
    <row r="407" spans="1:18" x14ac:dyDescent="0.25">
      <c r="A407" s="2">
        <v>45173</v>
      </c>
      <c r="B407" s="1" t="s">
        <v>1935</v>
      </c>
      <c r="C407" s="1" t="str">
        <f ca="1">IFERROR(__xludf.DUMMYFUNCTION("GOOGLETRANSLATE(B407,""pl"",""en"")"),"Beautiful apartment in Leszno")</f>
        <v>Beautiful apartment in Leszno</v>
      </c>
      <c r="D407" s="1">
        <v>359000</v>
      </c>
      <c r="E407" s="1" t="s">
        <v>33</v>
      </c>
      <c r="F407" s="1">
        <v>75</v>
      </c>
      <c r="G407" s="1" t="s">
        <v>4760</v>
      </c>
      <c r="H407" s="1" t="str">
        <f ca="1">IFERROR(__xludf.DUMMYFUNCTION("GOOGLETRANSLATE(G407,""pl"",""en"")"),"Leszno, Greater Poland")</f>
        <v>Leszno, Greater Poland</v>
      </c>
      <c r="I407" s="1" t="s">
        <v>21</v>
      </c>
      <c r="J407" s="1" t="s">
        <v>21</v>
      </c>
      <c r="K407" s="1" t="s">
        <v>22</v>
      </c>
      <c r="L407" s="1" t="s">
        <v>1936</v>
      </c>
      <c r="M407" s="1">
        <v>3</v>
      </c>
      <c r="N407" s="1" t="s">
        <v>24</v>
      </c>
      <c r="O407" s="1" t="str">
        <f ca="1">IFERROR(__xludf.DUMMYFUNCTION("GOOGLETRANSLATE(N407,""pl"",""en"")"),"full ownership")</f>
        <v>full ownership</v>
      </c>
      <c r="P407" s="3" t="s">
        <v>1937</v>
      </c>
      <c r="Q407" s="1" t="b">
        <v>1</v>
      </c>
      <c r="R407" s="1" t="s">
        <v>1938</v>
      </c>
    </row>
    <row r="408" spans="1:18" x14ac:dyDescent="0.25">
      <c r="A408" s="2">
        <v>45173</v>
      </c>
      <c r="B408" s="1" t="s">
        <v>1939</v>
      </c>
      <c r="C408" s="1" t="str">
        <f ca="1">IFERROR(__xludf.DUMMYFUNCTION("GOOGLETRANSLATE(B408,""pl"",""en"")"),"Investment apartments Refund of 23%VAT")</f>
        <v>Investment apartments Refund of 23%VAT</v>
      </c>
      <c r="D408" s="1">
        <v>535000</v>
      </c>
      <c r="E408" s="1" t="s">
        <v>19</v>
      </c>
      <c r="F408" s="1">
        <v>31.63</v>
      </c>
      <c r="G408" s="1" t="s">
        <v>1940</v>
      </c>
      <c r="H408" s="1" t="str">
        <f ca="1">IFERROR(__xludf.DUMMYFUNCTION("GOOGLETRANSLATE(G408,""pl"",""en"")"),"Pyry, Ursynów, Warsaw, Masovian Voivodeship")</f>
        <v>Pyry, Ursynów, Warsaw, Masovian Voivodeship</v>
      </c>
      <c r="I408" s="1" t="b">
        <v>1</v>
      </c>
      <c r="J408" s="1" t="s">
        <v>21</v>
      </c>
      <c r="K408" s="1" t="s">
        <v>22</v>
      </c>
      <c r="L408" s="1" t="s">
        <v>1941</v>
      </c>
      <c r="M408" s="1">
        <v>2</v>
      </c>
      <c r="N408" s="1" t="s">
        <v>24</v>
      </c>
      <c r="O408" s="1" t="str">
        <f ca="1">IFERROR(__xludf.DUMMYFUNCTION("GOOGLETRANSLATE(N408,""pl"",""en"")"),"full ownership")</f>
        <v>full ownership</v>
      </c>
      <c r="P408" s="3" t="s">
        <v>1942</v>
      </c>
      <c r="Q408" s="1" t="b">
        <v>1</v>
      </c>
      <c r="R408" s="1" t="s">
        <v>1943</v>
      </c>
    </row>
    <row r="409" spans="1:18" x14ac:dyDescent="0.25">
      <c r="A409" s="2">
        <v>45173</v>
      </c>
      <c r="B409" s="1" t="s">
        <v>1944</v>
      </c>
      <c r="C409" s="1" t="str">
        <f ca="1">IFERROR(__xludf.DUMMYFUNCTION("GOOGLETRANSLATE(B409,""pl"",""en"")"),"Apartment 3 rooms - 3rd floor Donation 2023")</f>
        <v>Apartment 3 rooms - 3rd floor Donation 2023</v>
      </c>
      <c r="D409" s="1">
        <v>387000</v>
      </c>
      <c r="E409" s="1" t="s">
        <v>19</v>
      </c>
      <c r="F409" s="1">
        <v>53.73</v>
      </c>
      <c r="G409" s="1" t="s">
        <v>1945</v>
      </c>
      <c r="H409" s="1" t="str">
        <f ca="1">IFERROR(__xludf.DUMMYFUNCTION("GOOGLETRANSLATE(G409,""pl"",""en"")"),"street. Stawy, Żywiec, Żywiec, Silesian Voivodeship")</f>
        <v>street. Stawy, Żywiec, Żywiec, Silesian Voivodeship</v>
      </c>
      <c r="I409" s="1" t="b">
        <v>1</v>
      </c>
      <c r="J409" s="1" t="s">
        <v>21</v>
      </c>
      <c r="K409" s="1" t="s">
        <v>194</v>
      </c>
      <c r="L409" s="1" t="s">
        <v>1946</v>
      </c>
      <c r="M409" s="1">
        <v>3</v>
      </c>
      <c r="N409" s="1" t="s">
        <v>24</v>
      </c>
      <c r="O409" s="1" t="str">
        <f ca="1">IFERROR(__xludf.DUMMYFUNCTION("GOOGLETRANSLATE(N409,""pl"",""en"")"),"full ownership")</f>
        <v>full ownership</v>
      </c>
      <c r="P409" s="3" t="s">
        <v>1947</v>
      </c>
      <c r="Q409" s="1" t="b">
        <v>1</v>
      </c>
      <c r="R409" s="1" t="s">
        <v>1948</v>
      </c>
    </row>
    <row r="410" spans="1:18" x14ac:dyDescent="0.25">
      <c r="A410" s="2">
        <v>45173</v>
      </c>
      <c r="B410" s="1" t="s">
        <v>1949</v>
      </c>
      <c r="C410" s="1" t="str">
        <f ca="1">IFERROR(__xludf.DUMMYFUNCTION("GOOGLETRANSLATE(B410,""pl"",""en"")"),"Apartment in the intimate building ""na Ustroń""")</f>
        <v>Apartment in the intimate building "na Ustroń"</v>
      </c>
      <c r="D410" s="1">
        <v>1753290</v>
      </c>
      <c r="E410" s="1" t="s">
        <v>19</v>
      </c>
      <c r="F410" s="1">
        <v>76.34</v>
      </c>
      <c r="G410" s="1" t="s">
        <v>4761</v>
      </c>
      <c r="H410" s="1" t="str">
        <f ca="1">IFERROR(__xludf.DUMMYFUNCTION("GOOGLETRANSLATE(G410,""pl"",""en"")"),"street. In Ustroń, Ludwinów, Dębniki, Kraków, Lesser Poland")</f>
        <v>street. In Ustroń, Ludwinów, Dębniki, Kraków, Lesser Poland</v>
      </c>
      <c r="I410" s="1" t="s">
        <v>21</v>
      </c>
      <c r="J410" s="1" t="s">
        <v>21</v>
      </c>
      <c r="K410" s="1" t="s">
        <v>22</v>
      </c>
      <c r="L410" s="1" t="s">
        <v>1950</v>
      </c>
      <c r="M410" s="1">
        <v>3</v>
      </c>
      <c r="N410" s="1" t="s">
        <v>24</v>
      </c>
      <c r="O410" s="1" t="str">
        <f ca="1">IFERROR(__xludf.DUMMYFUNCTION("GOOGLETRANSLATE(N410,""pl"",""en"")"),"full ownership")</f>
        <v>full ownership</v>
      </c>
      <c r="P410" s="3" t="s">
        <v>1951</v>
      </c>
      <c r="Q410" s="1" t="b">
        <v>1</v>
      </c>
      <c r="R410" s="1" t="s">
        <v>1952</v>
      </c>
    </row>
    <row r="411" spans="1:18" x14ac:dyDescent="0.25">
      <c r="A411" s="2">
        <v>45173</v>
      </c>
      <c r="B411" s="1" t="s">
        <v>1953</v>
      </c>
      <c r="C411" s="1" t="str">
        <f ca="1">IFERROR(__xludf.DUMMYFUNCTION("GOOGLETRANSLATE(B411,""pl"",""en"")"),"Apartment divided into 2 studios !!!")</f>
        <v>Apartment divided into 2 studios !!!</v>
      </c>
      <c r="D411" s="1">
        <v>994000</v>
      </c>
      <c r="E411" s="1" t="s">
        <v>33</v>
      </c>
      <c r="F411" s="1">
        <v>41.79</v>
      </c>
      <c r="G411" s="1" t="s">
        <v>1954</v>
      </c>
      <c r="H411" s="1" t="str">
        <f ca="1">IFERROR(__xludf.DUMMYFUNCTION("GOOGLETRANSLATE(G411,""pl"",""en"")"),"street. Joachim Lelewel, Wrzeszcz Dolny, Gdańsk, Pomeranian Voivodeship")</f>
        <v>street. Joachim Lelewel, Wrzeszcz Dolny, Gdańsk, Pomeranian Voivodeship</v>
      </c>
      <c r="I411" s="1" t="s">
        <v>21</v>
      </c>
      <c r="J411" s="1" t="s">
        <v>21</v>
      </c>
      <c r="K411" s="1" t="s">
        <v>22</v>
      </c>
      <c r="L411" s="1" t="s">
        <v>1955</v>
      </c>
      <c r="M411" s="1">
        <v>2</v>
      </c>
      <c r="N411" s="1" t="s">
        <v>24</v>
      </c>
      <c r="O411" s="1" t="str">
        <f ca="1">IFERROR(__xludf.DUMMYFUNCTION("GOOGLETRANSLATE(N411,""pl"",""en"")"),"full ownership")</f>
        <v>full ownership</v>
      </c>
      <c r="P411" s="3" t="s">
        <v>1956</v>
      </c>
      <c r="Q411" s="1" t="b">
        <v>1</v>
      </c>
      <c r="R411" s="1" t="s">
        <v>1957</v>
      </c>
    </row>
    <row r="412" spans="1:18" x14ac:dyDescent="0.25">
      <c r="A412" s="2">
        <v>45173</v>
      </c>
      <c r="B412" s="1" t="s">
        <v>1958</v>
      </c>
      <c r="C412" s="1" t="str">
        <f ca="1">IFERROR(__xludf.DUMMYFUNCTION("GOOGLETRANSLATE(B412,""pl"",""en"")"),"Apartment in Gdynia Wielki Kack")</f>
        <v>Apartment in Gdynia Wielki Kack</v>
      </c>
      <c r="D412" s="1">
        <v>499000</v>
      </c>
      <c r="E412" s="1" t="s">
        <v>19</v>
      </c>
      <c r="F412" s="1">
        <v>40.130000000000003</v>
      </c>
      <c r="G412" s="1" t="s">
        <v>1959</v>
      </c>
      <c r="H412" s="1" t="str">
        <f ca="1">IFERROR(__xludf.DUMMYFUNCTION("GOOGLETRANSLATE(G412,""pl"",""en"")"),"street. Nowodworcowa, Wielki Kack, Gdynia, Pomeranian")</f>
        <v>street. Nowodworcowa, Wielki Kack, Gdynia, Pomeranian</v>
      </c>
      <c r="I412" s="1" t="s">
        <v>21</v>
      </c>
      <c r="J412" s="1" t="s">
        <v>21</v>
      </c>
      <c r="K412" s="1" t="s">
        <v>22</v>
      </c>
      <c r="L412" s="1" t="s">
        <v>1960</v>
      </c>
      <c r="M412" s="1">
        <v>2</v>
      </c>
      <c r="N412" s="1" t="s">
        <v>24</v>
      </c>
      <c r="O412" s="1" t="str">
        <f ca="1">IFERROR(__xludf.DUMMYFUNCTION("GOOGLETRANSLATE(N412,""pl"",""en"")"),"full ownership")</f>
        <v>full ownership</v>
      </c>
      <c r="P412" s="3" t="s">
        <v>1961</v>
      </c>
      <c r="Q412" s="1" t="b">
        <v>1</v>
      </c>
      <c r="R412" s="1" t="s">
        <v>1962</v>
      </c>
    </row>
    <row r="413" spans="1:18" x14ac:dyDescent="0.25">
      <c r="A413" s="2">
        <v>45173</v>
      </c>
      <c r="B413" s="1" t="s">
        <v>1963</v>
      </c>
      <c r="C413" s="1" t="str">
        <f ca="1">IFERROR(__xludf.DUMMYFUNCTION("GOOGLETRANSLATE(B413,""pl"",""en"")"),"Penthouse on the 25th floor in ""Babka Tower""")</f>
        <v>Penthouse on the 25th floor in "Babka Tower"</v>
      </c>
      <c r="D413" s="1">
        <v>1900000</v>
      </c>
      <c r="E413" s="1" t="s">
        <v>33</v>
      </c>
      <c r="F413" s="1">
        <v>367</v>
      </c>
      <c r="G413" s="1" t="s">
        <v>1964</v>
      </c>
      <c r="H413" s="1" t="str">
        <f ca="1">IFERROR(__xludf.DUMMYFUNCTION("GOOGLETRANSLATE(G413,""pl"",""en"")"),"Old Miłosna, Wesoła, Warsaw, Masovian Voivodeship")</f>
        <v>Old Miłosna, Wesoła, Warsaw, Masovian Voivodeship</v>
      </c>
      <c r="I413" s="1" t="s">
        <v>21</v>
      </c>
      <c r="J413" s="1" t="s">
        <v>21</v>
      </c>
      <c r="K413" s="1" t="s">
        <v>22</v>
      </c>
      <c r="L413" s="1" t="s">
        <v>1965</v>
      </c>
      <c r="M413" s="1">
        <v>4</v>
      </c>
      <c r="N413" s="1" t="s">
        <v>24</v>
      </c>
      <c r="O413" s="1" t="str">
        <f ca="1">IFERROR(__xludf.DUMMYFUNCTION("GOOGLETRANSLATE(N413,""pl"",""en"")"),"full ownership")</f>
        <v>full ownership</v>
      </c>
      <c r="P413" s="3" t="s">
        <v>1966</v>
      </c>
      <c r="Q413" s="1" t="b">
        <v>1</v>
      </c>
      <c r="R413" s="1" t="s">
        <v>1967</v>
      </c>
    </row>
    <row r="414" spans="1:18" x14ac:dyDescent="0.25">
      <c r="A414" s="2">
        <v>45173</v>
      </c>
      <c r="B414" s="1" t="s">
        <v>1968</v>
      </c>
      <c r="C414" s="1" t="str">
        <f ca="1">IFERROR(__xludf.DUMMYFUNCTION("GOOGLETRANSLATE(B414,""pl"",""en"")"),"4 rooms with a beautiful view, tithes!")</f>
        <v>4 rooms with a beautiful view, tithes!</v>
      </c>
      <c r="D414" s="1">
        <v>429900</v>
      </c>
      <c r="E414" s="1" t="s">
        <v>33</v>
      </c>
      <c r="F414" s="1">
        <v>70.099999999999994</v>
      </c>
      <c r="G414" s="1" t="s">
        <v>1969</v>
      </c>
      <c r="H414" s="1" t="str">
        <f ca="1">IFERROR(__xludf.DUMMYFUNCTION("GOOGLETRANSLATE(G414,""pl"",""en"")"),"street. Zagórna, Titici II, Białystok, Podlasie")</f>
        <v>street. Zagórna, Titici II, Białystok, Podlasie</v>
      </c>
      <c r="I414" s="1" t="s">
        <v>21</v>
      </c>
      <c r="J414" s="1" t="s">
        <v>21</v>
      </c>
      <c r="K414" s="1" t="s">
        <v>22</v>
      </c>
      <c r="L414" s="1" t="s">
        <v>1970</v>
      </c>
      <c r="M414" s="1">
        <v>4</v>
      </c>
      <c r="N414" s="1" t="s">
        <v>24</v>
      </c>
      <c r="O414" s="1" t="str">
        <f ca="1">IFERROR(__xludf.DUMMYFUNCTION("GOOGLETRANSLATE(N414,""pl"",""en"")"),"full ownership")</f>
        <v>full ownership</v>
      </c>
      <c r="P414" s="3" t="s">
        <v>1971</v>
      </c>
      <c r="Q414" s="1" t="b">
        <v>1</v>
      </c>
      <c r="R414" s="1" t="s">
        <v>1972</v>
      </c>
    </row>
    <row r="415" spans="1:18" x14ac:dyDescent="0.25">
      <c r="A415" s="2">
        <v>45173</v>
      </c>
      <c r="B415" s="1" t="s">
        <v>1973</v>
      </c>
      <c r="C415" s="1" t="str">
        <f ca="1">IFERROR(__xludf.DUMMYFUNCTION("GOOGLETRANSLATE(B415,""pl"",""en"")"),"Apartment with a mezzanine and two terraces! Bud.C")</f>
        <v>Apartment with a mezzanine and two terraces! Bud.C</v>
      </c>
      <c r="D415" s="1">
        <v>802080</v>
      </c>
      <c r="E415" s="1" t="s">
        <v>19</v>
      </c>
      <c r="F415" s="1">
        <v>66.84</v>
      </c>
      <c r="G415" s="1" t="s">
        <v>1974</v>
      </c>
      <c r="H415" s="1" t="str">
        <f ca="1">IFERROR(__xludf.DUMMYFUNCTION("GOOGLETRANSLATE(G415,""pl"",""en"")"),"Jadwisin, Serock, Legionowski, Masovian Voivodeship")</f>
        <v>Jadwisin, Serock, Legionowski, Masovian Voivodeship</v>
      </c>
      <c r="I415" s="1" t="b">
        <v>1</v>
      </c>
      <c r="J415" s="1" t="s">
        <v>21</v>
      </c>
      <c r="K415" s="1" t="s">
        <v>194</v>
      </c>
      <c r="L415" s="1" t="s">
        <v>1975</v>
      </c>
      <c r="M415" s="1">
        <v>2</v>
      </c>
      <c r="N415" s="1" t="s">
        <v>24</v>
      </c>
      <c r="O415" s="1" t="str">
        <f ca="1">IFERROR(__xludf.DUMMYFUNCTION("GOOGLETRANSLATE(N415,""pl"",""en"")"),"full ownership")</f>
        <v>full ownership</v>
      </c>
      <c r="P415" s="3" t="s">
        <v>1976</v>
      </c>
      <c r="Q415" s="1" t="b">
        <v>1</v>
      </c>
      <c r="R415" s="1" t="s">
        <v>1977</v>
      </c>
    </row>
    <row r="416" spans="1:18" x14ac:dyDescent="0.25">
      <c r="A416" s="2">
        <v>45173</v>
      </c>
      <c r="B416" s="1" t="s">
        <v>1978</v>
      </c>
      <c r="C416" s="1" t="str">
        <f ca="1">IFERROR(__xludf.DUMMYFUNCTION("GOOGLETRANSLATE(B416,""pl"",""en"")"),"A beautiful apartment in Mysłowice directly")</f>
        <v>A beautiful apartment in Mysłowice directly</v>
      </c>
      <c r="D416" s="1">
        <v>370000</v>
      </c>
      <c r="E416" s="1" t="s">
        <v>33</v>
      </c>
      <c r="F416" s="1">
        <v>50</v>
      </c>
      <c r="G416" s="1" t="s">
        <v>1979</v>
      </c>
      <c r="H416" s="1" t="str">
        <f ca="1">IFERROR(__xludf.DUMMYFUNCTION("GOOGLETRANSLATE(G416,""pl"",""en"")"),"street. Sappers Silesian Voivodeship, Mysłowice, Silesian Voivodeship")</f>
        <v>street. Sappers Silesian Voivodeship, Mysłowice, Silesian Voivodeship</v>
      </c>
      <c r="I416" s="1" t="b">
        <v>1</v>
      </c>
      <c r="J416" s="1" t="s">
        <v>21</v>
      </c>
      <c r="K416" s="1" t="s">
        <v>45</v>
      </c>
      <c r="L416" s="1" t="s">
        <v>1980</v>
      </c>
      <c r="M416" s="1">
        <v>2</v>
      </c>
      <c r="N416" s="1" t="s">
        <v>24</v>
      </c>
      <c r="O416" s="1" t="str">
        <f ca="1">IFERROR(__xludf.DUMMYFUNCTION("GOOGLETRANSLATE(N416,""pl"",""en"")"),"full ownership")</f>
        <v>full ownership</v>
      </c>
      <c r="P416" s="3" t="s">
        <v>1981</v>
      </c>
      <c r="Q416" s="1" t="b">
        <v>1</v>
      </c>
      <c r="R416" s="1" t="s">
        <v>1982</v>
      </c>
    </row>
    <row r="417" spans="1:18" x14ac:dyDescent="0.25">
      <c r="A417" s="2">
        <v>45173</v>
      </c>
      <c r="B417" s="1" t="s">
        <v>1983</v>
      </c>
      <c r="C417" s="1" t="str">
        <f ca="1">IFERROR(__xludf.DUMMYFUNCTION("GOOGLETRANSLATE(B417,""pl"",""en"")"),"Apartment in the center with a beautiful view !!")</f>
        <v>Apartment in the center with a beautiful view !!</v>
      </c>
      <c r="D417" s="1">
        <v>889480</v>
      </c>
      <c r="E417" s="1" t="s">
        <v>19</v>
      </c>
      <c r="F417" s="1">
        <v>60.1</v>
      </c>
      <c r="G417" s="1" t="s">
        <v>1853</v>
      </c>
      <c r="H417" s="1" t="str">
        <f ca="1">IFERROR(__xludf.DUMMYFUNCTION("GOOGLETRANSLATE(G417,""pl"",""en"")"),"street. National Unity, Ołbin, Śródmieście, Wrocław, DolnoSilesian Voivodeship")</f>
        <v>street. National Unity, Ołbin, Śródmieście, Wrocław, DolnoSilesian Voivodeship</v>
      </c>
      <c r="I417" s="1" t="s">
        <v>21</v>
      </c>
      <c r="J417" s="1" t="s">
        <v>21</v>
      </c>
      <c r="K417" s="1" t="s">
        <v>22</v>
      </c>
      <c r="L417" s="1" t="s">
        <v>1984</v>
      </c>
      <c r="M417" s="1">
        <v>3</v>
      </c>
      <c r="N417" s="1" t="s">
        <v>24</v>
      </c>
      <c r="O417" s="1" t="str">
        <f ca="1">IFERROR(__xludf.DUMMYFUNCTION("GOOGLETRANSLATE(N417,""pl"",""en"")"),"full ownership")</f>
        <v>full ownership</v>
      </c>
      <c r="P417" s="3" t="s">
        <v>1985</v>
      </c>
      <c r="Q417" s="1" t="b">
        <v>1</v>
      </c>
      <c r="R417" s="1" t="s">
        <v>1986</v>
      </c>
    </row>
    <row r="418" spans="1:18" x14ac:dyDescent="0.25">
      <c r="A418" s="2">
        <v>45173</v>
      </c>
      <c r="B418" s="1" t="s">
        <v>1987</v>
      </c>
      <c r="C418" s="1" t="str">
        <f ca="1">IFERROR(__xludf.DUMMYFUNCTION("GOOGLETRANSLATE(B418,""pl"",""en"")"),"Turn turnkey Apartment sunday ustronie sea")</f>
        <v>Turn turnkey Apartment sunday ustronie sea</v>
      </c>
      <c r="D418" s="1">
        <v>493066</v>
      </c>
      <c r="E418" s="1" t="s">
        <v>19</v>
      </c>
      <c r="F418" s="1">
        <v>33.54</v>
      </c>
      <c r="G418" s="1" t="s">
        <v>1988</v>
      </c>
      <c r="H418" s="1" t="str">
        <f ca="1">IFERROR(__xludf.DUMMYFUNCTION("GOOGLETRANSLATE(G418,""pl"",""en"")"),"street. Polna, Ustronie Morskie, Ustronie Morskie, Kołobrzeski, West Pomeranian Voivodeship")</f>
        <v>street. Polna, Ustronie Morskie, Ustronie Morskie, Kołobrzeski, West Pomeranian Voivodeship</v>
      </c>
      <c r="I418" s="1" t="s">
        <v>21</v>
      </c>
      <c r="J418" s="1" t="s">
        <v>21</v>
      </c>
      <c r="K418" s="1" t="s">
        <v>194</v>
      </c>
      <c r="L418" s="1" t="s">
        <v>1989</v>
      </c>
      <c r="M418" s="1">
        <v>2</v>
      </c>
      <c r="N418" s="1" t="s">
        <v>24</v>
      </c>
      <c r="O418" s="1" t="str">
        <f ca="1">IFERROR(__xludf.DUMMYFUNCTION("GOOGLETRANSLATE(N418,""pl"",""en"")"),"full ownership")</f>
        <v>full ownership</v>
      </c>
      <c r="P418" s="3" t="s">
        <v>1990</v>
      </c>
      <c r="Q418" s="1" t="b">
        <v>1</v>
      </c>
      <c r="R418" s="1" t="s">
        <v>1991</v>
      </c>
    </row>
    <row r="419" spans="1:18" x14ac:dyDescent="0.25">
      <c r="A419" s="2">
        <v>45173</v>
      </c>
      <c r="B419" s="1" t="s">
        <v>1992</v>
      </c>
      <c r="C419" s="1" t="str">
        <f ca="1">IFERROR(__xludf.DUMMYFUNCTION("GOOGLETRANSLATE(B419,""pl"",""en"")"),"853/14328/OMS")</f>
        <v>853/14328/OMS</v>
      </c>
      <c r="D419" s="1">
        <v>399990</v>
      </c>
      <c r="E419" s="1" t="s">
        <v>33</v>
      </c>
      <c r="F419" s="1">
        <v>57</v>
      </c>
      <c r="G419" s="1" t="s">
        <v>1350</v>
      </c>
      <c r="H419" s="1" t="str">
        <f ca="1">IFERROR(__xludf.DUMMYFUNCTION("GOOGLETRANSLATE(G419,""pl"",""en"")"),"Karpacz, Karkonoski, Lower Silesia")</f>
        <v>Karpacz, Karkonoski, Lower Silesia</v>
      </c>
      <c r="I419" s="1" t="b">
        <v>1</v>
      </c>
      <c r="J419" s="1" t="s">
        <v>21</v>
      </c>
      <c r="K419" s="1" t="s">
        <v>22</v>
      </c>
      <c r="L419" s="1" t="s">
        <v>1993</v>
      </c>
      <c r="M419" s="1">
        <v>3</v>
      </c>
      <c r="N419" s="1" t="s">
        <v>24</v>
      </c>
      <c r="O419" s="1" t="str">
        <f ca="1">IFERROR(__xludf.DUMMYFUNCTION("GOOGLETRANSLATE(N419,""pl"",""en"")"),"full ownership")</f>
        <v>full ownership</v>
      </c>
      <c r="P419" s="3" t="s">
        <v>1994</v>
      </c>
      <c r="Q419" s="1" t="b">
        <v>1</v>
      </c>
      <c r="R419" s="1" t="s">
        <v>1995</v>
      </c>
    </row>
    <row r="420" spans="1:18" x14ac:dyDescent="0.25">
      <c r="A420" s="2">
        <v>45173</v>
      </c>
      <c r="B420" s="1" t="s">
        <v>1996</v>
      </c>
      <c r="C420" s="1" t="str">
        <f ca="1">IFERROR(__xludf.DUMMYFUNCTION("GOOGLETRANSLATE(B420,""pl"",""en"")"),"4 rooms with a large balcony!")</f>
        <v>4 rooms with a large balcony!</v>
      </c>
      <c r="D420" s="1">
        <v>1012912</v>
      </c>
      <c r="E420" s="1" t="s">
        <v>19</v>
      </c>
      <c r="F420" s="1">
        <v>94.85</v>
      </c>
      <c r="G420" s="1" t="s">
        <v>1997</v>
      </c>
      <c r="H420" s="1" t="str">
        <f ca="1">IFERROR(__xludf.DUMMYFUNCTION("GOOGLETRANSLATE(G420,""pl"",""en"")"),"street. Kraśnią, Jasień, Gdańsk, Pomeranian Voivodeship")</f>
        <v>street. Kraśnią, Jasień, Gdańsk, Pomeranian Voivodeship</v>
      </c>
      <c r="I420" s="1" t="s">
        <v>21</v>
      </c>
      <c r="J420" s="1" t="s">
        <v>21</v>
      </c>
      <c r="K420" s="1" t="s">
        <v>22</v>
      </c>
      <c r="L420" s="1" t="s">
        <v>1998</v>
      </c>
      <c r="M420" s="1">
        <v>4</v>
      </c>
      <c r="N420" s="1" t="s">
        <v>24</v>
      </c>
      <c r="O420" s="1" t="str">
        <f ca="1">IFERROR(__xludf.DUMMYFUNCTION("GOOGLETRANSLATE(N420,""pl"",""en"")"),"full ownership")</f>
        <v>full ownership</v>
      </c>
      <c r="P420" s="3" t="s">
        <v>1999</v>
      </c>
      <c r="Q420" s="1" t="b">
        <v>1</v>
      </c>
      <c r="R420" s="1" t="s">
        <v>2000</v>
      </c>
    </row>
    <row r="421" spans="1:18" x14ac:dyDescent="0.25">
      <c r="A421" s="2">
        <v>45173</v>
      </c>
      <c r="B421" s="1" t="s">
        <v>2001</v>
      </c>
      <c r="C421" s="1" t="str">
        <f ca="1">IFERROR(__xludf.DUMMYFUNCTION("GOOGLETRANSLATE(B421,""pl"",""en"")"),"Apartment by the sea 23% VAT Rental service")</f>
        <v>Apartment by the sea 23% VAT Rental service</v>
      </c>
      <c r="D421" s="1">
        <v>301470</v>
      </c>
      <c r="E421" s="1" t="s">
        <v>19</v>
      </c>
      <c r="F421" s="1">
        <v>30.15</v>
      </c>
      <c r="G421" s="1" t="s">
        <v>2002</v>
      </c>
      <c r="H421" s="1" t="str">
        <f ca="1">IFERROR(__xludf.DUMMYFUNCTION("GOOGLETRANSLATE(G421,""pl"",""en"")"),"street. Ogrodowa, Ustronie Morskie, Ustronie Morskie, Kołobrzeski, West Pomeranian Voivodeship")</f>
        <v>street. Ogrodowa, Ustronie Morskie, Ustronie Morskie, Kołobrzeski, West Pomeranian Voivodeship</v>
      </c>
      <c r="I421" s="1" t="b">
        <v>1</v>
      </c>
      <c r="J421" s="1" t="s">
        <v>21</v>
      </c>
      <c r="K421" s="1" t="s">
        <v>22</v>
      </c>
      <c r="L421" s="1" t="s">
        <v>2003</v>
      </c>
      <c r="M421" s="1">
        <v>1</v>
      </c>
      <c r="N421" s="1" t="s">
        <v>24</v>
      </c>
      <c r="O421" s="1" t="str">
        <f ca="1">IFERROR(__xludf.DUMMYFUNCTION("GOOGLETRANSLATE(N421,""pl"",""en"")"),"full ownership")</f>
        <v>full ownership</v>
      </c>
      <c r="P421" s="3" t="s">
        <v>2004</v>
      </c>
      <c r="Q421" s="1" t="b">
        <v>1</v>
      </c>
      <c r="R421" s="1" t="s">
        <v>2005</v>
      </c>
    </row>
    <row r="422" spans="1:18" x14ac:dyDescent="0.25">
      <c r="A422" s="2">
        <v>45173</v>
      </c>
      <c r="B422" s="1" t="s">
        <v>2006</v>
      </c>
      <c r="C422" s="1" t="str">
        <f ca="1">IFERROR(__xludf.DUMMYFUNCTION("GOOGLETRANSLATE(B422,""pl"",""en"")"),"A beautiful large house, Ossy, Tarnogórski poviat")</f>
        <v>A beautiful large house, Ossy, Tarnogórski poviat</v>
      </c>
      <c r="D422" s="1">
        <v>1290000</v>
      </c>
      <c r="E422" s="1" t="s">
        <v>33</v>
      </c>
      <c r="F422" s="1">
        <v>322</v>
      </c>
      <c r="G422" s="1" t="s">
        <v>2007</v>
      </c>
      <c r="H422" s="1" t="str">
        <f ca="1">IFERROR(__xludf.DUMMYFUNCTION("GOOGLETRANSLATE(G422,""pl"",""en"")"),"Ossy, Ożarowice, Tarnogórski, Silesian Voivodeship")</f>
        <v>Ossy, Ożarowice, Tarnogórski, Silesian Voivodeship</v>
      </c>
      <c r="I422" s="1" t="b">
        <v>1</v>
      </c>
      <c r="J422" s="1" t="s">
        <v>21</v>
      </c>
      <c r="K422" s="1" t="s">
        <v>22</v>
      </c>
      <c r="L422" s="1" t="s">
        <v>2008</v>
      </c>
      <c r="M422" s="1">
        <v>6</v>
      </c>
      <c r="N422" s="1" t="s">
        <v>21</v>
      </c>
      <c r="O422" s="1" t="str">
        <f ca="1">IFERROR(__xludf.DUMMYFUNCTION("GOOGLETRANSLATE(N422,""pl"",""en"")"),"null")</f>
        <v>null</v>
      </c>
      <c r="P422" s="3" t="s">
        <v>2009</v>
      </c>
      <c r="Q422" s="1" t="b">
        <v>1</v>
      </c>
      <c r="R422" s="1" t="s">
        <v>2010</v>
      </c>
    </row>
    <row r="423" spans="1:18" x14ac:dyDescent="0.25">
      <c r="A423" s="2">
        <v>45173</v>
      </c>
      <c r="B423" s="1" t="s">
        <v>2011</v>
      </c>
      <c r="C423" s="1" t="str">
        <f ca="1">IFERROR(__xludf.DUMMYFUNCTION("GOOGLETRANSLATE(B423,""pl"",""en"")"),"Apartment under the hill in the development state")</f>
        <v>Apartment under the hill in the development state</v>
      </c>
      <c r="D423" s="1">
        <v>3500000</v>
      </c>
      <c r="E423" s="1" t="s">
        <v>33</v>
      </c>
      <c r="F423" s="1">
        <v>180</v>
      </c>
      <c r="G423" s="1" t="s">
        <v>314</v>
      </c>
      <c r="H423" s="1" t="str">
        <f ca="1">IFERROR(__xludf.DUMMYFUNCTION("GOOGLETRANSLATE(G423,""pl"",""en"")"),"Stegny, Mokotów, Warsaw, Masovian Voivodeship")</f>
        <v>Stegny, Mokotów, Warsaw, Masovian Voivodeship</v>
      </c>
      <c r="I423" s="1" t="s">
        <v>21</v>
      </c>
      <c r="J423" s="1" t="s">
        <v>21</v>
      </c>
      <c r="K423" s="1" t="s">
        <v>22</v>
      </c>
      <c r="L423" s="1" t="s">
        <v>2012</v>
      </c>
      <c r="M423" s="1">
        <v>5</v>
      </c>
      <c r="N423" s="1" t="s">
        <v>24</v>
      </c>
      <c r="O423" s="1" t="str">
        <f ca="1">IFERROR(__xludf.DUMMYFUNCTION("GOOGLETRANSLATE(N423,""pl"",""en"")"),"full ownership")</f>
        <v>full ownership</v>
      </c>
      <c r="P423" s="3" t="s">
        <v>2013</v>
      </c>
      <c r="Q423" s="1" t="b">
        <v>1</v>
      </c>
      <c r="R423" s="1" t="s">
        <v>2014</v>
      </c>
    </row>
    <row r="424" spans="1:18" x14ac:dyDescent="0.25">
      <c r="A424" s="2">
        <v>45173</v>
      </c>
      <c r="B424" s="1" t="s">
        <v>2015</v>
      </c>
      <c r="C424" s="1" t="str">
        <f ca="1">IFERROR(__xludf.DUMMYFUNCTION("GOOGLETRANSLATE(B424,""pl"",""en"")"),"A residential premises, with a garden, in the center of Miastka")</f>
        <v>A residential premises, with a garden, in the center of Miastka</v>
      </c>
      <c r="D424" s="1">
        <v>355000</v>
      </c>
      <c r="E424" s="1" t="s">
        <v>33</v>
      </c>
      <c r="F424" s="1">
        <v>142.75</v>
      </c>
      <c r="G424" s="1" t="s">
        <v>2016</v>
      </c>
      <c r="H424" s="1" t="str">
        <f ca="1">IFERROR(__xludf.DUMMYFUNCTION("GOOGLETRANSLATE(G424,""pl"",""en"")"),"street. Adama Mickiewicza, Miastko, Miastko, Bytowski, Pomeranian")</f>
        <v>street. Adama Mickiewicza, Miastko, Miastko, Bytowski, Pomeranian</v>
      </c>
      <c r="I424" s="1" t="s">
        <v>21</v>
      </c>
      <c r="J424" s="1" t="s">
        <v>21</v>
      </c>
      <c r="K424" s="1" t="s">
        <v>22</v>
      </c>
      <c r="L424" s="1" t="s">
        <v>2017</v>
      </c>
      <c r="M424" s="1">
        <v>3</v>
      </c>
      <c r="N424" s="1" t="s">
        <v>24</v>
      </c>
      <c r="O424" s="1" t="str">
        <f ca="1">IFERROR(__xludf.DUMMYFUNCTION("GOOGLETRANSLATE(N424,""pl"",""en"")"),"full ownership")</f>
        <v>full ownership</v>
      </c>
      <c r="P424" s="3" t="s">
        <v>2018</v>
      </c>
      <c r="Q424" s="1" t="b">
        <v>1</v>
      </c>
      <c r="R424" s="1" t="s">
        <v>2019</v>
      </c>
    </row>
    <row r="425" spans="1:18" x14ac:dyDescent="0.25">
      <c r="A425" s="2">
        <v>45173</v>
      </c>
      <c r="B425" s="1" t="s">
        <v>2020</v>
      </c>
      <c r="C425" s="1" t="str">
        <f ca="1">IFERROR(__xludf.DUMMYFUNCTION("GOOGLETRANSLATE(B425,""pl"",""en"")"),"Apartment 71m2 +attic +garden 126m2, darkness")</f>
        <v>Apartment 71m2 +attic +garden 126m2, darkness</v>
      </c>
      <c r="D425" s="1">
        <v>594432</v>
      </c>
      <c r="E425" s="1" t="s">
        <v>19</v>
      </c>
      <c r="F425" s="1">
        <v>71.36</v>
      </c>
      <c r="G425" s="1" t="s">
        <v>2021</v>
      </c>
      <c r="H425" s="1" t="str">
        <f ca="1">IFERROR(__xludf.DUMMYFUNCTION("GOOGLETRANSLATE(G425,""pl"",""en"")"),"Mroków, Lesznowola, Piaseczyński, and Masovian Voivodeship")</f>
        <v>Mroków, Lesznowola, Piaseczyński, and Masovian Voivodeship</v>
      </c>
      <c r="I425" s="1" t="s">
        <v>21</v>
      </c>
      <c r="J425" s="1" t="s">
        <v>21</v>
      </c>
      <c r="K425" s="1" t="s">
        <v>22</v>
      </c>
      <c r="L425" s="1" t="s">
        <v>2022</v>
      </c>
      <c r="M425" s="1">
        <v>4</v>
      </c>
      <c r="N425" s="1" t="s">
        <v>24</v>
      </c>
      <c r="O425" s="1" t="str">
        <f ca="1">IFERROR(__xludf.DUMMYFUNCTION("GOOGLETRANSLATE(N425,""pl"",""en"")"),"full ownership")</f>
        <v>full ownership</v>
      </c>
      <c r="P425" s="3" t="s">
        <v>2023</v>
      </c>
      <c r="Q425" s="1" t="b">
        <v>1</v>
      </c>
      <c r="R425" s="1" t="s">
        <v>2024</v>
      </c>
    </row>
    <row r="426" spans="1:18" x14ac:dyDescent="0.25">
      <c r="A426" s="2">
        <v>45173</v>
      </c>
      <c r="B426" s="1" t="s">
        <v>2025</v>
      </c>
      <c r="C426" s="1" t="str">
        <f ca="1">IFERROR(__xludf.DUMMYFUNCTION("GOOGLETRANSLATE(B426,""pl"",""en"")"),"Beautiful apartment 70.5 m - high standard")</f>
        <v>Beautiful apartment 70.5 m - high standard</v>
      </c>
      <c r="D426" s="1">
        <v>665000</v>
      </c>
      <c r="E426" s="1" t="s">
        <v>33</v>
      </c>
      <c r="F426" s="1">
        <v>70.5</v>
      </c>
      <c r="G426" s="1" t="s">
        <v>2026</v>
      </c>
      <c r="H426" s="1" t="str">
        <f ca="1">IFERROR(__xludf.DUMMYFUNCTION("GOOGLETRANSLATE(G426,""pl"",""en"")"),"street. Wileńska, Oleśnica, Oleśnicki, DolnoSilesian Voivodeship")</f>
        <v>street. Wileńska, Oleśnica, Oleśnicki, DolnoSilesian Voivodeship</v>
      </c>
      <c r="I426" s="1" t="s">
        <v>21</v>
      </c>
      <c r="J426" s="1" t="s">
        <v>21</v>
      </c>
      <c r="K426" s="1" t="s">
        <v>45</v>
      </c>
      <c r="L426" s="1" t="s">
        <v>2027</v>
      </c>
      <c r="M426" s="1">
        <v>3</v>
      </c>
      <c r="N426" s="1" t="s">
        <v>24</v>
      </c>
      <c r="O426" s="1" t="str">
        <f ca="1">IFERROR(__xludf.DUMMYFUNCTION("GOOGLETRANSLATE(N426,""pl"",""en"")"),"full ownership")</f>
        <v>full ownership</v>
      </c>
      <c r="P426" s="3" t="s">
        <v>2028</v>
      </c>
      <c r="Q426" s="1" t="b">
        <v>1</v>
      </c>
      <c r="R426" s="1" t="s">
        <v>2029</v>
      </c>
    </row>
    <row r="427" spans="1:18" x14ac:dyDescent="0.25">
      <c r="A427" s="2">
        <v>45173</v>
      </c>
      <c r="B427" s="1" t="s">
        <v>2030</v>
      </c>
      <c r="C427" s="1" t="str">
        <f ca="1">IFERROR(__xludf.DUMMYFUNCTION("GOOGLETRANSLATE(B427,""pl"",""en"")"),"82.4mk2 // Nestyzowe // Lok C1 - extreme")</f>
        <v>82.4mk2 // Nestyzowe // Lok C1 - extreme</v>
      </c>
      <c r="D427" s="1">
        <v>485000</v>
      </c>
      <c r="E427" s="1" t="s">
        <v>19</v>
      </c>
      <c r="F427" s="1">
        <v>82.4</v>
      </c>
      <c r="G427" s="1" t="s">
        <v>2031</v>
      </c>
      <c r="H427" s="1" t="str">
        <f ca="1">IFERROR(__xludf.DUMMYFUNCTION("GOOGLETRANSLATE(G427,""pl"",""en"")"),"street. Niepodległości, Barczewo, Barczewo, Olsztyński, Warmian-Masurian Voivodeship")</f>
        <v>street. Niepodległości, Barczewo, Barczewo, Olsztyński, Warmian-Masurian Voivodeship</v>
      </c>
      <c r="I427" s="1" t="s">
        <v>21</v>
      </c>
      <c r="J427" s="1" t="s">
        <v>21</v>
      </c>
      <c r="K427" s="1" t="s">
        <v>22</v>
      </c>
      <c r="L427" s="1" t="s">
        <v>2032</v>
      </c>
      <c r="M427" s="1">
        <v>4</v>
      </c>
      <c r="N427" s="1" t="s">
        <v>24</v>
      </c>
      <c r="O427" s="1" t="str">
        <f ca="1">IFERROR(__xludf.DUMMYFUNCTION("GOOGLETRANSLATE(N427,""pl"",""en"")"),"full ownership")</f>
        <v>full ownership</v>
      </c>
      <c r="P427" s="3" t="s">
        <v>2033</v>
      </c>
      <c r="Q427" s="1" t="b">
        <v>1</v>
      </c>
      <c r="R427" s="1" t="s">
        <v>2034</v>
      </c>
    </row>
    <row r="428" spans="1:18" x14ac:dyDescent="0.25">
      <c r="A428" s="2">
        <v>45173</v>
      </c>
      <c r="B428" s="1" t="s">
        <v>2035</v>
      </c>
      <c r="C428" s="1" t="str">
        <f ca="1">IFERROR(__xludf.DUMMYFUNCTION("GOOGLETRANSLATE(B428,""pl"",""en"")"),"Apartment of Vistula Spit 34.73 m2 with a garden!")</f>
        <v>Apartment of Vistula Spit 34.73 m2 with a garden!</v>
      </c>
      <c r="D428" s="1">
        <v>590000</v>
      </c>
      <c r="E428" s="1" t="s">
        <v>33</v>
      </c>
      <c r="F428" s="1">
        <v>34.729999999999997</v>
      </c>
      <c r="G428" s="1" t="s">
        <v>2036</v>
      </c>
      <c r="H428" s="1" t="str">
        <f ca="1">IFERROR(__xludf.DUMMYFUNCTION("GOOGLETRANSLATE(G428,""pl"",""en"")"),"Krynica Morska, Nowodworski, Pomeranian")</f>
        <v>Krynica Morska, Nowodworski, Pomeranian</v>
      </c>
      <c r="I428" s="1" t="s">
        <v>21</v>
      </c>
      <c r="J428" s="1" t="s">
        <v>21</v>
      </c>
      <c r="K428" s="1" t="s">
        <v>22</v>
      </c>
      <c r="L428" s="1" t="s">
        <v>2037</v>
      </c>
      <c r="M428" s="1">
        <v>1</v>
      </c>
      <c r="N428" s="1" t="s">
        <v>24</v>
      </c>
      <c r="O428" s="1" t="str">
        <f ca="1">IFERROR(__xludf.DUMMYFUNCTION("GOOGLETRANSLATE(N428,""pl"",""en"")"),"full ownership")</f>
        <v>full ownership</v>
      </c>
      <c r="P428" s="3" t="s">
        <v>2038</v>
      </c>
      <c r="Q428" s="1" t="b">
        <v>1</v>
      </c>
      <c r="R428" s="1" t="s">
        <v>2039</v>
      </c>
    </row>
    <row r="429" spans="1:18" x14ac:dyDescent="0.25">
      <c r="A429" s="2">
        <v>45173</v>
      </c>
      <c r="B429" s="1" t="s">
        <v>2040</v>
      </c>
      <c r="C429" s="1" t="str">
        <f ca="1">IFERROR(__xludf.DUMMYFUNCTION("GOOGLETRANSLATE(B429,""pl"",""en"")"),"Apartment 76.66 m2 Kras Resort Szklarska Poręba")</f>
        <v>Apartment 76.66 m2 Kras Resort Szklarska Poręba</v>
      </c>
      <c r="D429" s="1">
        <v>1499239</v>
      </c>
      <c r="E429" s="1" t="s">
        <v>19</v>
      </c>
      <c r="F429" s="1">
        <v>76.66</v>
      </c>
      <c r="G429" s="1" t="s">
        <v>2041</v>
      </c>
      <c r="H429" s="1" t="str">
        <f ca="1">IFERROR(__xludf.DUMMYFUNCTION("GOOGLETRANSLATE(G429,""pl"",""en"")"),"street. Górna, Szklarska Poręba, Karkonoski, Lower Silesia")</f>
        <v>street. Górna, Szklarska Poręba, Karkonoski, Lower Silesia</v>
      </c>
      <c r="I429" s="1" t="s">
        <v>21</v>
      </c>
      <c r="J429" s="1" t="s">
        <v>21</v>
      </c>
      <c r="K429" s="1" t="s">
        <v>194</v>
      </c>
      <c r="L429" s="1" t="s">
        <v>2042</v>
      </c>
      <c r="M429" s="1">
        <v>4</v>
      </c>
      <c r="N429" s="1" t="s">
        <v>24</v>
      </c>
      <c r="O429" s="1" t="str">
        <f ca="1">IFERROR(__xludf.DUMMYFUNCTION("GOOGLETRANSLATE(N429,""pl"",""en"")"),"full ownership")</f>
        <v>full ownership</v>
      </c>
      <c r="P429" s="3" t="s">
        <v>2043</v>
      </c>
      <c r="Q429" s="1" t="b">
        <v>1</v>
      </c>
      <c r="R429" s="1" t="s">
        <v>2044</v>
      </c>
    </row>
    <row r="430" spans="1:18" x14ac:dyDescent="0.25">
      <c r="A430" s="2">
        <v>45173</v>
      </c>
      <c r="B430" s="1" t="s">
        <v>2045</v>
      </c>
      <c r="C430" s="1" t="str">
        <f ca="1">IFERROR(__xludf.DUMMYFUNCTION("GOOGLETRANSLATE(B430,""pl"",""en"")"),"300m apartment from the sea")</f>
        <v>300m apartment from the sea</v>
      </c>
      <c r="D430" s="1">
        <v>613905</v>
      </c>
      <c r="E430" s="1" t="s">
        <v>19</v>
      </c>
      <c r="F430" s="1">
        <v>39.299999999999997</v>
      </c>
      <c r="G430" s="1" t="s">
        <v>1635</v>
      </c>
      <c r="H430" s="1" t="str">
        <f ca="1">IFERROR(__xludf.DUMMYFUNCTION("GOOGLETRANSLATE(G430,""pl"",""en"")"),"Pobierowo, Rewal, Gryficki, West Pomeranian Voivodeship")</f>
        <v>Pobierowo, Rewal, Gryficki, West Pomeranian Voivodeship</v>
      </c>
      <c r="I430" s="1" t="s">
        <v>21</v>
      </c>
      <c r="J430" s="1" t="s">
        <v>21</v>
      </c>
      <c r="K430" s="1" t="s">
        <v>22</v>
      </c>
      <c r="L430" s="1" t="s">
        <v>2046</v>
      </c>
      <c r="M430" s="1">
        <v>2</v>
      </c>
      <c r="N430" s="1" t="s">
        <v>24</v>
      </c>
      <c r="O430" s="1" t="str">
        <f ca="1">IFERROR(__xludf.DUMMYFUNCTION("GOOGLETRANSLATE(N430,""pl"",""en"")"),"full ownership")</f>
        <v>full ownership</v>
      </c>
      <c r="P430" s="3" t="s">
        <v>2047</v>
      </c>
      <c r="Q430" s="1" t="b">
        <v>1</v>
      </c>
      <c r="R430" s="1" t="s">
        <v>2048</v>
      </c>
    </row>
    <row r="431" spans="1:18" x14ac:dyDescent="0.25">
      <c r="A431" s="2">
        <v>45173</v>
      </c>
      <c r="B431" s="1" t="s">
        <v>2049</v>
      </c>
      <c r="C431" s="1" t="str">
        <f ca="1">IFERROR(__xludf.DUMMYFUNCTION("GOOGLETRANSLATE(B431,""pl"",""en"")"),"Apartment and 70m2 and without PCC | Air conditioning Garage")</f>
        <v>Apartment and 70m2 and without PCC | Air conditioning Garage</v>
      </c>
      <c r="D431" s="1">
        <v>999000</v>
      </c>
      <c r="E431" s="1" t="s">
        <v>33</v>
      </c>
      <c r="F431" s="1">
        <v>70</v>
      </c>
      <c r="G431" s="1" t="s">
        <v>2050</v>
      </c>
      <c r="H431" s="1" t="str">
        <f ca="1">IFERROR(__xludf.DUMMYFUNCTION("GOOGLETRANSLATE(G431,""pl"",""en"")"),"street. Bałtycka, Grodzisk Mazowiecki, Grodzisk Mazowiecki, Grodziski, Masovian Voivodeship")</f>
        <v>street. Bałtycka, Grodzisk Mazowiecki, Grodzisk Mazowiecki, Grodziski, Masovian Voivodeship</v>
      </c>
      <c r="I431" s="1" t="s">
        <v>21</v>
      </c>
      <c r="J431" s="1" t="s">
        <v>21</v>
      </c>
      <c r="K431" s="1" t="s">
        <v>22</v>
      </c>
      <c r="L431" s="1" t="s">
        <v>2051</v>
      </c>
      <c r="M431" s="1">
        <v>4</v>
      </c>
      <c r="N431" s="1" t="s">
        <v>24</v>
      </c>
      <c r="O431" s="1" t="str">
        <f ca="1">IFERROR(__xludf.DUMMYFUNCTION("GOOGLETRANSLATE(N431,""pl"",""en"")"),"full ownership")</f>
        <v>full ownership</v>
      </c>
      <c r="P431" s="3" t="s">
        <v>2052</v>
      </c>
      <c r="Q431" s="1" t="b">
        <v>1</v>
      </c>
      <c r="R431" s="1" t="s">
        <v>2053</v>
      </c>
    </row>
    <row r="432" spans="1:18" x14ac:dyDescent="0.25">
      <c r="A432" s="2">
        <v>45173</v>
      </c>
      <c r="B432" s="1" t="s">
        <v>2054</v>
      </c>
      <c r="C432" s="1" t="str">
        <f ca="1">IFERROR(__xludf.DUMMYFUNCTION("GOOGLETRANSLATE(B432,""pl"",""en"")"),"Apartment with a sea view - air conditioning, SPA")</f>
        <v>Apartment with a sea view - air conditioning, SPA</v>
      </c>
      <c r="D432" s="1">
        <v>649000</v>
      </c>
      <c r="E432" s="1" t="s">
        <v>33</v>
      </c>
      <c r="F432" s="1">
        <v>28.83</v>
      </c>
      <c r="G432" s="1" t="s">
        <v>150</v>
      </c>
      <c r="H432" s="1" t="str">
        <f ca="1">IFERROR(__xludf.DUMMYFUNCTION("GOOGLETRANSLATE(G432,""pl"",""en"")"),"Kołobrzeg, Kołobrzeski, ZachodnioPomeranian Voivodeship")</f>
        <v>Kołobrzeg, Kołobrzeski, ZachodnioPomeranian Voivodeship</v>
      </c>
      <c r="I432" s="1" t="s">
        <v>21</v>
      </c>
      <c r="J432" s="1" t="s">
        <v>21</v>
      </c>
      <c r="K432" s="1" t="s">
        <v>22</v>
      </c>
      <c r="L432" s="1" t="s">
        <v>2055</v>
      </c>
      <c r="M432" s="1">
        <v>1</v>
      </c>
      <c r="N432" s="1" t="s">
        <v>24</v>
      </c>
      <c r="O432" s="1" t="str">
        <f ca="1">IFERROR(__xludf.DUMMYFUNCTION("GOOGLETRANSLATE(N432,""pl"",""en"")"),"full ownership")</f>
        <v>full ownership</v>
      </c>
      <c r="P432" s="3" t="s">
        <v>2056</v>
      </c>
      <c r="Q432" s="1" t="b">
        <v>1</v>
      </c>
      <c r="R432" s="1" t="s">
        <v>2057</v>
      </c>
    </row>
    <row r="433" spans="1:18" x14ac:dyDescent="0.25">
      <c r="A433" s="2">
        <v>45173</v>
      </c>
      <c r="B433" s="1" t="s">
        <v>2058</v>
      </c>
      <c r="C433" s="1" t="str">
        <f ca="1">IFERROR(__xludf.DUMMYFUNCTION("GOOGLETRANSLATE(B433,""pl"",""en"")"),"A beautiful apartment with a view of the Tatra Mountains")</f>
        <v>A beautiful apartment with a view of the Tatra Mountains</v>
      </c>
      <c r="D433" s="1">
        <v>2522000</v>
      </c>
      <c r="E433" s="1" t="s">
        <v>33</v>
      </c>
      <c r="F433" s="1">
        <v>194</v>
      </c>
      <c r="G433" s="1" t="s">
        <v>4762</v>
      </c>
      <c r="H433" s="1" t="str">
        <f ca="1">IFERROR(__xludf.DUMMYFUNCTION("GOOGLETRANSLATE(G433,""pl"",""en"")"),"street. Reduta, Prądnik Czerwony, Prądnik Czerwony, Kraków, Lesser Poland")</f>
        <v>street. Reduta, Prądnik Czerwony, Prądnik Czerwony, Kraków, Lesser Poland</v>
      </c>
      <c r="I433" s="1" t="s">
        <v>21</v>
      </c>
      <c r="J433" s="1" t="s">
        <v>21</v>
      </c>
      <c r="K433" s="1" t="s">
        <v>22</v>
      </c>
      <c r="L433" s="1" t="s">
        <v>2059</v>
      </c>
      <c r="M433" s="1">
        <v>5</v>
      </c>
      <c r="N433" s="1" t="s">
        <v>24</v>
      </c>
      <c r="O433" s="1" t="str">
        <f ca="1">IFERROR(__xludf.DUMMYFUNCTION("GOOGLETRANSLATE(N433,""pl"",""en"")"),"full ownership")</f>
        <v>full ownership</v>
      </c>
      <c r="P433" s="3" t="s">
        <v>2060</v>
      </c>
      <c r="Q433" s="1" t="b">
        <v>1</v>
      </c>
      <c r="R433" s="1" t="s">
        <v>2061</v>
      </c>
    </row>
    <row r="434" spans="1:18" x14ac:dyDescent="0.25">
      <c r="A434" s="2">
        <v>45173</v>
      </c>
      <c r="B434" s="1" t="s">
        <v>2062</v>
      </c>
      <c r="C434" s="1" t="str">
        <f ca="1">IFERROR(__xludf.DUMMYFUNCTION("GOOGLETRANSLATE(B434,""pl"",""en"")"),"Apartment Sunday resort Ustronie Morskie")</f>
        <v>Apartment Sunday resort Ustronie Morskie</v>
      </c>
      <c r="D434" s="1">
        <v>460150</v>
      </c>
      <c r="E434" s="1" t="s">
        <v>19</v>
      </c>
      <c r="F434" s="1">
        <v>39.36</v>
      </c>
      <c r="G434" s="1" t="s">
        <v>1988</v>
      </c>
      <c r="H434" s="1" t="str">
        <f ca="1">IFERROR(__xludf.DUMMYFUNCTION("GOOGLETRANSLATE(G434,""pl"",""en"")"),"street. Polna, Ustronie Morskie, Ustronie Morskie, Kołobrzeski, West Pomeranian Voivodeship")</f>
        <v>street. Polna, Ustronie Morskie, Ustronie Morskie, Kołobrzeski, West Pomeranian Voivodeship</v>
      </c>
      <c r="I434" s="1" t="s">
        <v>21</v>
      </c>
      <c r="J434" s="1" t="s">
        <v>21</v>
      </c>
      <c r="K434" s="1" t="s">
        <v>194</v>
      </c>
      <c r="L434" s="1" t="s">
        <v>2063</v>
      </c>
      <c r="M434" s="1">
        <v>2</v>
      </c>
      <c r="N434" s="1" t="s">
        <v>24</v>
      </c>
      <c r="O434" s="1" t="str">
        <f ca="1">IFERROR(__xludf.DUMMYFUNCTION("GOOGLETRANSLATE(N434,""pl"",""en"")"),"full ownership")</f>
        <v>full ownership</v>
      </c>
      <c r="P434" s="3" t="s">
        <v>2064</v>
      </c>
      <c r="Q434" s="1" t="b">
        <v>1</v>
      </c>
      <c r="R434" s="1" t="s">
        <v>2065</v>
      </c>
    </row>
    <row r="435" spans="1:18" x14ac:dyDescent="0.25">
      <c r="A435" s="2">
        <v>45173</v>
      </c>
      <c r="B435" s="1" t="s">
        <v>2066</v>
      </c>
      <c r="C435" s="1" t="str">
        <f ca="1">IFERROR(__xludf.DUMMYFUNCTION("GOOGLETRANSLATE(B435,""pl"",""en"")"),"Apartment without commission Developer Sales Office")</f>
        <v>Apartment without commission Developer Sales Office</v>
      </c>
      <c r="D435" s="1">
        <v>447020</v>
      </c>
      <c r="E435" s="1" t="s">
        <v>19</v>
      </c>
      <c r="F435" s="1">
        <v>31.93</v>
      </c>
      <c r="G435" s="1" t="s">
        <v>4763</v>
      </c>
      <c r="H435" s="1" t="str">
        <f ca="1">IFERROR(__xludf.DUMMYFUNCTION("GOOGLETRANSLATE(G435,""pl"",""en"")"),"street. Cyrhla, Zakopane, Tatrzański, Lesser Poland")</f>
        <v>street. Cyrhla, Zakopane, Tatrzański, Lesser Poland</v>
      </c>
      <c r="I435" s="1" t="b">
        <v>1</v>
      </c>
      <c r="J435" s="1" t="s">
        <v>21</v>
      </c>
      <c r="K435" s="1" t="s">
        <v>22</v>
      </c>
      <c r="L435" s="1" t="s">
        <v>2067</v>
      </c>
      <c r="M435" s="1">
        <v>2</v>
      </c>
      <c r="N435" s="1" t="s">
        <v>24</v>
      </c>
      <c r="O435" s="1" t="str">
        <f ca="1">IFERROR(__xludf.DUMMYFUNCTION("GOOGLETRANSLATE(N435,""pl"",""en"")"),"full ownership")</f>
        <v>full ownership</v>
      </c>
      <c r="P435" s="3" t="s">
        <v>2068</v>
      </c>
      <c r="Q435" s="1" t="b">
        <v>1</v>
      </c>
      <c r="R435" s="1" t="s">
        <v>2069</v>
      </c>
    </row>
    <row r="436" spans="1:18" x14ac:dyDescent="0.25">
      <c r="A436" s="2">
        <v>45173</v>
      </c>
      <c r="B436" s="1" t="s">
        <v>2070</v>
      </c>
      <c r="C436" s="1" t="str">
        <f ca="1">IFERROR(__xludf.DUMMYFUNCTION("GOOGLETRANSLATE(B436,""pl"",""en"")"),"2-room apartment with a visible kitchen.")</f>
        <v>2-room apartment with a visible kitchen.</v>
      </c>
      <c r="D436" s="1">
        <v>135000</v>
      </c>
      <c r="E436" s="1" t="s">
        <v>33</v>
      </c>
      <c r="F436" s="1">
        <v>52.2</v>
      </c>
      <c r="G436" s="1" t="s">
        <v>2071</v>
      </c>
      <c r="H436" s="1" t="str">
        <f ca="1">IFERROR(__xludf.DUMMYFUNCTION("GOOGLETRANSLATE(G436,""pl"",""en"")"),"Boguszów, Boguszów-Gorce, Wałbrzych, DolnoSilesian Voivodeship")</f>
        <v>Boguszów, Boguszów-Gorce, Wałbrzych, DolnoSilesian Voivodeship</v>
      </c>
      <c r="I436" s="1" t="b">
        <v>1</v>
      </c>
      <c r="J436" s="1" t="s">
        <v>21</v>
      </c>
      <c r="K436" s="1" t="s">
        <v>22</v>
      </c>
      <c r="L436" s="1" t="s">
        <v>2072</v>
      </c>
      <c r="M436" s="1">
        <v>2</v>
      </c>
      <c r="N436" s="1" t="s">
        <v>24</v>
      </c>
      <c r="O436" s="1" t="str">
        <f ca="1">IFERROR(__xludf.DUMMYFUNCTION("GOOGLETRANSLATE(N436,""pl"",""en"")"),"full ownership")</f>
        <v>full ownership</v>
      </c>
      <c r="P436" s="3" t="s">
        <v>2073</v>
      </c>
      <c r="Q436" s="1" t="b">
        <v>1</v>
      </c>
      <c r="R436" s="1" t="s">
        <v>2074</v>
      </c>
    </row>
    <row r="437" spans="1:18" x14ac:dyDescent="0.25">
      <c r="A437" s="2">
        <v>45173</v>
      </c>
      <c r="B437" s="1" t="s">
        <v>2075</v>
      </c>
      <c r="C437" s="1" t="str">
        <f ca="1">IFERROR(__xludf.DUMMYFUNCTION("GOOGLETRANSLATE(B437,""pl"",""en"")"),"A two -level apartment with a garden and balcony")</f>
        <v>A two -level apartment with a garden and balcony</v>
      </c>
      <c r="D437" s="1">
        <v>599999</v>
      </c>
      <c r="E437" s="1" t="s">
        <v>33</v>
      </c>
      <c r="F437" s="1">
        <v>47</v>
      </c>
      <c r="G437" s="1" t="s">
        <v>1635</v>
      </c>
      <c r="H437" s="1" t="str">
        <f ca="1">IFERROR(__xludf.DUMMYFUNCTION("GOOGLETRANSLATE(G437,""pl"",""en"")"),"Pobierowo, Rewal, Gryficki, West Pomeranian Voivodeship")</f>
        <v>Pobierowo, Rewal, Gryficki, West Pomeranian Voivodeship</v>
      </c>
      <c r="I437" s="1" t="s">
        <v>21</v>
      </c>
      <c r="J437" s="1" t="s">
        <v>21</v>
      </c>
      <c r="K437" s="1" t="s">
        <v>22</v>
      </c>
      <c r="L437" s="1" t="s">
        <v>2076</v>
      </c>
      <c r="M437" s="1">
        <v>3</v>
      </c>
      <c r="N437" s="1" t="s">
        <v>24</v>
      </c>
      <c r="O437" s="1" t="str">
        <f ca="1">IFERROR(__xludf.DUMMYFUNCTION("GOOGLETRANSLATE(N437,""pl"",""en"")"),"full ownership")</f>
        <v>full ownership</v>
      </c>
      <c r="P437" s="3" t="s">
        <v>2077</v>
      </c>
      <c r="Q437" s="1" t="b">
        <v>1</v>
      </c>
      <c r="R437" s="1" t="s">
        <v>2078</v>
      </c>
    </row>
    <row r="438" spans="1:18" x14ac:dyDescent="0.25">
      <c r="A438" s="2">
        <v>45173</v>
      </c>
      <c r="B438" s="1" t="s">
        <v>2079</v>
      </c>
      <c r="C438" s="1" t="str">
        <f ca="1">IFERROR(__xludf.DUMMYFUNCTION("GOOGLETRANSLATE(B438,""pl"",""en"")"),"After renovation 3 room- 15 minutes from the center")</f>
        <v>After renovation 3 room- 15 minutes from the center</v>
      </c>
      <c r="D438" s="1">
        <v>673000</v>
      </c>
      <c r="E438" s="1" t="s">
        <v>33</v>
      </c>
      <c r="F438" s="1">
        <v>59</v>
      </c>
      <c r="G438" s="1" t="s">
        <v>2080</v>
      </c>
      <c r="H438" s="1" t="str">
        <f ca="1">IFERROR(__xludf.DUMMYFUNCTION("GOOGLETRANSLATE(G438,""pl"",""en"")"),"Gocław, Praga-Południe, Warsaw, Masovian Voivodeship")</f>
        <v>Gocław, Praga-Południe, Warsaw, Masovian Voivodeship</v>
      </c>
      <c r="I438" s="1" t="s">
        <v>21</v>
      </c>
      <c r="J438" s="1" t="s">
        <v>21</v>
      </c>
      <c r="K438" s="1" t="s">
        <v>22</v>
      </c>
      <c r="L438" s="1" t="s">
        <v>2081</v>
      </c>
      <c r="M438" s="1">
        <v>3</v>
      </c>
      <c r="N438" s="1" t="s">
        <v>85</v>
      </c>
      <c r="O438" s="1" t="str">
        <f ca="1">IFERROR(__xludf.DUMMYFUNCTION("GOOGLETRANSLATE(N438,""pl"",""en"")"),"Cooperative ownership of the right to the premises")</f>
        <v>Cooperative ownership of the right to the premises</v>
      </c>
      <c r="P438" s="3" t="s">
        <v>2082</v>
      </c>
      <c r="Q438" s="1" t="b">
        <v>1</v>
      </c>
      <c r="R438" s="1" t="s">
        <v>2083</v>
      </c>
    </row>
    <row r="439" spans="1:18" x14ac:dyDescent="0.25">
      <c r="A439" s="2">
        <v>45173</v>
      </c>
      <c r="B439" s="1" t="s">
        <v>2084</v>
      </c>
      <c r="C439" s="1" t="str">
        <f ca="1">IFERROR(__xludf.DUMMYFUNCTION("GOOGLETRANSLATE(B439,""pl"",""en"")"),"Apartment in the seaside Jastarnia")</f>
        <v>Apartment in the seaside Jastarnia</v>
      </c>
      <c r="D439" s="1">
        <v>1599000</v>
      </c>
      <c r="E439" s="1" t="s">
        <v>33</v>
      </c>
      <c r="F439" s="1">
        <v>108</v>
      </c>
      <c r="G439" s="1" t="s">
        <v>2085</v>
      </c>
      <c r="H439" s="1" t="str">
        <f ca="1">IFERROR(__xludf.DUMMYFUNCTION("GOOGLETRANSLATE(G439,""pl"",""en"")"),"street. Calm, Jastarnia, Jastarnia, Pucki, Pomeranian")</f>
        <v>street. Calm, Jastarnia, Jastarnia, Pucki, Pomeranian</v>
      </c>
      <c r="I439" s="1" t="s">
        <v>21</v>
      </c>
      <c r="J439" s="1" t="s">
        <v>21</v>
      </c>
      <c r="K439" s="1" t="s">
        <v>22</v>
      </c>
      <c r="L439" s="1" t="s">
        <v>2086</v>
      </c>
      <c r="M439" s="1">
        <v>4</v>
      </c>
      <c r="N439" s="1" t="s">
        <v>24</v>
      </c>
      <c r="O439" s="1" t="str">
        <f ca="1">IFERROR(__xludf.DUMMYFUNCTION("GOOGLETRANSLATE(N439,""pl"",""en"")"),"full ownership")</f>
        <v>full ownership</v>
      </c>
      <c r="P439" s="3" t="s">
        <v>2087</v>
      </c>
      <c r="Q439" s="1" t="b">
        <v>1</v>
      </c>
      <c r="R439" s="1" t="s">
        <v>2088</v>
      </c>
    </row>
    <row r="440" spans="1:18" x14ac:dyDescent="0.25">
      <c r="A440" s="2">
        <v>45173</v>
      </c>
      <c r="B440" s="1" t="s">
        <v>2089</v>
      </c>
      <c r="C440" s="1" t="str">
        <f ca="1">IFERROR(__xludf.DUMMYFUNCTION("GOOGLETRANSLATE(B440,""pl"",""en"")"),"A2- 2 rooms, utility room + garden")</f>
        <v>A2- 2 rooms, utility room + garden</v>
      </c>
      <c r="D440" s="1">
        <v>377993</v>
      </c>
      <c r="E440" s="1" t="s">
        <v>19</v>
      </c>
      <c r="F440" s="1">
        <v>49.09</v>
      </c>
      <c r="G440" s="1" t="s">
        <v>1808</v>
      </c>
      <c r="H440" s="1" t="str">
        <f ca="1">IFERROR(__xludf.DUMMYFUNCTION("GOOGLETRANSLATE(G440,""pl"",""en"")"),"street. Augustyna Weltzla, Żory, Silesian Voivodeship")</f>
        <v>street. Augustyna Weltzla, Żory, Silesian Voivodeship</v>
      </c>
      <c r="I440" s="1" t="s">
        <v>21</v>
      </c>
      <c r="J440" s="1" t="s">
        <v>21</v>
      </c>
      <c r="K440" s="1" t="s">
        <v>194</v>
      </c>
      <c r="L440" s="1" t="s">
        <v>2090</v>
      </c>
      <c r="M440" s="1">
        <v>2</v>
      </c>
      <c r="N440" s="1" t="s">
        <v>24</v>
      </c>
      <c r="O440" s="1" t="str">
        <f ca="1">IFERROR(__xludf.DUMMYFUNCTION("GOOGLETRANSLATE(N440,""pl"",""en"")"),"full ownership")</f>
        <v>full ownership</v>
      </c>
      <c r="P440" s="3" t="s">
        <v>2091</v>
      </c>
      <c r="Q440" s="1" t="b">
        <v>1</v>
      </c>
      <c r="R440" s="1" t="s">
        <v>2092</v>
      </c>
    </row>
    <row r="441" spans="1:18" x14ac:dyDescent="0.25">
      <c r="A441" s="2">
        <v>45173</v>
      </c>
      <c r="B441" s="1" t="s">
        <v>2093</v>
      </c>
      <c r="C441" s="1" t="str">
        <f ca="1">IFERROR(__xludf.DUMMYFUNCTION("GOOGLETRANSLATE(B441,""pl"",""en"")"),"3 -room apartment in Deo Plaza /Beautiful view")</f>
        <v>3 -room apartment in Deo Plaza /Beautiful view</v>
      </c>
      <c r="D441" s="1">
        <v>3456950</v>
      </c>
      <c r="E441" s="1" t="s">
        <v>33</v>
      </c>
      <c r="F441" s="1">
        <v>98.77</v>
      </c>
      <c r="G441" s="1" t="s">
        <v>2094</v>
      </c>
      <c r="H441" s="1" t="str">
        <f ca="1">IFERROR(__xludf.DUMMYFUNCTION("GOOGLETRANSLATE(G441,""pl"",""en"")"),"street. Chmielna, Śródmieście, Gdańsk, Pomeranian Voivodeship")</f>
        <v>street. Chmielna, Śródmieście, Gdańsk, Pomeranian Voivodeship</v>
      </c>
      <c r="I441" s="1" t="b">
        <v>1</v>
      </c>
      <c r="J441" s="1" t="s">
        <v>21</v>
      </c>
      <c r="K441" s="1" t="s">
        <v>22</v>
      </c>
      <c r="L441" s="1" t="s">
        <v>2095</v>
      </c>
      <c r="M441" s="1">
        <v>3</v>
      </c>
      <c r="N441" s="1" t="s">
        <v>24</v>
      </c>
      <c r="O441" s="1" t="str">
        <f ca="1">IFERROR(__xludf.DUMMYFUNCTION("GOOGLETRANSLATE(N441,""pl"",""en"")"),"full ownership")</f>
        <v>full ownership</v>
      </c>
      <c r="P441" s="3" t="s">
        <v>2096</v>
      </c>
      <c r="Q441" s="1" t="b">
        <v>1</v>
      </c>
      <c r="R441" s="1" t="s">
        <v>2097</v>
      </c>
    </row>
    <row r="442" spans="1:18" x14ac:dyDescent="0.25">
      <c r="A442" s="2">
        <v>45173</v>
      </c>
      <c r="B442" s="1" t="s">
        <v>2098</v>
      </c>
      <c r="C442" s="1" t="str">
        <f ca="1">IFERROR(__xludf.DUMMYFUNCTION("GOOGLETRANSLATE(B442,""pl"",""en"")"),"Plac Unii Centrum Lux 3 POK near the sea")</f>
        <v>Plac Unii Centrum Lux 3 POK near the sea</v>
      </c>
      <c r="D442" s="1">
        <v>1750000</v>
      </c>
      <c r="E442" s="1" t="s">
        <v>33</v>
      </c>
      <c r="F442" s="1">
        <v>63.86</v>
      </c>
      <c r="G442" s="1" t="s">
        <v>2099</v>
      </c>
      <c r="H442" s="1" t="str">
        <f ca="1">IFERROR(__xludf.DUMMYFUNCTION("GOOGLETRANSLATE(G442,""pl"",""en"")"),"street. Obrońców Wybrzeże, Śródmieście, Gdynia, Pomeranian Voivodeship")</f>
        <v>street. Obrońców Wybrzeże, Śródmieście, Gdynia, Pomeranian Voivodeship</v>
      </c>
      <c r="I442" s="1" t="s">
        <v>21</v>
      </c>
      <c r="J442" s="1" t="s">
        <v>21</v>
      </c>
      <c r="K442" s="1" t="s">
        <v>22</v>
      </c>
      <c r="L442" s="1" t="s">
        <v>2100</v>
      </c>
      <c r="M442" s="1">
        <v>3</v>
      </c>
      <c r="N442" s="1" t="s">
        <v>24</v>
      </c>
      <c r="O442" s="1" t="str">
        <f ca="1">IFERROR(__xludf.DUMMYFUNCTION("GOOGLETRANSLATE(N442,""pl"",""en"")"),"full ownership")</f>
        <v>full ownership</v>
      </c>
      <c r="P442" s="3" t="s">
        <v>2101</v>
      </c>
      <c r="Q442" s="1" t="b">
        <v>1</v>
      </c>
      <c r="R442" s="1" t="s">
        <v>2102</v>
      </c>
    </row>
    <row r="443" spans="1:18" x14ac:dyDescent="0.25">
      <c r="A443" s="2">
        <v>45173</v>
      </c>
      <c r="B443" s="1" t="s">
        <v>2103</v>
      </c>
      <c r="C443" s="1" t="str">
        <f ca="1">IFERROR(__xludf.DUMMYFUNCTION("GOOGLETRANSLATE(B443,""pl"",""en"")"),"New A1 Little Rid -Leggage Flat 50m2 W. Sady II")</f>
        <v>New A1 Little Rid -Leggage Flat 50m2 W. Sady II</v>
      </c>
      <c r="D443" s="1">
        <v>415000</v>
      </c>
      <c r="E443" s="1" t="s">
        <v>19</v>
      </c>
      <c r="F443" s="1">
        <v>49.6</v>
      </c>
      <c r="G443" s="1" t="s">
        <v>2104</v>
      </c>
      <c r="H443" s="1" t="str">
        <f ca="1">IFERROR(__xludf.DUMMYFUNCTION("GOOGLETRANSLATE(G443,""pl"",""en"")"),"Górka Gołonoska, Golonóg Wschodni, Dąbrowa Górnicza, Silesian Voivodeship")</f>
        <v>Górka Gołonoska, Golonóg Wschodni, Dąbrowa Górnicza, Silesian Voivodeship</v>
      </c>
      <c r="I443" s="1" t="s">
        <v>21</v>
      </c>
      <c r="J443" s="1" t="s">
        <v>21</v>
      </c>
      <c r="K443" s="1" t="s">
        <v>45</v>
      </c>
      <c r="L443" s="1" t="s">
        <v>2105</v>
      </c>
      <c r="M443" s="1">
        <v>2</v>
      </c>
      <c r="N443" s="1" t="s">
        <v>24</v>
      </c>
      <c r="O443" s="1" t="str">
        <f ca="1">IFERROR(__xludf.DUMMYFUNCTION("GOOGLETRANSLATE(N443,""pl"",""en"")"),"full ownership")</f>
        <v>full ownership</v>
      </c>
      <c r="P443" s="3" t="s">
        <v>2106</v>
      </c>
      <c r="Q443" s="1" t="b">
        <v>1</v>
      </c>
      <c r="R443" s="1" t="s">
        <v>2107</v>
      </c>
    </row>
    <row r="444" spans="1:18" x14ac:dyDescent="0.25">
      <c r="A444" s="2">
        <v>45173</v>
      </c>
      <c r="B444" s="1" t="s">
        <v>2108</v>
      </c>
      <c r="C444" s="1" t="str">
        <f ca="1">IFERROR(__xludf.DUMMYFUNCTION("GOOGLETRANSLATE(B444,""pl"",""en"")"),"Penthouse with a view of the city - high standard!")</f>
        <v>Penthouse with a view of the city - high standard!</v>
      </c>
      <c r="D444" s="1">
        <v>1550000</v>
      </c>
      <c r="E444" s="1" t="s">
        <v>33</v>
      </c>
      <c r="F444" s="1">
        <v>79.19</v>
      </c>
      <c r="G444" s="1" t="s">
        <v>2109</v>
      </c>
      <c r="H444" s="1" t="str">
        <f ca="1">IFERROR(__xludf.DUMMYFUNCTION("GOOGLETRANSLATE(G444,""pl"",""en"")"),"street. Długa, Nadodrze, Śródmieście, Wrocław, DolnoSilesian Voivodeship")</f>
        <v>street. Długa, Nadodrze, Śródmieście, Wrocław, DolnoSilesian Voivodeship</v>
      </c>
      <c r="I444" s="1" t="s">
        <v>21</v>
      </c>
      <c r="J444" s="1" t="s">
        <v>21</v>
      </c>
      <c r="K444" s="1" t="s">
        <v>22</v>
      </c>
      <c r="L444" s="1" t="s">
        <v>2110</v>
      </c>
      <c r="M444" s="1">
        <v>2</v>
      </c>
      <c r="N444" s="1" t="s">
        <v>24</v>
      </c>
      <c r="O444" s="1" t="str">
        <f ca="1">IFERROR(__xludf.DUMMYFUNCTION("GOOGLETRANSLATE(N444,""pl"",""en"")"),"full ownership")</f>
        <v>full ownership</v>
      </c>
      <c r="P444" s="3" t="s">
        <v>2111</v>
      </c>
      <c r="Q444" s="1" t="b">
        <v>1</v>
      </c>
      <c r="R444" s="1" t="s">
        <v>2112</v>
      </c>
    </row>
    <row r="445" spans="1:18" x14ac:dyDescent="0.25">
      <c r="A445" s="2">
        <v>45173</v>
      </c>
      <c r="B445" s="1" t="s">
        <v>2113</v>
      </c>
      <c r="C445" s="1" t="str">
        <f ca="1">IFERROR(__xludf.DUMMYFUNCTION("GOOGLETRANSLATE(B445,""pl"",""en"")"),"Place on the first floor for the investment! Mazowiecka 29!")</f>
        <v>Place on the first floor for the investment! Mazowiecka 29!</v>
      </c>
      <c r="D445" s="1">
        <v>122500</v>
      </c>
      <c r="E445" s="1" t="s">
        <v>19</v>
      </c>
      <c r="F445" s="1">
        <v>25</v>
      </c>
      <c r="G445" s="1" t="s">
        <v>2114</v>
      </c>
      <c r="H445" s="1" t="str">
        <f ca="1">IFERROR(__xludf.DUMMYFUNCTION("GOOGLETRANSLATE(G445,""pl"",""en"")"),"street. Mazowiecka, Bocianowo, Bydgoszcz, Kujawsko-Pomeranian Voivodeship")</f>
        <v>street. Mazowiecka, Bocianowo, Bydgoszcz, Kujawsko-Pomeranian Voivodeship</v>
      </c>
      <c r="I445" s="1" t="s">
        <v>21</v>
      </c>
      <c r="J445" s="1" t="s">
        <v>21</v>
      </c>
      <c r="K445" s="1" t="s">
        <v>194</v>
      </c>
      <c r="L445" s="1" t="s">
        <v>2115</v>
      </c>
      <c r="M445" s="1">
        <v>1</v>
      </c>
      <c r="N445" s="1" t="s">
        <v>24</v>
      </c>
      <c r="O445" s="1" t="str">
        <f ca="1">IFERROR(__xludf.DUMMYFUNCTION("GOOGLETRANSLATE(N445,""pl"",""en"")"),"full ownership")</f>
        <v>full ownership</v>
      </c>
      <c r="P445" s="3" t="s">
        <v>2116</v>
      </c>
      <c r="Q445" s="1" t="b">
        <v>1</v>
      </c>
      <c r="R445" s="1" t="s">
        <v>2117</v>
      </c>
    </row>
    <row r="446" spans="1:18" x14ac:dyDescent="0.25">
      <c r="A446" s="2">
        <v>45173</v>
      </c>
      <c r="B446" s="1" t="s">
        <v>2118</v>
      </c>
      <c r="C446" s="1" t="str">
        <f ca="1">IFERROR(__xludf.DUMMYFUNCTION("GOOGLETRANSLATE(B446,""pl"",""en"")"),"4 rooms in a new investment in Płaszów")</f>
        <v>4 rooms in a new investment in Płaszów</v>
      </c>
      <c r="D446" s="1">
        <v>775608</v>
      </c>
      <c r="E446" s="1" t="s">
        <v>19</v>
      </c>
      <c r="F446" s="1">
        <v>76.040000000000006</v>
      </c>
      <c r="G446" s="1" t="s">
        <v>4764</v>
      </c>
      <c r="H446" s="1" t="str">
        <f ca="1">IFERROR(__xludf.DUMMYFUNCTION("GOOGLETRANSLATE(G446,""pl"",""en"")"),"street. Lasówka, Płaszów, Podgórze, Kraków, Lesser Poland")</f>
        <v>street. Lasówka, Płaszów, Podgórze, Kraków, Lesser Poland</v>
      </c>
      <c r="I446" s="1" t="s">
        <v>21</v>
      </c>
      <c r="J446" s="1" t="s">
        <v>21</v>
      </c>
      <c r="K446" s="1" t="s">
        <v>22</v>
      </c>
      <c r="L446" s="1" t="s">
        <v>2119</v>
      </c>
      <c r="M446" s="1">
        <v>4</v>
      </c>
      <c r="N446" s="1" t="s">
        <v>24</v>
      </c>
      <c r="O446" s="1" t="str">
        <f ca="1">IFERROR(__xludf.DUMMYFUNCTION("GOOGLETRANSLATE(N446,""pl"",""en"")"),"full ownership")</f>
        <v>full ownership</v>
      </c>
      <c r="P446" s="3" t="s">
        <v>2120</v>
      </c>
      <c r="Q446" s="1" t="b">
        <v>1</v>
      </c>
      <c r="R446" s="1" t="s">
        <v>2121</v>
      </c>
    </row>
    <row r="447" spans="1:18" x14ac:dyDescent="0.25">
      <c r="A447" s="2">
        <v>45173</v>
      </c>
      <c r="B447" s="1" t="s">
        <v>2122</v>
      </c>
      <c r="C447" s="1" t="str">
        <f ca="1">IFERROR(__xludf.DUMMYFUNCTION("GOOGLETRANSLATE(B447,""pl"",""en"")"),"Two -level apartment 111 m2, Julian, Bema Park")</f>
        <v>Two -level apartment 111 m2, Julian, Bema Park</v>
      </c>
      <c r="D447" s="1">
        <v>1350000</v>
      </c>
      <c r="E447" s="1" t="s">
        <v>19</v>
      </c>
      <c r="F447" s="1">
        <v>111</v>
      </c>
      <c r="G447" s="1" t="s">
        <v>2123</v>
      </c>
      <c r="H447" s="1" t="str">
        <f ca="1">IFERROR(__xludf.DUMMYFUNCTION("GOOGLETRANSLATE(G447,""pl"",""en"")"),"street. General Józef Bem, Jstreetian, Bałuty, Łódź, Łódź")</f>
        <v>street. General Józef Bem, Jstreetian, Bałuty, Łódź, Łódź</v>
      </c>
      <c r="I447" s="1" t="b">
        <v>1</v>
      </c>
      <c r="J447" s="1" t="s">
        <v>21</v>
      </c>
      <c r="K447" s="1" t="s">
        <v>194</v>
      </c>
      <c r="L447" s="1" t="s">
        <v>2124</v>
      </c>
      <c r="M447" s="1">
        <v>5</v>
      </c>
      <c r="N447" s="1" t="s">
        <v>21</v>
      </c>
      <c r="O447" s="1" t="str">
        <f ca="1">IFERROR(__xludf.DUMMYFUNCTION("GOOGLETRANSLATE(N447,""pl"",""en"")"),"null")</f>
        <v>null</v>
      </c>
      <c r="P447" s="3" t="s">
        <v>2125</v>
      </c>
      <c r="Q447" s="1" t="b">
        <v>1</v>
      </c>
      <c r="R447" s="1" t="s">
        <v>2126</v>
      </c>
    </row>
    <row r="448" spans="1:18" x14ac:dyDescent="0.25">
      <c r="A448" s="2">
        <v>45173</v>
      </c>
      <c r="B448" s="1" t="s">
        <v>2127</v>
      </c>
      <c r="C448" s="1" t="str">
        <f ca="1">IFERROR(__xludf.DUMMYFUNCTION("GOOGLETRANSLATE(B448,""pl"",""en"")"),"Kasprowicz apartments Apartment C509")</f>
        <v>Kasprowicz apartments Apartment C509</v>
      </c>
      <c r="D448" s="1">
        <v>678000</v>
      </c>
      <c r="E448" s="1" t="s">
        <v>19</v>
      </c>
      <c r="F448" s="1">
        <v>38.58</v>
      </c>
      <c r="G448" s="1" t="s">
        <v>1510</v>
      </c>
      <c r="H448" s="1" t="str">
        <f ca="1">IFERROR(__xludf.DUMMYFUNCTION("GOOGLETRANSLATE(G448,""pl"",""en"")"),"street. Jana Kasprowicz, Kołobrzeg, Kołobrzeski, West Pomeranian Voivodeship")</f>
        <v>street. Jana Kasprowicz, Kołobrzeg, Kołobrzeski, West Pomeranian Voivodeship</v>
      </c>
      <c r="I448" s="1" t="b">
        <v>1</v>
      </c>
      <c r="J448" s="1" t="s">
        <v>21</v>
      </c>
      <c r="K448" s="1" t="s">
        <v>194</v>
      </c>
      <c r="L448" s="1" t="s">
        <v>2128</v>
      </c>
      <c r="M448" s="1">
        <v>2</v>
      </c>
      <c r="N448" s="1" t="s">
        <v>24</v>
      </c>
      <c r="O448" s="1" t="str">
        <f ca="1">IFERROR(__xludf.DUMMYFUNCTION("GOOGLETRANSLATE(N448,""pl"",""en"")"),"full ownership")</f>
        <v>full ownership</v>
      </c>
      <c r="P448" s="3" t="s">
        <v>2129</v>
      </c>
      <c r="Q448" s="1" t="b">
        <v>1</v>
      </c>
      <c r="R448" s="1" t="s">
        <v>2130</v>
      </c>
    </row>
    <row r="449" spans="1:18" x14ac:dyDescent="0.25">
      <c r="A449" s="2">
        <v>45173</v>
      </c>
      <c r="B449" s="1" t="s">
        <v>2131</v>
      </c>
      <c r="C449" s="1" t="str">
        <f ca="1">IFERROR(__xludf.DUMMYFUNCTION("GOOGLETRANSLATE(B449,""pl"",""en"")"),"Apartment 3 Localkony View at the ditches")</f>
        <v>Apartment 3 Localkony View at the ditches</v>
      </c>
      <c r="D449" s="1">
        <v>725000</v>
      </c>
      <c r="E449" s="1" t="s">
        <v>33</v>
      </c>
      <c r="F449" s="1">
        <v>42.61</v>
      </c>
      <c r="G449" s="1" t="s">
        <v>2132</v>
      </c>
      <c r="H449" s="1" t="str">
        <f ca="1">IFERROR(__xludf.DUMMYFUNCTION("GOOGLETRANSLATE(G449,""pl"",""en"")"),"street. Nadmorska, Rowy, Ustka, Słupski, Pomeranian")</f>
        <v>street. Nadmorska, Rowy, Ustka, Słupski, Pomeranian</v>
      </c>
      <c r="I449" s="1" t="b">
        <v>1</v>
      </c>
      <c r="J449" s="1" t="s">
        <v>21</v>
      </c>
      <c r="K449" s="1" t="s">
        <v>22</v>
      </c>
      <c r="L449" s="1" t="s">
        <v>2133</v>
      </c>
      <c r="M449" s="1">
        <v>3</v>
      </c>
      <c r="N449" s="1" t="s">
        <v>24</v>
      </c>
      <c r="O449" s="1" t="str">
        <f ca="1">IFERROR(__xludf.DUMMYFUNCTION("GOOGLETRANSLATE(N449,""pl"",""en"")"),"full ownership")</f>
        <v>full ownership</v>
      </c>
      <c r="P449" s="3" t="s">
        <v>2134</v>
      </c>
      <c r="Q449" s="1" t="b">
        <v>1</v>
      </c>
      <c r="R449" s="1" t="s">
        <v>2135</v>
      </c>
    </row>
    <row r="450" spans="1:18" x14ac:dyDescent="0.25">
      <c r="A450" s="2">
        <v>45173</v>
      </c>
      <c r="B450" s="1" t="s">
        <v>2136</v>
      </c>
      <c r="C450" s="1" t="str">
        <f ca="1">IFERROR(__xludf.DUMMYFUNCTION("GOOGLETRANSLATE(B450,""pl"",""en"")"),"Apartment with a sea view")</f>
        <v>Apartment with a sea view</v>
      </c>
      <c r="D450" s="1">
        <v>499000</v>
      </c>
      <c r="E450" s="1" t="s">
        <v>33</v>
      </c>
      <c r="F450" s="1">
        <v>22.38</v>
      </c>
      <c r="G450" s="1" t="s">
        <v>150</v>
      </c>
      <c r="H450" s="1" t="str">
        <f ca="1">IFERROR(__xludf.DUMMYFUNCTION("GOOGLETRANSLATE(G450,""pl"",""en"")"),"Kołobrzeg, Kołobrzeski, ZachodnioPomeranian Voivodeship")</f>
        <v>Kołobrzeg, Kołobrzeski, ZachodnioPomeranian Voivodeship</v>
      </c>
      <c r="I450" s="1" t="s">
        <v>21</v>
      </c>
      <c r="J450" s="1" t="s">
        <v>21</v>
      </c>
      <c r="K450" s="1" t="s">
        <v>22</v>
      </c>
      <c r="L450" s="1" t="s">
        <v>2137</v>
      </c>
      <c r="M450" s="1">
        <v>1</v>
      </c>
      <c r="N450" s="1" t="s">
        <v>24</v>
      </c>
      <c r="O450" s="1" t="str">
        <f ca="1">IFERROR(__xludf.DUMMYFUNCTION("GOOGLETRANSLATE(N450,""pl"",""en"")"),"full ownership")</f>
        <v>full ownership</v>
      </c>
      <c r="P450" s="3" t="s">
        <v>2138</v>
      </c>
      <c r="Q450" s="1" t="b">
        <v>1</v>
      </c>
      <c r="R450" s="1" t="s">
        <v>2139</v>
      </c>
    </row>
    <row r="451" spans="1:18" x14ac:dyDescent="0.25">
      <c r="A451" s="2">
        <v>45173</v>
      </c>
      <c r="B451" s="1" t="s">
        <v>2140</v>
      </c>
      <c r="C451" s="1" t="str">
        <f ca="1">IFERROR(__xludf.DUMMYFUNCTION("GOOGLETRANSLATE(B451,""pl"",""en"")"),"4 rooms*ideal for a family*Super investment")</f>
        <v>4 rooms*ideal for a family*Super investment</v>
      </c>
      <c r="D451" s="1">
        <v>863500</v>
      </c>
      <c r="E451" s="1" t="s">
        <v>33</v>
      </c>
      <c r="F451" s="1">
        <v>96.6</v>
      </c>
      <c r="G451" s="1" t="s">
        <v>1931</v>
      </c>
      <c r="H451" s="1" t="str">
        <f ca="1">IFERROR(__xludf.DUMMYFUNCTION("GOOGLETRANSLATE(G451,""pl"",""en"")"),"street. Komuny Paris, Przedmieście Oławskie, Krzyki, Wrocław, DolnoSilesian Voivodeship")</f>
        <v>street. Komuny Paris, Przedmieście Oławskie, Krzyki, Wrocław, DolnoSilesian Voivodeship</v>
      </c>
      <c r="I451" s="1" t="s">
        <v>21</v>
      </c>
      <c r="J451" s="1" t="s">
        <v>21</v>
      </c>
      <c r="K451" s="1" t="s">
        <v>22</v>
      </c>
      <c r="L451" s="1" t="s">
        <v>2141</v>
      </c>
      <c r="M451" s="1">
        <v>4</v>
      </c>
      <c r="N451" s="1" t="s">
        <v>24</v>
      </c>
      <c r="O451" s="1" t="str">
        <f ca="1">IFERROR(__xludf.DUMMYFUNCTION("GOOGLETRANSLATE(N451,""pl"",""en"")"),"full ownership")</f>
        <v>full ownership</v>
      </c>
      <c r="P451" s="3" t="s">
        <v>2142</v>
      </c>
      <c r="Q451" s="1" t="b">
        <v>1</v>
      </c>
      <c r="R451" s="1" t="s">
        <v>2143</v>
      </c>
    </row>
    <row r="452" spans="1:18" x14ac:dyDescent="0.25">
      <c r="A452" s="2">
        <v>45173</v>
      </c>
      <c r="B452" s="1" t="s">
        <v>2144</v>
      </c>
      <c r="C452" s="1" t="str">
        <f ca="1">IFERROR(__xludf.DUMMYFUNCTION("GOOGLETRANSLATE(B452,""pl"",""en"")"),"Rosze apartments with a garden")</f>
        <v>Rosze apartments with a garden</v>
      </c>
      <c r="D452" s="1">
        <v>289000</v>
      </c>
      <c r="E452" s="1" t="s">
        <v>19</v>
      </c>
      <c r="F452" s="1">
        <v>45.7</v>
      </c>
      <c r="G452" s="1" t="s">
        <v>2145</v>
      </c>
      <c r="H452" s="1" t="str">
        <f ca="1">IFERROR(__xludf.DUMMYFUNCTION("GOOGLETRANSLATE(G452,""pl"",""en"")"),"Nadmorska, Lębork, Lęborski, Pomeranian")</f>
        <v>Nadmorska, Lębork, Lęborski, Pomeranian</v>
      </c>
      <c r="I452" s="1" t="s">
        <v>21</v>
      </c>
      <c r="J452" s="1" t="s">
        <v>21</v>
      </c>
      <c r="K452" s="1" t="s">
        <v>22</v>
      </c>
      <c r="L452" s="1" t="s">
        <v>2146</v>
      </c>
      <c r="M452" s="1">
        <v>2</v>
      </c>
      <c r="N452" s="1" t="s">
        <v>24</v>
      </c>
      <c r="O452" s="1" t="str">
        <f ca="1">IFERROR(__xludf.DUMMYFUNCTION("GOOGLETRANSLATE(N452,""pl"",""en"")"),"full ownership")</f>
        <v>full ownership</v>
      </c>
      <c r="P452" s="3" t="s">
        <v>2147</v>
      </c>
      <c r="Q452" s="1" t="b">
        <v>1</v>
      </c>
      <c r="R452" s="1" t="s">
        <v>2148</v>
      </c>
    </row>
    <row r="453" spans="1:18" x14ac:dyDescent="0.25">
      <c r="A453" s="2">
        <v>45173</v>
      </c>
      <c r="B453" s="1" t="s">
        <v>2149</v>
      </c>
      <c r="C453" s="1" t="str">
        <f ca="1">IFERROR(__xludf.DUMMYFUNCTION("GOOGLETRANSLATE(B453,""pl"",""en"")"),"Studio apartment in TOP turnkey investments without commission")</f>
        <v>Studio apartment in TOP turnkey investments without commission</v>
      </c>
      <c r="D453" s="1">
        <v>714300</v>
      </c>
      <c r="E453" s="1" t="s">
        <v>19</v>
      </c>
      <c r="F453" s="1">
        <v>29.53</v>
      </c>
      <c r="G453" s="1" t="s">
        <v>2150</v>
      </c>
      <c r="H453" s="1" t="str">
        <f ca="1">IFERROR(__xludf.DUMMYFUNCTION("GOOGLETRANSLATE(G453,""pl"",""en"")"),"Mirów, Wola, Warsaw, Masovian Voivodeship")</f>
        <v>Mirów, Wola, Warsaw, Masovian Voivodeship</v>
      </c>
      <c r="I453" s="1" t="s">
        <v>21</v>
      </c>
      <c r="J453" s="1" t="s">
        <v>21</v>
      </c>
      <c r="K453" s="1" t="s">
        <v>22</v>
      </c>
      <c r="L453" s="1" t="s">
        <v>2151</v>
      </c>
      <c r="M453" s="1">
        <v>1</v>
      </c>
      <c r="N453" s="1" t="s">
        <v>24</v>
      </c>
      <c r="O453" s="1" t="str">
        <f ca="1">IFERROR(__xludf.DUMMYFUNCTION("GOOGLETRANSLATE(N453,""pl"",""en"")"),"full ownership")</f>
        <v>full ownership</v>
      </c>
      <c r="P453" s="3" t="s">
        <v>2152</v>
      </c>
      <c r="Q453" s="1" t="b">
        <v>1</v>
      </c>
      <c r="R453" s="1" t="s">
        <v>2153</v>
      </c>
    </row>
    <row r="454" spans="1:18" x14ac:dyDescent="0.25">
      <c r="A454" s="2">
        <v>45173</v>
      </c>
      <c r="B454" s="1" t="s">
        <v>2154</v>
      </c>
      <c r="C454" s="1" t="str">
        <f ca="1">IFERROR(__xludf.DUMMYFUNCTION("GOOGLETRANSLATE(B454,""pl"",""en"")"),"80 m2 apartment with terrace Kraków Prądnik Biały")</f>
        <v>80 m2 apartment with terrace Kraków Prądnik Biały</v>
      </c>
      <c r="D454" s="1">
        <v>952000</v>
      </c>
      <c r="E454" s="1" t="s">
        <v>33</v>
      </c>
      <c r="F454" s="1">
        <v>80.08</v>
      </c>
      <c r="G454" s="1" t="s">
        <v>4765</v>
      </c>
      <c r="H454" s="1" t="str">
        <f ca="1">IFERROR(__xludf.DUMMYFUNCTION("GOOGLETRANSLATE(G454,""pl"",""en"")"),"street. Kuźnica Kołłątajowska, Górka Narodowa, Prądnik Biały, Kraków, Lesser Poland")</f>
        <v>street. Kuźnica Kołłątajowska, Górka Narodowa, Prądnik Biały, Kraków, Lesser Poland</v>
      </c>
      <c r="I454" s="1" t="s">
        <v>21</v>
      </c>
      <c r="J454" s="1" t="s">
        <v>21</v>
      </c>
      <c r="K454" s="1" t="s">
        <v>22</v>
      </c>
      <c r="L454" s="1" t="s">
        <v>2155</v>
      </c>
      <c r="M454" s="1">
        <v>3</v>
      </c>
      <c r="N454" s="1" t="s">
        <v>24</v>
      </c>
      <c r="O454" s="1" t="str">
        <f ca="1">IFERROR(__xludf.DUMMYFUNCTION("GOOGLETRANSLATE(N454,""pl"",""en"")"),"full ownership")</f>
        <v>full ownership</v>
      </c>
      <c r="P454" s="3" t="s">
        <v>2156</v>
      </c>
      <c r="Q454" s="1" t="b">
        <v>1</v>
      </c>
      <c r="R454" s="1" t="s">
        <v>2157</v>
      </c>
    </row>
    <row r="455" spans="1:18" x14ac:dyDescent="0.25">
      <c r="A455" s="2">
        <v>45173</v>
      </c>
      <c r="B455" s="1" t="s">
        <v>2158</v>
      </c>
      <c r="C455" s="1" t="str">
        <f ca="1">IFERROR(__xludf.DUMMYFUNCTION("GOOGLETRANSLATE(B455,""pl"",""en"")"),"Apartment in an elegant and safe estate")</f>
        <v>Apartment in an elegant and safe estate</v>
      </c>
      <c r="D455" s="1">
        <v>700000</v>
      </c>
      <c r="E455" s="1" t="s">
        <v>33</v>
      </c>
      <c r="F455" s="1">
        <v>52.67</v>
      </c>
      <c r="G455" s="1" t="s">
        <v>2159</v>
      </c>
      <c r="H455" s="1" t="str">
        <f ca="1">IFERROR(__xludf.DUMMYFUNCTION("GOOGLETRANSLATE(G455,""pl"",""en"")"),"street. Aragońska, Oksywie, Gdynia, Pomeranian")</f>
        <v>street. Aragońska, Oksywie, Gdynia, Pomeranian</v>
      </c>
      <c r="I455" s="1" t="s">
        <v>21</v>
      </c>
      <c r="J455" s="1" t="s">
        <v>21</v>
      </c>
      <c r="K455" s="1" t="s">
        <v>22</v>
      </c>
      <c r="L455" s="1" t="s">
        <v>2160</v>
      </c>
      <c r="M455" s="1">
        <v>3</v>
      </c>
      <c r="N455" s="1" t="s">
        <v>24</v>
      </c>
      <c r="O455" s="1" t="str">
        <f ca="1">IFERROR(__xludf.DUMMYFUNCTION("GOOGLETRANSLATE(N455,""pl"",""en"")"),"full ownership")</f>
        <v>full ownership</v>
      </c>
      <c r="P455" s="3" t="s">
        <v>2161</v>
      </c>
      <c r="Q455" s="1" t="b">
        <v>1</v>
      </c>
      <c r="R455" s="1" t="s">
        <v>2162</v>
      </c>
    </row>
    <row r="456" spans="1:18" x14ac:dyDescent="0.25">
      <c r="A456" s="2">
        <v>45173</v>
      </c>
      <c r="B456" s="1" t="s">
        <v>2163</v>
      </c>
      <c r="C456" s="1" t="str">
        <f ca="1">IFERROR(__xludf.DUMMYFUNCTION("GOOGLETRANSLATE(B456,""pl"",""en"")"),"Apartment in Krynica Morska")</f>
        <v>Apartment in Krynica Morska</v>
      </c>
      <c r="D456" s="1">
        <v>559000</v>
      </c>
      <c r="E456" s="1" t="s">
        <v>33</v>
      </c>
      <c r="F456" s="1">
        <v>34</v>
      </c>
      <c r="G456" s="1" t="s">
        <v>2164</v>
      </c>
      <c r="H456" s="1" t="str">
        <f ca="1">IFERROR(__xludf.DUMMYFUNCTION("GOOGLETRANSLATE(G456,""pl"",""en"")"),"street. Gdańsk, Krynica Morska, Nowodworski, Pomeranian")</f>
        <v>street. Gdańsk, Krynica Morska, Nowodworski, Pomeranian</v>
      </c>
      <c r="I456" s="1" t="s">
        <v>21</v>
      </c>
      <c r="J456" s="1" t="s">
        <v>21</v>
      </c>
      <c r="K456" s="1" t="s">
        <v>22</v>
      </c>
      <c r="L456" s="1" t="s">
        <v>2165</v>
      </c>
      <c r="M456" s="1">
        <v>2</v>
      </c>
      <c r="N456" s="1" t="s">
        <v>24</v>
      </c>
      <c r="O456" s="1" t="str">
        <f ca="1">IFERROR(__xludf.DUMMYFUNCTION("GOOGLETRANSLATE(N456,""pl"",""en"")"),"full ownership")</f>
        <v>full ownership</v>
      </c>
      <c r="P456" s="3" t="s">
        <v>2166</v>
      </c>
      <c r="Q456" s="1" t="b">
        <v>1</v>
      </c>
      <c r="R456" s="1" t="s">
        <v>2167</v>
      </c>
    </row>
    <row r="457" spans="1:18" x14ac:dyDescent="0.25">
      <c r="A457" s="2">
        <v>45173</v>
      </c>
      <c r="B457" s="1" t="s">
        <v>2168</v>
      </c>
      <c r="C457" s="1" t="str">
        <f ca="1">IFERROR(__xludf.DUMMYFUNCTION("GOOGLETRANSLATE(B457,""pl"",""en"")"),"3P apartment on the top floor without commission")</f>
        <v>3P apartment on the top floor without commission</v>
      </c>
      <c r="D457" s="1">
        <v>1674403</v>
      </c>
      <c r="E457" s="1" t="s">
        <v>19</v>
      </c>
      <c r="F457" s="1">
        <v>66.66</v>
      </c>
      <c r="G457" s="1" t="s">
        <v>2150</v>
      </c>
      <c r="H457" s="1" t="str">
        <f ca="1">IFERROR(__xludf.DUMMYFUNCTION("GOOGLETRANSLATE(G457,""pl"",""en"")"),"Mirów, Wola, Warsaw, Masovian Voivodeship")</f>
        <v>Mirów, Wola, Warsaw, Masovian Voivodeship</v>
      </c>
      <c r="I457" s="1" t="s">
        <v>21</v>
      </c>
      <c r="J457" s="1" t="s">
        <v>21</v>
      </c>
      <c r="K457" s="1" t="s">
        <v>22</v>
      </c>
      <c r="L457" s="1" t="s">
        <v>2169</v>
      </c>
      <c r="M457" s="1">
        <v>3</v>
      </c>
      <c r="N457" s="1" t="s">
        <v>24</v>
      </c>
      <c r="O457" s="1" t="str">
        <f ca="1">IFERROR(__xludf.DUMMYFUNCTION("GOOGLETRANSLATE(N457,""pl"",""en"")"),"full ownership")</f>
        <v>full ownership</v>
      </c>
      <c r="P457" s="3" t="s">
        <v>2170</v>
      </c>
      <c r="Q457" s="1" t="b">
        <v>1</v>
      </c>
      <c r="R457" s="1" t="s">
        <v>2171</v>
      </c>
    </row>
    <row r="458" spans="1:18" x14ac:dyDescent="0.25">
      <c r="A458" s="2">
        <v>45173</v>
      </c>
      <c r="B458" s="1" t="s">
        <v>2172</v>
      </c>
      <c r="C458" s="1" t="str">
        <f ca="1">IFERROR(__xludf.DUMMYFUNCTION("GOOGLETRANSLATE(B458,""pl"",""en"")"),"4 rooms Panorama of Kwiatkowski New building")</f>
        <v>4 rooms Panorama of Kwiatkowski New building</v>
      </c>
      <c r="D458" s="1">
        <v>1001601</v>
      </c>
      <c r="E458" s="1" t="s">
        <v>19</v>
      </c>
      <c r="F458" s="1">
        <v>91.89</v>
      </c>
      <c r="G458" s="1" t="s">
        <v>2173</v>
      </c>
      <c r="H458" s="1" t="str">
        <f ca="1">IFERROR(__xludf.DUMMYFUNCTION("GOOGLETRANSLATE(G458,""pl"",""en"")"),"street. Eugeniusz Kwiatkowski, Drabinianka, Rzeszów, Podkarpackie")</f>
        <v>street. Eugeniusz Kwiatkowski, Drabinianka, Rzeszów, Podkarpackie</v>
      </c>
      <c r="I458" s="1" t="s">
        <v>21</v>
      </c>
      <c r="J458" s="1" t="s">
        <v>21</v>
      </c>
      <c r="K458" s="1" t="s">
        <v>194</v>
      </c>
      <c r="L458" s="1" t="s">
        <v>2174</v>
      </c>
      <c r="M458" s="1">
        <v>4</v>
      </c>
      <c r="N458" s="1" t="s">
        <v>24</v>
      </c>
      <c r="O458" s="1" t="str">
        <f ca="1">IFERROR(__xludf.DUMMYFUNCTION("GOOGLETRANSLATE(N458,""pl"",""en"")"),"full ownership")</f>
        <v>full ownership</v>
      </c>
      <c r="P458" s="3" t="s">
        <v>2175</v>
      </c>
      <c r="Q458" s="1" t="b">
        <v>1</v>
      </c>
      <c r="R458" s="1" t="s">
        <v>2176</v>
      </c>
    </row>
    <row r="459" spans="1:18" x14ac:dyDescent="0.25">
      <c r="A459" s="2">
        <v>45173</v>
      </c>
      <c r="B459" s="1" t="s">
        <v>2177</v>
      </c>
      <c r="C459" s="1" t="str">
        <f ca="1">IFERROR(__xludf.DUMMYFUNCTION("GOOGLETRANSLATE(B459,""pl"",""en"")"),"A2 City Las Kołobrzeg")</f>
        <v>A2 City Las Kołobrzeg</v>
      </c>
      <c r="D459" s="1">
        <v>692720</v>
      </c>
      <c r="E459" s="1" t="s">
        <v>19</v>
      </c>
      <c r="F459" s="1">
        <v>61.85</v>
      </c>
      <c r="G459" s="1" t="s">
        <v>2178</v>
      </c>
      <c r="H459" s="1" t="str">
        <f ca="1">IFERROR(__xludf.DUMMYFUNCTION("GOOGLETRANSLATE(G459,""pl"",""en"")"),"street. Tarnopolska, Kołobrzeg, Kołobrzeski, ZachodnioPomeranian Voivodeship")</f>
        <v>street. Tarnopolska, Kołobrzeg, Kołobrzeski, ZachodnioPomeranian Voivodeship</v>
      </c>
      <c r="I459" s="1" t="s">
        <v>21</v>
      </c>
      <c r="J459" s="1" t="s">
        <v>21</v>
      </c>
      <c r="K459" s="1" t="s">
        <v>194</v>
      </c>
      <c r="L459" s="1" t="s">
        <v>4766</v>
      </c>
      <c r="M459" s="1">
        <v>3</v>
      </c>
      <c r="N459" s="1" t="s">
        <v>24</v>
      </c>
      <c r="O459" s="1" t="str">
        <f ca="1">IFERROR(__xludf.DUMMYFUNCTION("GOOGLETRANSLATE(N459,""pl"",""en"")"),"full ownership")</f>
        <v>full ownership</v>
      </c>
      <c r="P459" s="3" t="s">
        <v>2179</v>
      </c>
      <c r="Q459" s="1" t="b">
        <v>1</v>
      </c>
      <c r="R459" s="1" t="s">
        <v>2180</v>
      </c>
    </row>
    <row r="460" spans="1:18" x14ac:dyDescent="0.25">
      <c r="A460" s="2">
        <v>45173</v>
      </c>
      <c r="B460" s="1" t="s">
        <v>2181</v>
      </c>
      <c r="C460" s="1" t="str">
        <f ca="1">IFERROR(__xludf.DUMMYFUNCTION("GOOGLETRANSLATE(B460,""pl"",""en"")"),"A residential premises at the Zabrze 2 Graphite housing estate")</f>
        <v>A residential premises at the Zabrze 2 Graphite housing estate</v>
      </c>
      <c r="D460" s="1">
        <v>545753</v>
      </c>
      <c r="E460" s="1" t="s">
        <v>19</v>
      </c>
      <c r="F460" s="1">
        <v>80.97</v>
      </c>
      <c r="G460" s="1" t="s">
        <v>2182</v>
      </c>
      <c r="H460" s="1" t="str">
        <f ca="1">IFERROR(__xludf.DUMMYFUNCTION("GOOGLETRANSLATE(G460,""pl"",""en"")"),"street. Maria Curie-Skłodowska, Tadeusz Kotarbiński estate, Zabrze, Silesian Voivodeship")</f>
        <v>street. Maria Curie-Skłodowska, Tadeusz Kotarbiński estate, Zabrze, Silesian Voivodeship</v>
      </c>
      <c r="I460" s="1" t="s">
        <v>21</v>
      </c>
      <c r="J460" s="1" t="s">
        <v>21</v>
      </c>
      <c r="K460" s="1" t="s">
        <v>194</v>
      </c>
      <c r="L460" s="1" t="s">
        <v>2183</v>
      </c>
      <c r="M460" s="1">
        <v>4</v>
      </c>
      <c r="N460" s="1" t="s">
        <v>24</v>
      </c>
      <c r="O460" s="1" t="str">
        <f ca="1">IFERROR(__xludf.DUMMYFUNCTION("GOOGLETRANSLATE(N460,""pl"",""en"")"),"full ownership")</f>
        <v>full ownership</v>
      </c>
      <c r="P460" s="3" t="s">
        <v>2184</v>
      </c>
      <c r="Q460" s="1" t="b">
        <v>1</v>
      </c>
      <c r="R460" s="1" t="s">
        <v>2185</v>
      </c>
    </row>
    <row r="461" spans="1:18" x14ac:dyDescent="0.25">
      <c r="A461" s="2">
        <v>45173</v>
      </c>
      <c r="B461" s="1" t="s">
        <v>1861</v>
      </c>
      <c r="C461" s="1" t="str">
        <f ca="1">IFERROR(__xludf.DUMMYFUNCTION("GOOGLETRANSLATE(B461,""pl"",""en"")"),"Apartment at the trails of bicycle routes themselves")</f>
        <v>Apartment at the trails of bicycle routes themselves</v>
      </c>
      <c r="D461" s="1">
        <v>339000</v>
      </c>
      <c r="E461" s="1" t="s">
        <v>33</v>
      </c>
      <c r="F461" s="1">
        <v>30.74</v>
      </c>
      <c r="G461" s="1" t="s">
        <v>1862</v>
      </c>
      <c r="H461" s="1" t="str">
        <f ca="1">IFERROR(__xludf.DUMMYFUNCTION("GOOGLETRANSLATE(G461,""pl"",""en"")"),"Szklarska Poręba, Karkonoski, DolnoSilesian Voivodeship")</f>
        <v>Szklarska Poręba, Karkonoski, DolnoSilesian Voivodeship</v>
      </c>
      <c r="I461" s="1" t="s">
        <v>21</v>
      </c>
      <c r="J461" s="1" t="s">
        <v>21</v>
      </c>
      <c r="K461" s="1" t="s">
        <v>22</v>
      </c>
      <c r="L461" s="1" t="s">
        <v>2186</v>
      </c>
      <c r="M461" s="1">
        <v>2</v>
      </c>
      <c r="N461" s="1" t="s">
        <v>24</v>
      </c>
      <c r="O461" s="1" t="str">
        <f ca="1">IFERROR(__xludf.DUMMYFUNCTION("GOOGLETRANSLATE(N461,""pl"",""en"")"),"full ownership")</f>
        <v>full ownership</v>
      </c>
      <c r="P461" s="3" t="s">
        <v>2187</v>
      </c>
      <c r="Q461" s="1" t="b">
        <v>1</v>
      </c>
      <c r="R461" s="1" t="s">
        <v>2188</v>
      </c>
    </row>
    <row r="462" spans="1:18" x14ac:dyDescent="0.25">
      <c r="A462" s="2">
        <v>45173</v>
      </c>
      <c r="B462" s="1" t="s">
        <v>2189</v>
      </c>
      <c r="C462" s="1" t="str">
        <f ca="1">IFERROR(__xludf.DUMMYFUNCTION("GOOGLETRANSLATE(B462,""pl"",""en"")"),"Apartment B011 for sale by the sea")</f>
        <v>Apartment B011 for sale by the sea</v>
      </c>
      <c r="D462" s="1">
        <v>488460</v>
      </c>
      <c r="E462" s="1" t="s">
        <v>19</v>
      </c>
      <c r="F462" s="1">
        <v>34.89</v>
      </c>
      <c r="G462" s="1" t="s">
        <v>2190</v>
      </c>
      <c r="H462" s="1" t="str">
        <f ca="1">IFERROR(__xludf.DUMMYFUNCTION("GOOGLETRANSLATE(G462,""pl"",""en"")"),"street. Plame, Grzybowo, Kołobrzeg, Kołobrzeski, West Pomeranian Voivodeship")</f>
        <v>street. Plame, Grzybowo, Kołobrzeg, Kołobrzeski, West Pomeranian Voivodeship</v>
      </c>
      <c r="I462" s="1" t="s">
        <v>21</v>
      </c>
      <c r="J462" s="1" t="s">
        <v>21</v>
      </c>
      <c r="K462" s="1" t="s">
        <v>194</v>
      </c>
      <c r="L462" s="1" t="s">
        <v>2191</v>
      </c>
      <c r="M462" s="1">
        <v>2</v>
      </c>
      <c r="N462" s="1" t="s">
        <v>24</v>
      </c>
      <c r="O462" s="1" t="str">
        <f ca="1">IFERROR(__xludf.DUMMYFUNCTION("GOOGLETRANSLATE(N462,""pl"",""en"")"),"full ownership")</f>
        <v>full ownership</v>
      </c>
      <c r="P462" s="3" t="s">
        <v>2192</v>
      </c>
      <c r="Q462" s="1" t="b">
        <v>1</v>
      </c>
      <c r="R462" s="1" t="s">
        <v>2193</v>
      </c>
    </row>
    <row r="463" spans="1:18" x14ac:dyDescent="0.25">
      <c r="A463" s="2">
        <v>45173</v>
      </c>
      <c r="B463" s="1" t="s">
        <v>2194</v>
      </c>
      <c r="C463" s="1" t="str">
        <f ca="1">IFERROR(__xludf.DUMMYFUNCTION("GOOGLETRANSLATE(B463,""pl"",""en"")"),"Apartment with a sea view, 3 sails")</f>
        <v>Apartment with a sea view, 3 sails</v>
      </c>
      <c r="D463" s="1">
        <v>1090000</v>
      </c>
      <c r="E463" s="1" t="s">
        <v>19</v>
      </c>
      <c r="F463" s="1">
        <v>66.900000000000006</v>
      </c>
      <c r="G463" s="1" t="s">
        <v>2195</v>
      </c>
      <c r="H463" s="1" t="str">
        <f ca="1">IFERROR(__xludf.DUMMYFUNCTION("GOOGLETRANSLATE(G463,""pl"",""en"")"),"street. Olsztyńska, Przymorze Wielkie, Gdańsk, Pomeranian Voivodeship")</f>
        <v>street. Olsztyńska, Przymorze Wielkie, Gdańsk, Pomeranian Voivodeship</v>
      </c>
      <c r="I463" s="1" t="s">
        <v>21</v>
      </c>
      <c r="J463" s="1" t="s">
        <v>21</v>
      </c>
      <c r="K463" s="1" t="s">
        <v>22</v>
      </c>
      <c r="L463" s="1" t="s">
        <v>2196</v>
      </c>
      <c r="M463" s="1">
        <v>3</v>
      </c>
      <c r="N463" s="1" t="s">
        <v>24</v>
      </c>
      <c r="O463" s="1" t="str">
        <f ca="1">IFERROR(__xludf.DUMMYFUNCTION("GOOGLETRANSLATE(N463,""pl"",""en"")"),"full ownership")</f>
        <v>full ownership</v>
      </c>
      <c r="P463" s="3" t="s">
        <v>2197</v>
      </c>
      <c r="Q463" s="1" t="b">
        <v>1</v>
      </c>
      <c r="R463" s="1" t="s">
        <v>2198</v>
      </c>
    </row>
    <row r="464" spans="1:18" x14ac:dyDescent="0.25">
      <c r="A464" s="2">
        <v>45173</v>
      </c>
      <c r="B464" s="1" t="s">
        <v>2199</v>
      </c>
      <c r="C464" s="1" t="str">
        <f ca="1">IFERROR(__xludf.DUMMYFUNCTION("GOOGLETRANSLATE(B464,""pl"",""en"")"),"Boy Apartments A cozy apartment C.2.40")</f>
        <v>Boy Apartments A cozy apartment C.2.40</v>
      </c>
      <c r="D464" s="1">
        <v>466689</v>
      </c>
      <c r="E464" s="1" t="s">
        <v>19</v>
      </c>
      <c r="F464" s="1">
        <v>63.93</v>
      </c>
      <c r="G464" s="1" t="s">
        <v>2200</v>
      </c>
      <c r="H464" s="1" t="str">
        <f ca="1">IFERROR(__xludf.DUMMYFUNCTION("GOOGLETRANSLATE(G464,""pl"",""en"")"),"street. Tadeusz Boy-Żeleński, Zgierz, Zgierz, Łódź")</f>
        <v>street. Tadeusz Boy-Żeleński, Zgierz, Zgierz, Łódź</v>
      </c>
      <c r="I464" s="1" t="b">
        <v>1</v>
      </c>
      <c r="J464" s="1" t="s">
        <v>21</v>
      </c>
      <c r="K464" s="1" t="s">
        <v>194</v>
      </c>
      <c r="L464" s="1" t="s">
        <v>2201</v>
      </c>
      <c r="M464" s="1">
        <v>3</v>
      </c>
      <c r="N464" s="1" t="s">
        <v>24</v>
      </c>
      <c r="O464" s="1" t="str">
        <f ca="1">IFERROR(__xludf.DUMMYFUNCTION("GOOGLETRANSLATE(N464,""pl"",""en"")"),"full ownership")</f>
        <v>full ownership</v>
      </c>
      <c r="P464" s="3" t="s">
        <v>2202</v>
      </c>
      <c r="Q464" s="1" t="b">
        <v>1</v>
      </c>
      <c r="R464" s="1" t="s">
        <v>2203</v>
      </c>
    </row>
    <row r="465" spans="1:18" x14ac:dyDescent="0.25">
      <c r="A465" s="2">
        <v>45173</v>
      </c>
      <c r="B465" s="1" t="s">
        <v>2001</v>
      </c>
      <c r="C465" s="1" t="str">
        <f ca="1">IFERROR(__xludf.DUMMYFUNCTION("GOOGLETRANSLATE(B465,""pl"",""en"")"),"Apartment by the sea 23% VAT Rental service")</f>
        <v>Apartment by the sea 23% VAT Rental service</v>
      </c>
      <c r="D465" s="1">
        <v>302270</v>
      </c>
      <c r="E465" s="1" t="s">
        <v>19</v>
      </c>
      <c r="F465" s="1">
        <v>30.23</v>
      </c>
      <c r="G465" s="1" t="s">
        <v>2002</v>
      </c>
      <c r="H465" s="1" t="str">
        <f ca="1">IFERROR(__xludf.DUMMYFUNCTION("GOOGLETRANSLATE(G465,""pl"",""en"")"),"street. Ogrodowa, Ustronie Morskie, Ustronie Morskie, Kołobrzeski, West Pomeranian Voivodeship")</f>
        <v>street. Ogrodowa, Ustronie Morskie, Ustronie Morskie, Kołobrzeski, West Pomeranian Voivodeship</v>
      </c>
      <c r="I465" s="1" t="b">
        <v>1</v>
      </c>
      <c r="J465" s="1" t="s">
        <v>21</v>
      </c>
      <c r="K465" s="1" t="s">
        <v>22</v>
      </c>
      <c r="L465" s="1" t="s">
        <v>2204</v>
      </c>
      <c r="M465" s="1">
        <v>1</v>
      </c>
      <c r="N465" s="1" t="s">
        <v>24</v>
      </c>
      <c r="O465" s="1" t="str">
        <f ca="1">IFERROR(__xludf.DUMMYFUNCTION("GOOGLETRANSLATE(N465,""pl"",""en"")"),"full ownership")</f>
        <v>full ownership</v>
      </c>
      <c r="P465" s="3" t="s">
        <v>2205</v>
      </c>
      <c r="Q465" s="1" t="b">
        <v>1</v>
      </c>
      <c r="R465" s="1" t="s">
        <v>2206</v>
      </c>
    </row>
    <row r="466" spans="1:18" x14ac:dyDescent="0.25">
      <c r="A466" s="2">
        <v>45173</v>
      </c>
      <c r="B466" s="1" t="s">
        <v>2207</v>
      </c>
      <c r="C466" s="1" t="str">
        <f ca="1">IFERROR(__xludf.DUMMYFUNCTION("GOOGLETRANSLATE(B466,""pl"",""en"")"),"After renovation Market Legionów Square Grabiszyńska")</f>
        <v>After renovation Market Legionów Square Grabiszyńska</v>
      </c>
      <c r="D466" s="1">
        <v>669000</v>
      </c>
      <c r="E466" s="1" t="s">
        <v>33</v>
      </c>
      <c r="F466" s="1">
        <v>58.24</v>
      </c>
      <c r="G466" s="1" t="s">
        <v>2208</v>
      </c>
      <c r="H466" s="1" t="str">
        <f ca="1">IFERROR(__xludf.DUMMYFUNCTION("GOOGLETRANSLATE(G466,""pl"",""en"")"),"street. Ivana Pawłowa, Przedmieście Świdnickie, Old Town, Wrocław, DolnoSilesian Voivodeship")</f>
        <v>street. Ivana Pawłowa, Przedmieście Świdnickie, Old Town, Wrocław, DolnoSilesian Voivodeship</v>
      </c>
      <c r="I466" s="1" t="s">
        <v>21</v>
      </c>
      <c r="J466" s="1" t="s">
        <v>21</v>
      </c>
      <c r="K466" s="1" t="s">
        <v>22</v>
      </c>
      <c r="L466" s="1" t="s">
        <v>2209</v>
      </c>
      <c r="M466" s="1">
        <v>2</v>
      </c>
      <c r="N466" s="1" t="s">
        <v>24</v>
      </c>
      <c r="O466" s="1" t="str">
        <f ca="1">IFERROR(__xludf.DUMMYFUNCTION("GOOGLETRANSLATE(N466,""pl"",""en"")"),"full ownership")</f>
        <v>full ownership</v>
      </c>
      <c r="P466" s="3" t="s">
        <v>2210</v>
      </c>
      <c r="Q466" s="1" t="b">
        <v>1</v>
      </c>
      <c r="R466" s="1" t="s">
        <v>2211</v>
      </c>
    </row>
    <row r="467" spans="1:18" x14ac:dyDescent="0.25">
      <c r="A467" s="2">
        <v>45173</v>
      </c>
      <c r="B467" s="1" t="s">
        <v>2212</v>
      </c>
      <c r="C467" s="1" t="str">
        <f ca="1">IFERROR(__xludf.DUMMYFUNCTION("GOOGLETRANSLATE(B467,""pl"",""en"")"),"Premium Apartment 64M Mielno by the sea")</f>
        <v>Premium Apartment 64M Mielno by the sea</v>
      </c>
      <c r="D467" s="1">
        <v>1598000</v>
      </c>
      <c r="E467" s="1" t="s">
        <v>19</v>
      </c>
      <c r="F467" s="1">
        <v>64</v>
      </c>
      <c r="G467" s="1" t="s">
        <v>305</v>
      </c>
      <c r="H467" s="1" t="str">
        <f ca="1">IFERROR(__xludf.DUMMYFUNCTION("GOOGLETRANSLATE(G467,""pl"",""en"")"),"Mielno, Mielno, Koszaliński, West Pomeranian Voivodeship")</f>
        <v>Mielno, Mielno, Koszaliński, West Pomeranian Voivodeship</v>
      </c>
      <c r="I467" s="1" t="s">
        <v>21</v>
      </c>
      <c r="J467" s="1" t="s">
        <v>21</v>
      </c>
      <c r="K467" s="1" t="s">
        <v>194</v>
      </c>
      <c r="L467" s="1" t="s">
        <v>2213</v>
      </c>
      <c r="M467" s="1">
        <v>3</v>
      </c>
      <c r="N467" s="1" t="s">
        <v>24</v>
      </c>
      <c r="O467" s="1" t="str">
        <f ca="1">IFERROR(__xludf.DUMMYFUNCTION("GOOGLETRANSLATE(N467,""pl"",""en"")"),"full ownership")</f>
        <v>full ownership</v>
      </c>
      <c r="P467" s="3" t="s">
        <v>2214</v>
      </c>
      <c r="Q467" s="1" t="b">
        <v>1</v>
      </c>
      <c r="R467" s="1" t="s">
        <v>2215</v>
      </c>
    </row>
    <row r="468" spans="1:18" x14ac:dyDescent="0.25">
      <c r="A468" s="2">
        <v>45173</v>
      </c>
      <c r="B468" s="1" t="s">
        <v>2216</v>
      </c>
      <c r="C468" s="1" t="str">
        <f ca="1">IFERROR(__xludf.DUMMYFUNCTION("GOOGLETRANSLATE(B468,""pl"",""en"")"),"Investment Apartment in Jurata")</f>
        <v>Investment Apartment in Jurata</v>
      </c>
      <c r="D468" s="1">
        <v>1325000</v>
      </c>
      <c r="E468" s="1" t="s">
        <v>33</v>
      </c>
      <c r="F468" s="1">
        <v>53.65</v>
      </c>
      <c r="G468" s="1" t="s">
        <v>2217</v>
      </c>
      <c r="H468" s="1" t="str">
        <f ca="1">IFERROR(__xludf.DUMMYFUNCTION("GOOGLETRANSLATE(G468,""pl"",""en"")"),"Ratibora, Jurata, Jastarnia, Pucki, Pomeranian")</f>
        <v>Ratibora, Jurata, Jastarnia, Pucki, Pomeranian</v>
      </c>
      <c r="I468" s="1" t="s">
        <v>21</v>
      </c>
      <c r="J468" s="1" t="s">
        <v>21</v>
      </c>
      <c r="K468" s="1" t="s">
        <v>22</v>
      </c>
      <c r="L468" s="1" t="s">
        <v>2218</v>
      </c>
      <c r="M468" s="1">
        <v>3</v>
      </c>
      <c r="N468" s="1" t="s">
        <v>24</v>
      </c>
      <c r="O468" s="1" t="str">
        <f ca="1">IFERROR(__xludf.DUMMYFUNCTION("GOOGLETRANSLATE(N468,""pl"",""en"")"),"full ownership")</f>
        <v>full ownership</v>
      </c>
      <c r="P468" s="3" t="s">
        <v>2219</v>
      </c>
      <c r="Q468" s="1" t="b">
        <v>1</v>
      </c>
      <c r="R468" s="1" t="s">
        <v>2220</v>
      </c>
    </row>
    <row r="469" spans="1:18" x14ac:dyDescent="0.25">
      <c r="A469" s="2">
        <v>45173</v>
      </c>
      <c r="B469" s="1" t="s">
        <v>2221</v>
      </c>
      <c r="C469" s="1" t="str">
        <f ca="1">IFERROR(__xludf.DUMMYFUNCTION("GOOGLETRANSLATE(B469,""pl"",""en"")"),"80m2 close to the center and polytechnics, for renovation")</f>
        <v>80m2 close to the center and polytechnics, for renovation</v>
      </c>
      <c r="D469" s="1">
        <v>280000</v>
      </c>
      <c r="E469" s="1" t="s">
        <v>33</v>
      </c>
      <c r="F469" s="1">
        <v>80</v>
      </c>
      <c r="G469" s="1" t="s">
        <v>2222</v>
      </c>
      <c r="H469" s="1" t="str">
        <f ca="1">IFERROR(__xludf.DUMMYFUNCTION("GOOGLETRANSLATE(G469,""pl"",""en"")"),"street. Bl. Czesława, Baildon, Gliwice, Silesian Voivodeship")</f>
        <v>street. Bl. Czesława, Baildon, Gliwice, Silesian Voivodeship</v>
      </c>
      <c r="I469" s="1" t="s">
        <v>21</v>
      </c>
      <c r="J469" s="1" t="s">
        <v>21</v>
      </c>
      <c r="K469" s="1" t="s">
        <v>22</v>
      </c>
      <c r="L469" s="1" t="s">
        <v>2223</v>
      </c>
      <c r="M469" s="1">
        <v>2</v>
      </c>
      <c r="N469" s="1" t="s">
        <v>24</v>
      </c>
      <c r="O469" s="1" t="str">
        <f ca="1">IFERROR(__xludf.DUMMYFUNCTION("GOOGLETRANSLATE(N469,""pl"",""en"")"),"full ownership")</f>
        <v>full ownership</v>
      </c>
      <c r="P469" s="3" t="s">
        <v>2224</v>
      </c>
      <c r="Q469" s="1" t="b">
        <v>1</v>
      </c>
      <c r="R469" s="1" t="s">
        <v>2225</v>
      </c>
    </row>
    <row r="470" spans="1:18" x14ac:dyDescent="0.25">
      <c r="A470" s="2">
        <v>45173</v>
      </c>
      <c r="B470" s="1" t="s">
        <v>2226</v>
      </c>
      <c r="C470" s="1" t="str">
        <f ca="1">IFERROR(__xludf.DUMMYFUNCTION("GOOGLETRANSLATE(B470,""pl"",""en"")"),"Apartment 4 room with a large terrace -in Mierzyn")</f>
        <v>Apartment 4 room with a large terrace -in Mierzyn</v>
      </c>
      <c r="D470" s="1">
        <v>860000</v>
      </c>
      <c r="E470" s="1" t="s">
        <v>19</v>
      </c>
      <c r="F470" s="1">
        <v>105</v>
      </c>
      <c r="G470" s="1" t="s">
        <v>2227</v>
      </c>
      <c r="H470" s="1" t="str">
        <f ca="1">IFERROR(__xludf.DUMMYFUNCTION("GOOGLETRANSLATE(G470,""pl"",""en"")"),"Mierzyn, Dobra (Szczecińska), Policki, West Pomeranian Voivodeship")</f>
        <v>Mierzyn, Dobra (Szczecińska), Policki, West Pomeranian Voivodeship</v>
      </c>
      <c r="I470" s="1" t="s">
        <v>21</v>
      </c>
      <c r="J470" s="1" t="s">
        <v>21</v>
      </c>
      <c r="K470" s="1" t="s">
        <v>22</v>
      </c>
      <c r="L470" s="1" t="s">
        <v>2228</v>
      </c>
      <c r="M470" s="1">
        <v>4</v>
      </c>
      <c r="N470" s="1" t="s">
        <v>24</v>
      </c>
      <c r="O470" s="1" t="str">
        <f ca="1">IFERROR(__xludf.DUMMYFUNCTION("GOOGLETRANSLATE(N470,""pl"",""en"")"),"full ownership")</f>
        <v>full ownership</v>
      </c>
      <c r="P470" s="3" t="s">
        <v>2229</v>
      </c>
      <c r="Q470" s="1" t="b">
        <v>1</v>
      </c>
      <c r="R470" s="1" t="s">
        <v>2230</v>
      </c>
    </row>
    <row r="471" spans="1:18" x14ac:dyDescent="0.25">
      <c r="A471" s="2">
        <v>45308</v>
      </c>
      <c r="B471" s="1" t="s">
        <v>2231</v>
      </c>
      <c r="C471" s="1" t="str">
        <f ca="1">IFERROR(__xludf.DUMMYFUNCTION("GOOGLETRANSLATE(B471,""pl"",""en"")"),"2nds/living room with annex+bedroom/after renovation gene")</f>
        <v>2nds/living room with annex+bedroom/after renovation gene</v>
      </c>
      <c r="D471" s="1">
        <v>279000</v>
      </c>
      <c r="E471" s="1" t="s">
        <v>33</v>
      </c>
      <c r="F471" s="1">
        <v>40</v>
      </c>
      <c r="G471" s="1" t="s">
        <v>2232</v>
      </c>
      <c r="H471" s="1" t="str">
        <f ca="1">IFERROR(__xludf.DUMMYFUNCTION("GOOGLETRANSLATE(G471,""pl"",""en"")"),"Giszowiec, Katowice, Silesian Voivodeship")</f>
        <v>Giszowiec, Katowice, Silesian Voivodeship</v>
      </c>
      <c r="I471" s="1" t="b">
        <v>1</v>
      </c>
      <c r="J471" s="1" t="s">
        <v>21</v>
      </c>
      <c r="K471" s="1" t="s">
        <v>22</v>
      </c>
      <c r="L471" s="1" t="s">
        <v>2233</v>
      </c>
      <c r="M471" s="1">
        <v>2</v>
      </c>
      <c r="N471" s="1" t="s">
        <v>85</v>
      </c>
      <c r="O471" s="1" t="str">
        <f ca="1">IFERROR(__xludf.DUMMYFUNCTION("GOOGLETRANSLATE(N471,""pl"",""en"")"),"Cooperative ownership of the right to the premises")</f>
        <v>Cooperative ownership of the right to the premises</v>
      </c>
      <c r="P471" s="3" t="s">
        <v>2234</v>
      </c>
      <c r="Q471" s="1" t="b">
        <v>1</v>
      </c>
      <c r="R471" s="1" t="s">
        <v>2235</v>
      </c>
    </row>
    <row r="472" spans="1:18" x14ac:dyDescent="0.25">
      <c r="A472" s="2">
        <v>45308</v>
      </c>
      <c r="B472" s="1" t="s">
        <v>2236</v>
      </c>
      <c r="C472" s="1" t="str">
        <f ca="1">IFERROR(__xludf.DUMMYFUNCTION("GOOGLETRANSLATE(B472,""pl"",""en"")"),"Mrągowo Freedom apartment with a garden 49 m2")</f>
        <v>Mrągowo Freedom apartment with a garden 49 m2</v>
      </c>
      <c r="D472" s="1">
        <v>403700</v>
      </c>
      <c r="E472" s="1" t="s">
        <v>19</v>
      </c>
      <c r="F472" s="1">
        <v>40.369999999999997</v>
      </c>
      <c r="G472" s="1" t="s">
        <v>2237</v>
      </c>
      <c r="H472" s="1" t="str">
        <f ca="1">IFERROR(__xludf.DUMMYFUNCTION("GOOGLETRANSLATE(G472,""pl"",""en"")"),"street. Wolności, Mrągowo, Mrągowski, Warmian-Masurian Voivodeship")</f>
        <v>street. Wolności, Mrągowo, Mrągowski, Warmian-Masurian Voivodeship</v>
      </c>
      <c r="I472" s="1" t="s">
        <v>21</v>
      </c>
      <c r="J472" s="1" t="s">
        <v>21</v>
      </c>
      <c r="K472" s="1" t="s">
        <v>194</v>
      </c>
      <c r="L472" s="1" t="s">
        <v>2238</v>
      </c>
      <c r="M472" s="1">
        <v>2</v>
      </c>
      <c r="N472" s="1" t="s">
        <v>24</v>
      </c>
      <c r="O472" s="1" t="str">
        <f ca="1">IFERROR(__xludf.DUMMYFUNCTION("GOOGLETRANSLATE(N472,""pl"",""en"")"),"full ownership")</f>
        <v>full ownership</v>
      </c>
      <c r="P472" s="3" t="s">
        <v>2239</v>
      </c>
      <c r="Q472" s="1" t="b">
        <v>1</v>
      </c>
      <c r="R472" s="1" t="s">
        <v>2240</v>
      </c>
    </row>
    <row r="473" spans="1:18" x14ac:dyDescent="0.25">
      <c r="A473" s="2">
        <v>45308</v>
      </c>
      <c r="B473" s="1" t="s">
        <v>2241</v>
      </c>
      <c r="C473" s="1" t="str">
        <f ca="1">IFERROR(__xludf.DUMMYFUNCTION("GOOGLETRANSLATE(B473,""pl"",""en"")"),"Apartment - Gdańsk Morena")</f>
        <v>Apartment - Gdańsk Morena</v>
      </c>
      <c r="D473" s="1">
        <v>979000</v>
      </c>
      <c r="E473" s="1" t="s">
        <v>33</v>
      </c>
      <c r="F473" s="1">
        <v>65.319999999999993</v>
      </c>
      <c r="G473" s="1" t="s">
        <v>2242</v>
      </c>
      <c r="H473" s="1" t="str">
        <f ca="1">IFERROR(__xludf.DUMMYFUNCTION("GOOGLETRANSLATE(G473,""pl"",""en"")"),"street. Myśliwska, Piecki-Migowo, Gdańsk, Pomeranian Voivodeship")</f>
        <v>street. Myśliwska, Piecki-Migowo, Gdańsk, Pomeranian Voivodeship</v>
      </c>
      <c r="I473" s="1" t="s">
        <v>21</v>
      </c>
      <c r="J473" s="1" t="s">
        <v>21</v>
      </c>
      <c r="K473" s="1" t="s">
        <v>22</v>
      </c>
      <c r="L473" s="1" t="s">
        <v>2243</v>
      </c>
      <c r="M473" s="1">
        <v>3</v>
      </c>
      <c r="N473" s="1" t="s">
        <v>24</v>
      </c>
      <c r="O473" s="1" t="str">
        <f ca="1">IFERROR(__xludf.DUMMYFUNCTION("GOOGLETRANSLATE(N473,""pl"",""en"")"),"full ownership")</f>
        <v>full ownership</v>
      </c>
      <c r="P473" s="3" t="s">
        <v>2244</v>
      </c>
      <c r="Q473" s="1" t="b">
        <v>1</v>
      </c>
      <c r="R473" s="1" t="s">
        <v>2245</v>
      </c>
    </row>
    <row r="474" spans="1:18" x14ac:dyDescent="0.25">
      <c r="A474" s="2">
        <v>45308</v>
      </c>
      <c r="B474" s="1" t="s">
        <v>2246</v>
      </c>
      <c r="C474" s="1" t="str">
        <f ca="1">IFERROR(__xludf.DUMMYFUNCTION("GOOGLETRANSLATE(B474,""pl"",""en"")"),"around ul. Peach balcony/Piwnica/Invest.")</f>
        <v>around ul. Peach balcony/Piwnica/Invest.</v>
      </c>
      <c r="D474" s="1">
        <v>795000</v>
      </c>
      <c r="E474" s="1" t="s">
        <v>33</v>
      </c>
      <c r="F474" s="1">
        <v>82</v>
      </c>
      <c r="G474" s="1" t="s">
        <v>2247</v>
      </c>
      <c r="H474" s="1" t="str">
        <f ca="1">IFERROR(__xludf.DUMMYFUNCTION("GOOGLETRANSLATE(G474,""pl"",""en"")"),"Gaj, Krzyki, Wrocław, DolnoSilesian Voivodeship")</f>
        <v>Gaj, Krzyki, Wrocław, DolnoSilesian Voivodeship</v>
      </c>
      <c r="I474" s="1" t="s">
        <v>21</v>
      </c>
      <c r="J474" s="1" t="s">
        <v>21</v>
      </c>
      <c r="K474" s="1" t="s">
        <v>22</v>
      </c>
      <c r="L474" s="1" t="s">
        <v>2248</v>
      </c>
      <c r="M474" s="1">
        <v>4</v>
      </c>
      <c r="N474" s="1" t="s">
        <v>24</v>
      </c>
      <c r="O474" s="1" t="str">
        <f ca="1">IFERROR(__xludf.DUMMYFUNCTION("GOOGLETRANSLATE(N474,""pl"",""en"")"),"full ownership")</f>
        <v>full ownership</v>
      </c>
      <c r="P474" s="3" t="s">
        <v>2249</v>
      </c>
      <c r="Q474" s="1" t="b">
        <v>1</v>
      </c>
      <c r="R474" s="1" t="s">
        <v>2250</v>
      </c>
    </row>
    <row r="475" spans="1:18" x14ac:dyDescent="0.25">
      <c r="A475" s="2">
        <v>45308</v>
      </c>
      <c r="B475" s="1" t="s">
        <v>2251</v>
      </c>
      <c r="C475" s="1" t="str">
        <f ca="1">IFERROR(__xludf.DUMMYFUNCTION("GOOGLETRANSLATE(B475,""pl"",""en"")"),"95 surface + 2 balconies /keys February 2024!")</f>
        <v>95 surface + 2 balconies /keys February 2024!</v>
      </c>
      <c r="D475" s="1">
        <v>798000</v>
      </c>
      <c r="E475" s="1" t="s">
        <v>19</v>
      </c>
      <c r="F475" s="1">
        <v>95</v>
      </c>
      <c r="G475" s="1" t="s">
        <v>2252</v>
      </c>
      <c r="H475" s="1" t="str">
        <f ca="1">IFERROR(__xludf.DUMMYFUNCTION("GOOGLETRANSLATE(G475,""pl"",""en"")"),"street. Aleksander Dstreetin, Ujeścisko-Łostowice, Gdańsk, Pomeranian Voivodeship")</f>
        <v>street. Aleksander Dstreetin, Ujeścisko-Łostowice, Gdańsk, Pomeranian Voivodeship</v>
      </c>
      <c r="I475" s="1" t="s">
        <v>21</v>
      </c>
      <c r="J475" s="1" t="s">
        <v>21</v>
      </c>
      <c r="K475" s="1" t="s">
        <v>194</v>
      </c>
      <c r="L475" s="1" t="s">
        <v>2253</v>
      </c>
      <c r="M475" s="1">
        <v>2</v>
      </c>
      <c r="N475" s="1" t="s">
        <v>24</v>
      </c>
      <c r="O475" s="1" t="str">
        <f ca="1">IFERROR(__xludf.DUMMYFUNCTION("GOOGLETRANSLATE(N475,""pl"",""en"")"),"full ownership")</f>
        <v>full ownership</v>
      </c>
      <c r="P475" s="3" t="s">
        <v>2254</v>
      </c>
      <c r="Q475" s="1" t="b">
        <v>1</v>
      </c>
      <c r="R475" s="1" t="s">
        <v>2255</v>
      </c>
    </row>
    <row r="476" spans="1:18" x14ac:dyDescent="0.25">
      <c r="A476" s="2">
        <v>45308</v>
      </c>
      <c r="B476" s="1" t="s">
        <v>2256</v>
      </c>
      <c r="C476" s="1" t="str">
        <f ca="1">IFERROR(__xludf.DUMMYFUNCTION("GOOGLETRANSLATE(B476,""pl"",""en"")"),"Zodiak estate comfortable apartment 39 m62")</f>
        <v>Zodiak estate comfortable apartment 39 m62</v>
      </c>
      <c r="D476" s="1">
        <v>370713</v>
      </c>
      <c r="E476" s="1" t="s">
        <v>19</v>
      </c>
      <c r="F476" s="1">
        <v>26.67</v>
      </c>
      <c r="G476" s="1" t="s">
        <v>4767</v>
      </c>
      <c r="H476" s="1" t="str">
        <f ca="1">IFERROR(__xludf.DUMMYFUNCTION("GOOGLETRANSLATE(G476,""pl"",""en"")"),"street. Mariana Domagała, Złocień, Bieżanów-Prokocim, Kraków, Lesser Poland")</f>
        <v>street. Mariana Domagała, Złocień, Bieżanów-Prokocim, Kraków, Lesser Poland</v>
      </c>
      <c r="I476" s="1" t="b">
        <v>1</v>
      </c>
      <c r="J476" s="1" t="s">
        <v>21</v>
      </c>
      <c r="K476" s="1" t="s">
        <v>194</v>
      </c>
      <c r="L476" s="1" t="s">
        <v>2257</v>
      </c>
      <c r="M476" s="1">
        <v>1</v>
      </c>
      <c r="N476" s="1" t="s">
        <v>24</v>
      </c>
      <c r="O476" s="1" t="str">
        <f ca="1">IFERROR(__xludf.DUMMYFUNCTION("GOOGLETRANSLATE(N476,""pl"",""en"")"),"full ownership")</f>
        <v>full ownership</v>
      </c>
      <c r="P476" s="3" t="s">
        <v>2258</v>
      </c>
      <c r="Q476" s="1" t="b">
        <v>1</v>
      </c>
      <c r="R476" s="1" t="s">
        <v>2259</v>
      </c>
    </row>
    <row r="477" spans="1:18" x14ac:dyDescent="0.25">
      <c r="A477" s="2">
        <v>45308</v>
      </c>
      <c r="B477" s="1" t="s">
        <v>2260</v>
      </c>
      <c r="C477" s="1" t="str">
        <f ca="1">IFERROR(__xludf.DUMMYFUNCTION("GOOGLETRANSLATE(B477,""pl"",""en"")"),"Apartment 3pok 40m2 Plac Bankowy al. Solidarity")</f>
        <v>Apartment 3pok 40m2 Plac Bankowy al. Solidarity</v>
      </c>
      <c r="D477" s="1">
        <v>899000</v>
      </c>
      <c r="E477" s="1" t="s">
        <v>33</v>
      </c>
      <c r="F477" s="1">
        <v>40.58</v>
      </c>
      <c r="G477" s="1" t="s">
        <v>2261</v>
      </c>
      <c r="H477" s="1" t="str">
        <f ca="1">IFERROR(__xludf.DUMMYFUNCTION("GOOGLETRANSLATE(G477,""pl"",""en"")"),"Śródmieście Northern, Śródmieście, Warsaw, Masovian Voivodeship")</f>
        <v>Śródmieście Northern, Śródmieście, Warsaw, Masovian Voivodeship</v>
      </c>
      <c r="I477" s="1" t="s">
        <v>21</v>
      </c>
      <c r="J477" s="1" t="s">
        <v>21</v>
      </c>
      <c r="K477" s="1" t="s">
        <v>22</v>
      </c>
      <c r="L477" s="1" t="s">
        <v>2262</v>
      </c>
      <c r="M477" s="1">
        <v>3</v>
      </c>
      <c r="N477" s="1" t="s">
        <v>24</v>
      </c>
      <c r="O477" s="1" t="str">
        <f ca="1">IFERROR(__xludf.DUMMYFUNCTION("GOOGLETRANSLATE(N477,""pl"",""en"")"),"full ownership")</f>
        <v>full ownership</v>
      </c>
      <c r="P477" s="3" t="s">
        <v>2263</v>
      </c>
      <c r="Q477" s="1" t="b">
        <v>1</v>
      </c>
      <c r="R477" s="1" t="s">
        <v>2264</v>
      </c>
    </row>
    <row r="478" spans="1:18" x14ac:dyDescent="0.25">
      <c r="A478" s="2">
        <v>45308</v>
      </c>
      <c r="B478" s="1" t="s">
        <v>2265</v>
      </c>
      <c r="C478" s="1" t="str">
        <f ca="1">IFERROR(__xludf.DUMMYFUNCTION("GOOGLETRANSLATE(B478,""pl"",""en"")"),"44m2 apartment in the center without intermediaries")</f>
        <v>44m2 apartment in the center without intermediaries</v>
      </c>
      <c r="D478" s="1">
        <v>219000</v>
      </c>
      <c r="E478" s="1" t="s">
        <v>33</v>
      </c>
      <c r="F478" s="1">
        <v>44</v>
      </c>
      <c r="G478" s="1" t="s">
        <v>2266</v>
      </c>
      <c r="H478" s="1" t="str">
        <f ca="1">IFERROR(__xludf.DUMMYFUNCTION("GOOGLETRANSLATE(G478,""pl"",""en"")"),"Piotrków Trybunalski, Łódź")</f>
        <v>Piotrków Trybunalski, Łódź</v>
      </c>
      <c r="I478" s="1" t="s">
        <v>21</v>
      </c>
      <c r="J478" s="1" t="s">
        <v>21</v>
      </c>
      <c r="K478" s="1" t="s">
        <v>45</v>
      </c>
      <c r="L478" s="1" t="s">
        <v>2267</v>
      </c>
      <c r="M478" s="1">
        <v>2</v>
      </c>
      <c r="N478" s="1" t="s">
        <v>85</v>
      </c>
      <c r="O478" s="1" t="str">
        <f ca="1">IFERROR(__xludf.DUMMYFUNCTION("GOOGLETRANSLATE(N478,""pl"",""en"")"),"Cooperative ownership of the right to the premises")</f>
        <v>Cooperative ownership of the right to the premises</v>
      </c>
      <c r="P478" s="3" t="s">
        <v>2268</v>
      </c>
      <c r="Q478" s="1" t="b">
        <v>1</v>
      </c>
      <c r="R478" s="1" t="s">
        <v>2269</v>
      </c>
    </row>
    <row r="479" spans="1:18" x14ac:dyDescent="0.25">
      <c r="A479" s="2">
        <v>45308</v>
      </c>
      <c r="B479" s="1" t="s">
        <v>2270</v>
      </c>
      <c r="C479" s="1" t="str">
        <f ca="1">IFERROR(__xludf.DUMMYFUNCTION("GOOGLETRANSLATE(B479,""pl"",""en"")"),"Cozy In the heart of Dąbrówka Near the forest")</f>
        <v>Cozy In the heart of Dąbrówka Near the forest</v>
      </c>
      <c r="D479" s="1">
        <v>649000</v>
      </c>
      <c r="E479" s="1" t="s">
        <v>33</v>
      </c>
      <c r="F479" s="1">
        <v>73.02</v>
      </c>
      <c r="G479" s="1" t="s">
        <v>4768</v>
      </c>
      <c r="H479" s="1" t="str">
        <f ca="1">IFERROR(__xludf.DUMMYFUNCTION("GOOGLETRANSLATE(G479,""pl"",""en"")"),"street. Świerkowa, Dąbrówka, Dopiewo, Poznań, Greater Poland")</f>
        <v>street. Świerkowa, Dąbrówka, Dopiewo, Poznań, Greater Poland</v>
      </c>
      <c r="I479" s="1" t="s">
        <v>21</v>
      </c>
      <c r="J479" s="1" t="s">
        <v>21</v>
      </c>
      <c r="K479" s="1" t="s">
        <v>22</v>
      </c>
      <c r="L479" s="1" t="s">
        <v>2271</v>
      </c>
      <c r="M479" s="1">
        <v>3</v>
      </c>
      <c r="N479" s="1" t="s">
        <v>24</v>
      </c>
      <c r="O479" s="1" t="str">
        <f ca="1">IFERROR(__xludf.DUMMYFUNCTION("GOOGLETRANSLATE(N479,""pl"",""en"")"),"full ownership")</f>
        <v>full ownership</v>
      </c>
      <c r="P479" s="3" t="s">
        <v>2272</v>
      </c>
      <c r="Q479" s="1" t="b">
        <v>1</v>
      </c>
      <c r="R479" s="1" t="s">
        <v>2273</v>
      </c>
    </row>
    <row r="480" spans="1:18" x14ac:dyDescent="0.25">
      <c r="A480" s="2">
        <v>45308</v>
      </c>
      <c r="B480" s="1" t="s">
        <v>2274</v>
      </c>
      <c r="C480" s="1" t="str">
        <f ca="1">IFERROR(__xludf.DUMMYFUNCTION("GOOGLETRANSLATE(B480,""pl"",""en"")"),"Ground floor!! With the garden !!! 2 -room !!! Wilanów !!")</f>
        <v>Ground floor!! With the garden !!! 2 -room !!! Wilanów !!</v>
      </c>
      <c r="D480" s="1">
        <v>850000</v>
      </c>
      <c r="E480" s="1" t="s">
        <v>33</v>
      </c>
      <c r="F480" s="1">
        <v>40.799999999999997</v>
      </c>
      <c r="G480" s="1" t="s">
        <v>2275</v>
      </c>
      <c r="H480" s="1" t="str">
        <f ca="1">IFERROR(__xludf.DUMMYFUNCTION("GOOGLETRANSLATE(G480,""pl"",""en"")"),"Powsinek, Wilanów, Warsaw, Masovian Voivodeship")</f>
        <v>Powsinek, Wilanów, Warsaw, Masovian Voivodeship</v>
      </c>
      <c r="I480" s="1" t="s">
        <v>21</v>
      </c>
      <c r="J480" s="1" t="s">
        <v>21</v>
      </c>
      <c r="K480" s="1" t="s">
        <v>22</v>
      </c>
      <c r="L480" s="1" t="s">
        <v>2276</v>
      </c>
      <c r="M480" s="1">
        <v>2</v>
      </c>
      <c r="N480" s="1" t="s">
        <v>24</v>
      </c>
      <c r="O480" s="1" t="str">
        <f ca="1">IFERROR(__xludf.DUMMYFUNCTION("GOOGLETRANSLATE(N480,""pl"",""en"")"),"full ownership")</f>
        <v>full ownership</v>
      </c>
      <c r="P480" s="3" t="s">
        <v>2277</v>
      </c>
      <c r="Q480" s="1" t="b">
        <v>1</v>
      </c>
      <c r="R480" s="1" t="s">
        <v>2278</v>
      </c>
    </row>
    <row r="481" spans="1:18" x14ac:dyDescent="0.25">
      <c r="A481" s="2">
        <v>45308</v>
      </c>
      <c r="B481" s="1" t="s">
        <v>2279</v>
      </c>
      <c r="C481" s="1" t="str">
        <f ca="1">IFERROR(__xludf.DUMMYFUNCTION("GOOGLETRANSLATE(B481,""pl"",""en"")"),"Zabobrze 78.36m2, elevator balcony, fully equipped")</f>
        <v>Zabobrze 78.36m2, elevator balcony, fully equipped</v>
      </c>
      <c r="D481" s="1">
        <v>609000</v>
      </c>
      <c r="E481" s="1" t="s">
        <v>33</v>
      </c>
      <c r="F481" s="1">
        <v>78.36</v>
      </c>
      <c r="G481" s="1" t="s">
        <v>223</v>
      </c>
      <c r="H481" s="1" t="str">
        <f ca="1">IFERROR(__xludf.DUMMYFUNCTION("GOOGLETRANSLATE(G481,""pl"",""en"")"),"Zabobrze, Jelenia Góra, DolnoSilesian Voivodeship")</f>
        <v>Zabobrze, Jelenia Góra, DolnoSilesian Voivodeship</v>
      </c>
      <c r="I481" s="1" t="s">
        <v>21</v>
      </c>
      <c r="J481" s="1" t="s">
        <v>21</v>
      </c>
      <c r="K481" s="1" t="s">
        <v>22</v>
      </c>
      <c r="L481" s="1" t="s">
        <v>2280</v>
      </c>
      <c r="M481" s="1">
        <v>3</v>
      </c>
      <c r="N481" s="1" t="s">
        <v>85</v>
      </c>
      <c r="O481" s="1" t="str">
        <f ca="1">IFERROR(__xludf.DUMMYFUNCTION("GOOGLETRANSLATE(N481,""pl"",""en"")"),"Cooperative ownership of the right to the premises")</f>
        <v>Cooperative ownership of the right to the premises</v>
      </c>
      <c r="P481" s="3" t="s">
        <v>2281</v>
      </c>
      <c r="Q481" s="1" t="b">
        <v>1</v>
      </c>
      <c r="R481" s="1" t="s">
        <v>2282</v>
      </c>
    </row>
    <row r="482" spans="1:18" x14ac:dyDescent="0.25">
      <c r="A482" s="2">
        <v>45308</v>
      </c>
      <c r="B482" s="1" t="s">
        <v>2283</v>
      </c>
      <c r="C482" s="1" t="str">
        <f ca="1">IFERROR(__xludf.DUMMYFUNCTION("GOOGLETRANSLATE(B482,""pl"",""en"")"),"A flat at a good price! Myślenice")</f>
        <v>A flat at a good price! Myślenice</v>
      </c>
      <c r="D482" s="1">
        <v>562189</v>
      </c>
      <c r="E482" s="1" t="s">
        <v>19</v>
      </c>
      <c r="F482" s="1">
        <v>44.88</v>
      </c>
      <c r="G482" s="1" t="s">
        <v>4769</v>
      </c>
      <c r="H482" s="1" t="str">
        <f ca="1">IFERROR(__xludf.DUMMYFUNCTION("GOOGLETRANSLATE(G482,""pl"",""en"")"),"Zawada, Myślenice, Myślenicki, Lesser Poland")</f>
        <v>Zawada, Myślenice, Myślenicki, Lesser Poland</v>
      </c>
      <c r="I482" s="1" t="s">
        <v>21</v>
      </c>
      <c r="J482" s="1" t="s">
        <v>21</v>
      </c>
      <c r="K482" s="1" t="s">
        <v>22</v>
      </c>
      <c r="L482" s="1" t="s">
        <v>2284</v>
      </c>
      <c r="M482" s="1">
        <v>3</v>
      </c>
      <c r="N482" s="1" t="s">
        <v>24</v>
      </c>
      <c r="O482" s="1" t="str">
        <f ca="1">IFERROR(__xludf.DUMMYFUNCTION("GOOGLETRANSLATE(N482,""pl"",""en"")"),"full ownership")</f>
        <v>full ownership</v>
      </c>
      <c r="P482" s="3" t="s">
        <v>2285</v>
      </c>
      <c r="Q482" s="1" t="b">
        <v>1</v>
      </c>
      <c r="R482" s="1" t="s">
        <v>2286</v>
      </c>
    </row>
    <row r="483" spans="1:18" x14ac:dyDescent="0.25">
      <c r="A483" s="2">
        <v>45308</v>
      </c>
      <c r="B483" s="1" t="s">
        <v>2287</v>
      </c>
      <c r="C483" s="1" t="str">
        <f ca="1">IFERROR(__xludf.DUMMYFUNCTION("GOOGLETRANSLATE(B483,""pl"",""en"")"),"A flat in a modern style.")</f>
        <v>A flat in a modern style.</v>
      </c>
      <c r="D483" s="1">
        <v>681500</v>
      </c>
      <c r="E483" s="1" t="s">
        <v>33</v>
      </c>
      <c r="F483" s="1">
        <v>67.97</v>
      </c>
      <c r="G483" s="1" t="s">
        <v>2288</v>
      </c>
      <c r="H483" s="1" t="str">
        <f ca="1">IFERROR(__xludf.DUMMYFUNCTION("GOOGLETRANSLATE(G483,""pl"",""en"")"),"street. Hetmańska, Czuby North, Lublin, Lublin Voivodeship")</f>
        <v>street. Hetmańska, Czuby North, Lublin, Lublin Voivodeship</v>
      </c>
      <c r="I483" s="1" t="s">
        <v>21</v>
      </c>
      <c r="J483" s="1" t="s">
        <v>21</v>
      </c>
      <c r="K483" s="1" t="s">
        <v>22</v>
      </c>
      <c r="L483" s="1" t="s">
        <v>2289</v>
      </c>
      <c r="M483" s="1">
        <v>3</v>
      </c>
      <c r="N483" s="1" t="s">
        <v>24</v>
      </c>
      <c r="O483" s="1" t="str">
        <f ca="1">IFERROR(__xludf.DUMMYFUNCTION("GOOGLETRANSLATE(N483,""pl"",""en"")"),"full ownership")</f>
        <v>full ownership</v>
      </c>
      <c r="P483" s="3" t="s">
        <v>2290</v>
      </c>
      <c r="Q483" s="1" t="b">
        <v>1</v>
      </c>
      <c r="R483" s="1" t="s">
        <v>2291</v>
      </c>
    </row>
    <row r="484" spans="1:18" x14ac:dyDescent="0.25">
      <c r="A484" s="2">
        <v>45308</v>
      </c>
      <c r="B484" s="1" t="s">
        <v>2292</v>
      </c>
      <c r="C484" s="1" t="str">
        <f ca="1">IFERROR(__xludf.DUMMYFUNCTION("GOOGLETRANSLATE(B484,""pl"",""en"")"),"2-room at Szczęśliwicki Park-Ogrody Shiraz")</f>
        <v>2-room at Szczęśliwicki Park-Ogrody Shiraz</v>
      </c>
      <c r="D484" s="1">
        <v>1030000</v>
      </c>
      <c r="E484" s="1" t="s">
        <v>33</v>
      </c>
      <c r="F484" s="1">
        <v>54.3</v>
      </c>
      <c r="G484" s="1" t="s">
        <v>2293</v>
      </c>
      <c r="H484" s="1" t="str">
        <f ca="1">IFERROR(__xludf.DUMMYFUNCTION("GOOGLETRANSLATE(G484,""pl"",""en"")"),"street. Drawska, Szczesliwice, Ochota, Warsaw, Masovian Voivodeship")</f>
        <v>street. Drawska, Szczesliwice, Ochota, Warsaw, Masovian Voivodeship</v>
      </c>
      <c r="I484" s="1" t="s">
        <v>21</v>
      </c>
      <c r="J484" s="1" t="s">
        <v>21</v>
      </c>
      <c r="K484" s="1" t="s">
        <v>22</v>
      </c>
      <c r="L484" s="1" t="s">
        <v>2294</v>
      </c>
      <c r="M484" s="1">
        <v>2</v>
      </c>
      <c r="N484" s="1" t="s">
        <v>24</v>
      </c>
      <c r="O484" s="1" t="str">
        <f ca="1">IFERROR(__xludf.DUMMYFUNCTION("GOOGLETRANSLATE(N484,""pl"",""en"")"),"full ownership")</f>
        <v>full ownership</v>
      </c>
      <c r="P484" s="3" t="s">
        <v>2295</v>
      </c>
      <c r="Q484" s="1" t="b">
        <v>1</v>
      </c>
      <c r="R484" s="1" t="s">
        <v>2296</v>
      </c>
    </row>
    <row r="485" spans="1:18" x14ac:dyDescent="0.25">
      <c r="A485" s="2">
        <v>45308</v>
      </c>
      <c r="B485" s="1" t="s">
        <v>2297</v>
      </c>
      <c r="C485" s="1" t="str">
        <f ca="1">IFERROR(__xludf.DUMMYFUNCTION("GOOGLETRANSLATE(B485,""pl"",""en"")"),"Apartment in the heart of Pruszków 3 rooms PKP Gallery")</f>
        <v>Apartment in the heart of Pruszków 3 rooms PKP Gallery</v>
      </c>
      <c r="D485" s="1">
        <v>557000</v>
      </c>
      <c r="E485" s="1" t="s">
        <v>19</v>
      </c>
      <c r="F485" s="1">
        <v>54</v>
      </c>
      <c r="G485" s="1" t="s">
        <v>2298</v>
      </c>
      <c r="H485" s="1" t="str">
        <f ca="1">IFERROR(__xludf.DUMMYFUNCTION("GOOGLETRANSLATE(G485,""pl"",""en"")"),"Pruszków, Pruszkowski, Masovian Voivodeship")</f>
        <v>Pruszków, Pruszkowski, Masovian Voivodeship</v>
      </c>
      <c r="I485" s="1" t="b">
        <v>1</v>
      </c>
      <c r="J485" s="1" t="s">
        <v>21</v>
      </c>
      <c r="K485" s="1" t="s">
        <v>22</v>
      </c>
      <c r="L485" s="1" t="s">
        <v>2299</v>
      </c>
      <c r="M485" s="1">
        <v>3</v>
      </c>
      <c r="N485" s="1" t="s">
        <v>24</v>
      </c>
      <c r="O485" s="1" t="str">
        <f ca="1">IFERROR(__xludf.DUMMYFUNCTION("GOOGLETRANSLATE(N485,""pl"",""en"")"),"full ownership")</f>
        <v>full ownership</v>
      </c>
      <c r="P485" s="3" t="s">
        <v>2300</v>
      </c>
      <c r="Q485" s="1" t="b">
        <v>1</v>
      </c>
      <c r="R485" s="1" t="s">
        <v>2301</v>
      </c>
    </row>
    <row r="486" spans="1:18" x14ac:dyDescent="0.25">
      <c r="A486" s="2">
        <v>45308</v>
      </c>
      <c r="B486" s="1" t="s">
        <v>2302</v>
      </c>
      <c r="C486" s="1" t="str">
        <f ca="1">IFERROR(__xludf.DUMMYFUNCTION("GOOGLETRANSLATE(B486,""pl"",""en"")"),"Two Apaartments Sopot")</f>
        <v>Two Apaartments Sopot</v>
      </c>
      <c r="D486" s="1">
        <v>2290000</v>
      </c>
      <c r="E486" s="1" t="s">
        <v>33</v>
      </c>
      <c r="F486" s="1">
        <v>74</v>
      </c>
      <c r="G486" s="1" t="s">
        <v>2303</v>
      </c>
      <c r="H486" s="1" t="str">
        <f ca="1">IFERROR(__xludf.DUMMYFUNCTION("GOOGLETRANSLATE(G486,""pl"",""en"")"),"street. Władysław Łokietek, Karlikowo, Sopot, Pomeranian")</f>
        <v>street. Władysław Łokietek, Karlikowo, Sopot, Pomeranian</v>
      </c>
      <c r="I486" s="1" t="b">
        <v>1</v>
      </c>
      <c r="J486" s="1" t="s">
        <v>21</v>
      </c>
      <c r="K486" s="1" t="s">
        <v>22</v>
      </c>
      <c r="L486" s="1" t="s">
        <v>2304</v>
      </c>
      <c r="M486" s="1">
        <v>3</v>
      </c>
      <c r="N486" s="1" t="s">
        <v>24</v>
      </c>
      <c r="O486" s="1" t="str">
        <f ca="1">IFERROR(__xludf.DUMMYFUNCTION("GOOGLETRANSLATE(N486,""pl"",""en"")"),"full ownership")</f>
        <v>full ownership</v>
      </c>
      <c r="P486" s="3" t="s">
        <v>2305</v>
      </c>
      <c r="Q486" s="1" t="b">
        <v>1</v>
      </c>
      <c r="R486" s="1" t="s">
        <v>2306</v>
      </c>
    </row>
    <row r="487" spans="1:18" x14ac:dyDescent="0.25">
      <c r="A487" s="2">
        <v>45308</v>
      </c>
      <c r="B487" s="1" t="s">
        <v>2307</v>
      </c>
      <c r="C487" s="1" t="str">
        <f ca="1">IFERROR(__xludf.DUMMYFUNCTION("GOOGLETRANSLATE(B487,""pl"",""en"")"),"Investment cash - the exact center of Sosnowiec")</f>
        <v>Investment cash - the exact center of Sosnowiec</v>
      </c>
      <c r="D487" s="1">
        <v>340000</v>
      </c>
      <c r="E487" s="1" t="s">
        <v>33</v>
      </c>
      <c r="F487" s="1">
        <v>49</v>
      </c>
      <c r="G487" s="1" t="s">
        <v>2308</v>
      </c>
      <c r="H487" s="1" t="str">
        <f ca="1">IFERROR(__xludf.DUMMYFUNCTION("GOOGLETRANSLATE(G487,""pl"",""en"")"),"street. Jagiellońska, Centrum / Śródmieście, Sosnowiec, Silesian Voivodeship")</f>
        <v>street. Jagiellońska, Centrum / Śródmieście, Sosnowiec, Silesian Voivodeship</v>
      </c>
      <c r="I487" s="1" t="s">
        <v>21</v>
      </c>
      <c r="J487" s="1" t="s">
        <v>21</v>
      </c>
      <c r="K487" s="1" t="s">
        <v>45</v>
      </c>
      <c r="L487" s="1" t="s">
        <v>2309</v>
      </c>
      <c r="M487" s="1">
        <v>4</v>
      </c>
      <c r="N487" s="1" t="s">
        <v>24</v>
      </c>
      <c r="O487" s="1" t="str">
        <f ca="1">IFERROR(__xludf.DUMMYFUNCTION("GOOGLETRANSLATE(N487,""pl"",""en"")"),"full ownership")</f>
        <v>full ownership</v>
      </c>
      <c r="P487" s="3" t="s">
        <v>2310</v>
      </c>
      <c r="Q487" s="1" t="b">
        <v>1</v>
      </c>
      <c r="R487" s="1" t="s">
        <v>2311</v>
      </c>
    </row>
    <row r="488" spans="1:18" x14ac:dyDescent="0.25">
      <c r="A488" s="2">
        <v>45308</v>
      </c>
      <c r="B488" s="1" t="s">
        <v>2312</v>
      </c>
      <c r="C488" s="1" t="str">
        <f ca="1">IFERROR(__xludf.DUMMYFUNCTION("GOOGLETRANSLATE(B488,""pl"",""en"")"),"3 -room apartments, for investment, in the center")</f>
        <v>3 -room apartments, for investment, in the center</v>
      </c>
      <c r="D488" s="1">
        <v>398335</v>
      </c>
      <c r="E488" s="1" t="s">
        <v>33</v>
      </c>
      <c r="F488" s="1">
        <v>41.93</v>
      </c>
      <c r="G488" s="1" t="s">
        <v>2313</v>
      </c>
      <c r="H488" s="1" t="str">
        <f ca="1">IFERROR(__xludf.DUMMYFUNCTION("GOOGLETRANSLATE(G488,""pl"",""en"")"),"Śródmieście, Katowice, Silesian Voivodeship")</f>
        <v>Śródmieście, Katowice, Silesian Voivodeship</v>
      </c>
      <c r="I488" s="1" t="s">
        <v>21</v>
      </c>
      <c r="J488" s="1" t="s">
        <v>21</v>
      </c>
      <c r="K488" s="1" t="s">
        <v>22</v>
      </c>
      <c r="L488" s="1" t="s">
        <v>2314</v>
      </c>
      <c r="M488" s="1">
        <v>3</v>
      </c>
      <c r="N488" s="1" t="s">
        <v>24</v>
      </c>
      <c r="O488" s="1" t="str">
        <f ca="1">IFERROR(__xludf.DUMMYFUNCTION("GOOGLETRANSLATE(N488,""pl"",""en"")"),"full ownership")</f>
        <v>full ownership</v>
      </c>
      <c r="P488" s="3" t="s">
        <v>2315</v>
      </c>
      <c r="Q488" s="1" t="b">
        <v>1</v>
      </c>
      <c r="R488" s="1" t="s">
        <v>2316</v>
      </c>
    </row>
    <row r="489" spans="1:18" x14ac:dyDescent="0.25">
      <c r="A489" s="2">
        <v>45308</v>
      </c>
      <c r="B489" s="1" t="s">
        <v>2317</v>
      </c>
      <c r="C489" s="1" t="str">
        <f ca="1">IFERROR(__xludf.DUMMYFUNCTION("GOOGLETRANSLATE(B489,""pl"",""en"")"),"A spacious studio apartment with a bathtub")</f>
        <v>A spacious studio apartment with a bathtub</v>
      </c>
      <c r="D489" s="1">
        <v>260000</v>
      </c>
      <c r="E489" s="1" t="s">
        <v>33</v>
      </c>
      <c r="F489" s="1">
        <v>21</v>
      </c>
      <c r="G489" s="1" t="s">
        <v>2318</v>
      </c>
      <c r="H489" s="1" t="str">
        <f ca="1">IFERROR(__xludf.DUMMYFUNCTION("GOOGLETRANSLATE(G489,""pl"",""en"")"),"street. Bolesława Limanowskiego 22, Zator, Olsztyn, Warmian-Masurian Voivodeship")</f>
        <v>street. Bolesława Limanowskiego 22, Zator, Olsztyn, Warmian-Masurian Voivodeship</v>
      </c>
      <c r="I489" s="1" t="b">
        <v>1</v>
      </c>
      <c r="J489" s="1" t="s">
        <v>21</v>
      </c>
      <c r="K489" s="1" t="s">
        <v>45</v>
      </c>
      <c r="L489" s="1" t="s">
        <v>2319</v>
      </c>
      <c r="M489" s="1">
        <v>1</v>
      </c>
      <c r="N489" s="1" t="s">
        <v>24</v>
      </c>
      <c r="O489" s="1" t="str">
        <f ca="1">IFERROR(__xludf.DUMMYFUNCTION("GOOGLETRANSLATE(N489,""pl"",""en"")"),"full ownership")</f>
        <v>full ownership</v>
      </c>
      <c r="P489" s="3" t="s">
        <v>2320</v>
      </c>
      <c r="Q489" s="1" t="b">
        <v>1</v>
      </c>
      <c r="R489" s="1" t="s">
        <v>2321</v>
      </c>
    </row>
    <row r="490" spans="1:18" x14ac:dyDescent="0.25">
      <c r="A490" s="2">
        <v>45308</v>
      </c>
      <c r="B490" s="1" t="s">
        <v>2322</v>
      </c>
      <c r="C490" s="1" t="str">
        <f ca="1">IFERROR(__xludf.DUMMYFUNCTION("GOOGLETRANSLATE(B490,""pl"",""en"")"),"A stylish 2-room apartment in Władysławowo!")</f>
        <v>A stylish 2-room apartment in Władysławowo!</v>
      </c>
      <c r="D490" s="1">
        <v>585000</v>
      </c>
      <c r="E490" s="1" t="s">
        <v>33</v>
      </c>
      <c r="F490" s="1">
        <v>55</v>
      </c>
      <c r="G490" s="1" t="s">
        <v>2323</v>
      </c>
      <c r="H490" s="1" t="str">
        <f ca="1">IFERROR(__xludf.DUMMYFUNCTION("GOOGLETRANSLATE(G490,""pl"",""en"")"),"street. Mikołaj Rej, Władysławowo, Władysławowo, Pucki, Pomeranian")</f>
        <v>street. Mikołaj Rej, Władysławowo, Władysławowo, Pucki, Pomeranian</v>
      </c>
      <c r="I490" s="1" t="s">
        <v>21</v>
      </c>
      <c r="J490" s="1" t="s">
        <v>21</v>
      </c>
      <c r="K490" s="1" t="s">
        <v>22</v>
      </c>
      <c r="L490" s="1" t="s">
        <v>2324</v>
      </c>
      <c r="M490" s="1">
        <v>2</v>
      </c>
      <c r="N490" s="1" t="s">
        <v>24</v>
      </c>
      <c r="O490" s="1" t="str">
        <f ca="1">IFERROR(__xludf.DUMMYFUNCTION("GOOGLETRANSLATE(N490,""pl"",""en"")"),"full ownership")</f>
        <v>full ownership</v>
      </c>
      <c r="P490" s="3" t="s">
        <v>2325</v>
      </c>
      <c r="Q490" s="1" t="b">
        <v>1</v>
      </c>
      <c r="R490" s="1" t="s">
        <v>2326</v>
      </c>
    </row>
    <row r="491" spans="1:18" x14ac:dyDescent="0.25">
      <c r="A491" s="2">
        <v>45308</v>
      </c>
      <c r="B491" s="1" t="s">
        <v>2327</v>
      </c>
      <c r="C491" s="1" t="str">
        <f ca="1">IFERROR(__xludf.DUMMYFUNCTION("GOOGLETRANSLATE(B491,""pl"",""en"")"),"Apartment on the ground floor studio in a 2% loan")</f>
        <v>Apartment on the ground floor studio in a 2% loan</v>
      </c>
      <c r="D491" s="1">
        <v>402000</v>
      </c>
      <c r="E491" s="1" t="s">
        <v>19</v>
      </c>
      <c r="F491" s="1">
        <v>27</v>
      </c>
      <c r="G491" s="1" t="s">
        <v>2328</v>
      </c>
      <c r="H491" s="1" t="str">
        <f ca="1">IFERROR(__xludf.DUMMYFUNCTION("GOOGLETRANSLATE(G491,""pl"",""en"")"),"Białołęka Dworska, Białołęka, Warsaw, Masovian Voivodeship")</f>
        <v>Białołęka Dworska, Białołęka, Warsaw, Masovian Voivodeship</v>
      </c>
      <c r="I491" s="1" t="b">
        <v>1</v>
      </c>
      <c r="J491" s="1" t="s">
        <v>21</v>
      </c>
      <c r="K491" s="1" t="s">
        <v>22</v>
      </c>
      <c r="L491" s="1" t="s">
        <v>2329</v>
      </c>
      <c r="M491" s="1">
        <v>1</v>
      </c>
      <c r="N491" s="1" t="s">
        <v>24</v>
      </c>
      <c r="O491" s="1" t="str">
        <f ca="1">IFERROR(__xludf.DUMMYFUNCTION("GOOGLETRANSLATE(N491,""pl"",""en"")"),"full ownership")</f>
        <v>full ownership</v>
      </c>
      <c r="P491" s="3" t="s">
        <v>2330</v>
      </c>
      <c r="Q491" s="1" t="b">
        <v>1</v>
      </c>
      <c r="R491" s="1" t="s">
        <v>2331</v>
      </c>
    </row>
    <row r="492" spans="1:18" x14ac:dyDescent="0.25">
      <c r="A492" s="2">
        <v>45308</v>
      </c>
      <c r="B492" s="1" t="s">
        <v>2332</v>
      </c>
      <c r="C492" s="1" t="str">
        <f ca="1">IFERROR(__xludf.DUMMYFUNCTION("GOOGLETRANSLATE(B492,""pl"",""en"")"),"Studio apartment Szczepin Occasion 27m2/Piwnica")</f>
        <v>Studio apartment Szczepin Occasion 27m2/Piwnica</v>
      </c>
      <c r="D492" s="1">
        <v>399999</v>
      </c>
      <c r="E492" s="1" t="s">
        <v>19</v>
      </c>
      <c r="F492" s="1">
        <v>27.8</v>
      </c>
      <c r="G492" s="1" t="s">
        <v>2333</v>
      </c>
      <c r="H492" s="1" t="str">
        <f ca="1">IFERROR(__xludf.DUMMYFUNCTION("GOOGLETRANSLATE(G492,""pl"",""en"")"),"Przedmieście Świdnickie, Old Town, Wrocław, DolnoSilesian Voivodeship")</f>
        <v>Przedmieście Świdnickie, Old Town, Wrocław, DolnoSilesian Voivodeship</v>
      </c>
      <c r="I492" s="1" t="s">
        <v>21</v>
      </c>
      <c r="J492" s="1" t="s">
        <v>21</v>
      </c>
      <c r="K492" s="1" t="s">
        <v>22</v>
      </c>
      <c r="L492" s="1" t="s">
        <v>2334</v>
      </c>
      <c r="M492" s="1">
        <v>1</v>
      </c>
      <c r="N492" s="1" t="s">
        <v>24</v>
      </c>
      <c r="O492" s="1" t="str">
        <f ca="1">IFERROR(__xludf.DUMMYFUNCTION("GOOGLETRANSLATE(N492,""pl"",""en"")"),"full ownership")</f>
        <v>full ownership</v>
      </c>
      <c r="P492" s="3" t="s">
        <v>2335</v>
      </c>
      <c r="Q492" s="1" t="b">
        <v>1</v>
      </c>
      <c r="R492" s="1" t="s">
        <v>2336</v>
      </c>
    </row>
    <row r="493" spans="1:18" x14ac:dyDescent="0.25">
      <c r="A493" s="2">
        <v>45308</v>
      </c>
      <c r="B493" s="1" t="s">
        <v>2337</v>
      </c>
      <c r="C493" s="1" t="str">
        <f ca="1">IFERROR(__xludf.DUMMYFUNCTION("GOOGLETRANSLATE(B493,""pl"",""en"")"),"Last apartments on the first floor")</f>
        <v>Last apartments on the first floor</v>
      </c>
      <c r="D493" s="1">
        <v>408000</v>
      </c>
      <c r="E493" s="1" t="s">
        <v>19</v>
      </c>
      <c r="F493" s="1">
        <v>68</v>
      </c>
      <c r="G493" s="1" t="s">
        <v>4770</v>
      </c>
      <c r="H493" s="1" t="str">
        <f ca="1">IFERROR(__xludf.DUMMYFUNCTION("GOOGLETRANSLATE(G493,""pl"",""en"")"),"Skalmierzyce, Nowe Skalmierzyce, Ostrowski, Greater Poland")</f>
        <v>Skalmierzyce, Nowe Skalmierzyce, Ostrowski, Greater Poland</v>
      </c>
      <c r="I493" s="1" t="s">
        <v>21</v>
      </c>
      <c r="J493" s="1" t="s">
        <v>21</v>
      </c>
      <c r="K493" s="1" t="s">
        <v>45</v>
      </c>
      <c r="L493" s="1" t="s">
        <v>2338</v>
      </c>
      <c r="M493" s="1">
        <v>3</v>
      </c>
      <c r="N493" s="1" t="s">
        <v>24</v>
      </c>
      <c r="O493" s="1" t="str">
        <f ca="1">IFERROR(__xludf.DUMMYFUNCTION("GOOGLETRANSLATE(N493,""pl"",""en"")"),"full ownership")</f>
        <v>full ownership</v>
      </c>
      <c r="P493" s="3" t="s">
        <v>2339</v>
      </c>
      <c r="Q493" s="1" t="b">
        <v>1</v>
      </c>
      <c r="R493" s="1" t="s">
        <v>2340</v>
      </c>
    </row>
    <row r="494" spans="1:18" x14ac:dyDescent="0.25">
      <c r="A494" s="2">
        <v>45308</v>
      </c>
      <c r="B494" s="1" t="s">
        <v>2341</v>
      </c>
      <c r="C494" s="1" t="str">
        <f ca="1">IFERROR(__xludf.DUMMYFUNCTION("GOOGLETRANSLATE(B494,""pl"",""en"")"),"Apartment - Pruszcz Gdański")</f>
        <v>Apartment - Pruszcz Gdański</v>
      </c>
      <c r="D494" s="1">
        <v>580000</v>
      </c>
      <c r="E494" s="1" t="s">
        <v>33</v>
      </c>
      <c r="F494" s="1">
        <v>66.08</v>
      </c>
      <c r="G494" s="1" t="s">
        <v>2342</v>
      </c>
      <c r="H494" s="1" t="str">
        <f ca="1">IFERROR(__xludf.DUMMYFUNCTION("GOOGLETRANSLATE(G494,""pl"",""en"")"),"Pruszcz Gdański, Gdański, Pomeranian")</f>
        <v>Pruszcz Gdański, Gdański, Pomeranian</v>
      </c>
      <c r="I494" s="1" t="s">
        <v>21</v>
      </c>
      <c r="J494" s="1" t="s">
        <v>21</v>
      </c>
      <c r="K494" s="1" t="s">
        <v>22</v>
      </c>
      <c r="L494" s="1" t="s">
        <v>2343</v>
      </c>
      <c r="M494" s="1">
        <v>3</v>
      </c>
      <c r="N494" s="1" t="s">
        <v>24</v>
      </c>
      <c r="O494" s="1" t="str">
        <f ca="1">IFERROR(__xludf.DUMMYFUNCTION("GOOGLETRANSLATE(N494,""pl"",""en"")"),"full ownership")</f>
        <v>full ownership</v>
      </c>
      <c r="P494" s="3" t="s">
        <v>2344</v>
      </c>
      <c r="Q494" s="1" t="b">
        <v>1</v>
      </c>
      <c r="R494" s="1" t="s">
        <v>2345</v>
      </c>
    </row>
    <row r="495" spans="1:18" x14ac:dyDescent="0.25">
      <c r="A495" s="2">
        <v>45308</v>
      </c>
      <c r="B495" s="1" t="s">
        <v>2346</v>
      </c>
      <c r="C495" s="1" t="str">
        <f ca="1">IFERROR(__xludf.DUMMYFUNCTION("GOOGLETRANSLATE(B495,""pl"",""en"")"),"Scandinavian style house, any area")</f>
        <v>Scandinavian style house, any area</v>
      </c>
      <c r="D495" s="1">
        <v>468600</v>
      </c>
      <c r="E495" s="1" t="s">
        <v>19</v>
      </c>
      <c r="F495" s="1">
        <v>100</v>
      </c>
      <c r="G495" s="1" t="s">
        <v>2347</v>
      </c>
      <c r="H495" s="1" t="str">
        <f ca="1">IFERROR(__xludf.DUMMYFUNCTION("GOOGLETRANSLATE(G495,""pl"",""en"")"),"Puszcza, Brochów-Kolonia, Brochów, Sochaczewski, Masovian Voivodeship housing estate")</f>
        <v>Puszcza, Brochów-Kolonia, Brochów, Sochaczewski, Masovian Voivodeship housing estate</v>
      </c>
      <c r="I495" s="1" t="b">
        <v>1</v>
      </c>
      <c r="J495" s="1" t="s">
        <v>21</v>
      </c>
      <c r="K495" s="1" t="s">
        <v>45</v>
      </c>
      <c r="L495" s="1" t="s">
        <v>2348</v>
      </c>
      <c r="M495" s="1">
        <v>4</v>
      </c>
      <c r="N495" s="1" t="s">
        <v>21</v>
      </c>
      <c r="O495" s="1" t="str">
        <f ca="1">IFERROR(__xludf.DUMMYFUNCTION("GOOGLETRANSLATE(N495,""pl"",""en"")"),"null")</f>
        <v>null</v>
      </c>
      <c r="P495" s="3" t="s">
        <v>2349</v>
      </c>
      <c r="Q495" s="1" t="b">
        <v>1</v>
      </c>
      <c r="R495" s="1" t="s">
        <v>2350</v>
      </c>
    </row>
    <row r="496" spans="1:18" x14ac:dyDescent="0.25">
      <c r="A496" s="2">
        <v>45308</v>
      </c>
      <c r="B496" s="1" t="s">
        <v>2351</v>
      </c>
      <c r="C496" s="1" t="str">
        <f ca="1">IFERROR(__xludf.DUMMYFUNCTION("GOOGLETRANSLATE(B496,""pl"",""en"")"),"3 studio apartments in one ul.")</f>
        <v>3 studio apartments in one ul.</v>
      </c>
      <c r="D496" s="1">
        <v>789000</v>
      </c>
      <c r="E496" s="1" t="s">
        <v>33</v>
      </c>
      <c r="F496" s="1">
        <v>68</v>
      </c>
      <c r="G496" s="1" t="s">
        <v>475</v>
      </c>
      <c r="H496" s="1" t="str">
        <f ca="1">IFERROR(__xludf.DUMMYFUNCTION("GOOGLETRANSLATE(G496,""pl"",""en"")"),"street. Podwisłocze, Nowe Miasto, Rzeszów, Podkarpackie")</f>
        <v>street. Podwisłocze, Nowe Miasto, Rzeszów, Podkarpackie</v>
      </c>
      <c r="I496" s="1" t="s">
        <v>21</v>
      </c>
      <c r="J496" s="1" t="s">
        <v>21</v>
      </c>
      <c r="K496" s="1" t="s">
        <v>22</v>
      </c>
      <c r="L496" s="1" t="s">
        <v>2352</v>
      </c>
      <c r="M496" s="1">
        <v>3</v>
      </c>
      <c r="N496" s="1" t="s">
        <v>24</v>
      </c>
      <c r="O496" s="1" t="str">
        <f ca="1">IFERROR(__xludf.DUMMYFUNCTION("GOOGLETRANSLATE(N496,""pl"",""en"")"),"full ownership")</f>
        <v>full ownership</v>
      </c>
      <c r="P496" s="3" t="s">
        <v>2353</v>
      </c>
      <c r="Q496" s="1" t="b">
        <v>1</v>
      </c>
      <c r="R496" s="1" t="s">
        <v>2354</v>
      </c>
    </row>
    <row r="497" spans="1:18" x14ac:dyDescent="0.25">
      <c r="A497" s="2">
        <v>45308</v>
      </c>
      <c r="B497" s="1" t="s">
        <v>2355</v>
      </c>
      <c r="C497" s="1" t="str">
        <f ca="1">IFERROR(__xludf.DUMMYFUNCTION("GOOGLETRANSLATE(B497,""pl"",""en"")"),"2 rooms (for renovation) in a great location")</f>
        <v>2 rooms (for renovation) in a great location</v>
      </c>
      <c r="D497" s="1">
        <v>299999</v>
      </c>
      <c r="E497" s="1" t="s">
        <v>33</v>
      </c>
      <c r="F497" s="1">
        <v>40.75</v>
      </c>
      <c r="G497" s="1" t="s">
        <v>2356</v>
      </c>
      <c r="H497" s="1" t="str">
        <f ca="1">IFERROR(__xludf.DUMMYFUNCTION("GOOGLETRANSLATE(G497,""pl"",""en"")"),"Turzyn, Śródmieście, Szczecin, West Pomeranian Voivodeship")</f>
        <v>Turzyn, Śródmieście, Szczecin, West Pomeranian Voivodeship</v>
      </c>
      <c r="I497" s="1" t="s">
        <v>21</v>
      </c>
      <c r="J497" s="1" t="s">
        <v>21</v>
      </c>
      <c r="K497" s="1" t="s">
        <v>22</v>
      </c>
      <c r="L497" s="1" t="s">
        <v>2357</v>
      </c>
      <c r="M497" s="1">
        <v>2</v>
      </c>
      <c r="N497" s="1" t="s">
        <v>24</v>
      </c>
      <c r="O497" s="1" t="str">
        <f ca="1">IFERROR(__xludf.DUMMYFUNCTION("GOOGLETRANSLATE(N497,""pl"",""en"")"),"full ownership")</f>
        <v>full ownership</v>
      </c>
      <c r="P497" s="3" t="s">
        <v>2358</v>
      </c>
      <c r="Q497" s="1" t="b">
        <v>1</v>
      </c>
      <c r="R497" s="1" t="s">
        <v>2359</v>
      </c>
    </row>
    <row r="498" spans="1:18" x14ac:dyDescent="0.25">
      <c r="A498" s="2">
        <v>45308</v>
      </c>
      <c r="B498" s="1" t="s">
        <v>2360</v>
      </c>
      <c r="C498" s="1" t="str">
        <f ca="1">IFERROR(__xludf.DUMMYFUNCTION("GOOGLETRANSLATE(B498,""pl"",""en"")"),"Apartment for sale Zabrze Okrzei")</f>
        <v>Apartment for sale Zabrze Okrzei</v>
      </c>
      <c r="D498" s="1">
        <v>149999</v>
      </c>
      <c r="E498" s="1" t="s">
        <v>33</v>
      </c>
      <c r="F498" s="1">
        <v>56.75</v>
      </c>
      <c r="G498" s="1" t="s">
        <v>2361</v>
      </c>
      <c r="H498" s="1" t="str">
        <f ca="1">IFERROR(__xludf.DUMMYFUNCTION("GOOGLETRANSLATE(G498,""pl"",""en"")"),"street. Stefana Okrzei, Biskupice, Zabrze, Silesian Voivodeship")</f>
        <v>street. Stefana Okrzei, Biskupice, Zabrze, Silesian Voivodeship</v>
      </c>
      <c r="I498" s="1" t="b">
        <v>1</v>
      </c>
      <c r="J498" s="1" t="s">
        <v>21</v>
      </c>
      <c r="K498" s="1" t="s">
        <v>22</v>
      </c>
      <c r="L498" s="1" t="s">
        <v>2362</v>
      </c>
      <c r="M498" s="1">
        <v>2</v>
      </c>
      <c r="N498" s="1" t="s">
        <v>24</v>
      </c>
      <c r="O498" s="1" t="str">
        <f ca="1">IFERROR(__xludf.DUMMYFUNCTION("GOOGLETRANSLATE(N498,""pl"",""en"")"),"full ownership")</f>
        <v>full ownership</v>
      </c>
      <c r="P498" s="3" t="s">
        <v>2363</v>
      </c>
      <c r="Q498" s="1" t="b">
        <v>1</v>
      </c>
      <c r="R498" s="1" t="s">
        <v>2364</v>
      </c>
    </row>
    <row r="499" spans="1:18" x14ac:dyDescent="0.25">
      <c r="A499" s="2">
        <v>45308</v>
      </c>
      <c r="B499" s="1" t="s">
        <v>2365</v>
      </c>
      <c r="C499" s="1" t="str">
        <f ca="1">IFERROR(__xludf.DUMMYFUNCTION("GOOGLETRANSLATE(B499,""pl"",""en"")"),"Reservation View of the Silesian Park and Staw, 2 bedrooms")</f>
        <v>Reservation View of the Silesian Park and Staw, 2 bedrooms</v>
      </c>
      <c r="D499" s="1">
        <v>835000</v>
      </c>
      <c r="E499" s="1" t="s">
        <v>33</v>
      </c>
      <c r="F499" s="1">
        <v>89.95</v>
      </c>
      <c r="G499" s="1" t="s">
        <v>2366</v>
      </c>
      <c r="H499" s="1" t="str">
        <f ca="1">IFERROR(__xludf.DUMMYFUNCTION("GOOGLETRANSLATE(G499,""pl"",""en"")"),"al. Bolesław Krzywousty, the Tysiąclecia estate, Katowice, Silesian Voivodeship")</f>
        <v>al. Bolesław Krzywousty, the Tysiąclecia estate, Katowice, Silesian Voivodeship</v>
      </c>
      <c r="I499" s="1" t="s">
        <v>21</v>
      </c>
      <c r="J499" s="1" t="s">
        <v>21</v>
      </c>
      <c r="K499" s="1" t="s">
        <v>22</v>
      </c>
      <c r="L499" s="1" t="s">
        <v>2367</v>
      </c>
      <c r="M499" s="1">
        <v>3</v>
      </c>
      <c r="N499" s="1" t="s">
        <v>24</v>
      </c>
      <c r="O499" s="1" t="str">
        <f ca="1">IFERROR(__xludf.DUMMYFUNCTION("GOOGLETRANSLATE(N499,""pl"",""en"")"),"full ownership")</f>
        <v>full ownership</v>
      </c>
      <c r="P499" s="3" t="s">
        <v>2368</v>
      </c>
      <c r="Q499" s="1" t="b">
        <v>1</v>
      </c>
      <c r="R499" s="1" t="s">
        <v>2369</v>
      </c>
    </row>
    <row r="500" spans="1:18" x14ac:dyDescent="0.25">
      <c r="A500" s="2">
        <v>45308</v>
      </c>
      <c r="B500" s="1" t="s">
        <v>2370</v>
      </c>
      <c r="C500" s="1" t="str">
        <f ca="1">IFERROR(__xludf.DUMMYFUNCTION("GOOGLETRANSLATE(B500,""pl"",""en"")"),"At Belvedere, directly.")</f>
        <v>At Belvedere, directly.</v>
      </c>
      <c r="D500" s="1">
        <v>719000</v>
      </c>
      <c r="E500" s="1" t="s">
        <v>33</v>
      </c>
      <c r="F500" s="1">
        <v>37.6</v>
      </c>
      <c r="G500" s="1" t="s">
        <v>2371</v>
      </c>
      <c r="H500" s="1" t="str">
        <f ca="1">IFERROR(__xludf.DUMMYFUNCTION("GOOGLETRANSLATE(G500,""pl"",""en"")"),"Sielce, Mokotów, Warsaw, Masovian Voivodeship")</f>
        <v>Sielce, Mokotów, Warsaw, Masovian Voivodeship</v>
      </c>
      <c r="I500" s="1" t="s">
        <v>21</v>
      </c>
      <c r="J500" s="1" t="s">
        <v>21</v>
      </c>
      <c r="K500" s="1" t="s">
        <v>45</v>
      </c>
      <c r="L500" s="1" t="s">
        <v>2372</v>
      </c>
      <c r="M500" s="1">
        <v>2</v>
      </c>
      <c r="N500" s="1" t="s">
        <v>24</v>
      </c>
      <c r="O500" s="1" t="str">
        <f ca="1">IFERROR(__xludf.DUMMYFUNCTION("GOOGLETRANSLATE(N500,""pl"",""en"")"),"full ownership")</f>
        <v>full ownership</v>
      </c>
      <c r="P500" s="3" t="s">
        <v>2373</v>
      </c>
      <c r="Q500" s="1" t="b">
        <v>1</v>
      </c>
      <c r="R500" s="1" t="s">
        <v>2374</v>
      </c>
    </row>
    <row r="501" spans="1:18" x14ac:dyDescent="0.25">
      <c r="A501" s="2">
        <v>45308</v>
      </c>
      <c r="B501" s="1" t="s">
        <v>2375</v>
      </c>
      <c r="C501" s="1" t="str">
        <f ca="1">IFERROR(__xludf.DUMMYFUNCTION("GOOGLETRANSLATE(B501,""pl"",""en"")"),"House, 174 m², new")</f>
        <v>House, 174 m², new</v>
      </c>
      <c r="D501" s="1">
        <v>449000</v>
      </c>
      <c r="E501" s="1" t="s">
        <v>33</v>
      </c>
      <c r="F501" s="1">
        <v>174</v>
      </c>
      <c r="G501" s="1" t="s">
        <v>2376</v>
      </c>
      <c r="H501" s="1" t="str">
        <f ca="1">IFERROR(__xludf.DUMMYFUNCTION("GOOGLETRANSLATE(G501,""pl"",""en"")"),"Novizna, Dzierżoniów, Dzierżoniowski, DolnoSilesian Voivodeship")</f>
        <v>Novizna, Dzierżoniów, Dzierżoniowski, DolnoSilesian Voivodeship</v>
      </c>
      <c r="I501" s="1" t="b">
        <v>1</v>
      </c>
      <c r="J501" s="1" t="s">
        <v>21</v>
      </c>
      <c r="K501" s="1" t="s">
        <v>22</v>
      </c>
      <c r="L501" s="1" t="s">
        <v>2377</v>
      </c>
      <c r="M501" s="1">
        <v>7</v>
      </c>
      <c r="N501" s="1" t="s">
        <v>21</v>
      </c>
      <c r="O501" s="1" t="str">
        <f ca="1">IFERROR(__xludf.DUMMYFUNCTION("GOOGLETRANSLATE(N501,""pl"",""en"")"),"null")</f>
        <v>null</v>
      </c>
      <c r="P501" s="3" t="s">
        <v>2378</v>
      </c>
      <c r="Q501" s="1" t="b">
        <v>1</v>
      </c>
      <c r="R501" s="1" t="s">
        <v>2379</v>
      </c>
    </row>
    <row r="502" spans="1:18" x14ac:dyDescent="0.25">
      <c r="A502" s="2">
        <v>45308</v>
      </c>
      <c r="B502" s="1" t="s">
        <v>2380</v>
      </c>
      <c r="C502" s="1" t="str">
        <f ca="1">IFERROR(__xludf.DUMMYFUNCTION("GOOGLETRANSLATE(B502,""pl"",""en"")"),"Krowodrza-Bronowice- Apartment 3 POK with terrace")</f>
        <v>Krowodrza-Bronowice- Apartment 3 POK with terrace</v>
      </c>
      <c r="D502" s="1">
        <v>1099000</v>
      </c>
      <c r="E502" s="1" t="s">
        <v>33</v>
      </c>
      <c r="F502" s="1">
        <v>79</v>
      </c>
      <c r="G502" s="1" t="s">
        <v>4771</v>
      </c>
      <c r="H502" s="1" t="str">
        <f ca="1">IFERROR(__xludf.DUMMYFUNCTION("GOOGLETRANSLATE(G502,""pl"",""en"")"),"Bronowice Wielkie, Prądnik Biały, Kraków, Lesser Poland")</f>
        <v>Bronowice Wielkie, Prądnik Biały, Kraków, Lesser Poland</v>
      </c>
      <c r="I502" s="1" t="s">
        <v>21</v>
      </c>
      <c r="J502" s="1" t="s">
        <v>21</v>
      </c>
      <c r="K502" s="1" t="s">
        <v>22</v>
      </c>
      <c r="L502" s="1" t="s">
        <v>2381</v>
      </c>
      <c r="M502" s="1">
        <v>3</v>
      </c>
      <c r="N502" s="1" t="s">
        <v>24</v>
      </c>
      <c r="O502" s="1" t="str">
        <f ca="1">IFERROR(__xludf.DUMMYFUNCTION("GOOGLETRANSLATE(N502,""pl"",""en"")"),"full ownership")</f>
        <v>full ownership</v>
      </c>
      <c r="P502" s="3" t="s">
        <v>2382</v>
      </c>
      <c r="Q502" s="1" t="b">
        <v>1</v>
      </c>
      <c r="R502" s="1" t="s">
        <v>2383</v>
      </c>
    </row>
    <row r="503" spans="1:18" x14ac:dyDescent="0.25">
      <c r="A503" s="2">
        <v>45308</v>
      </c>
      <c r="B503" s="1" t="s">
        <v>2384</v>
      </c>
      <c r="C503" s="1" t="str">
        <f ca="1">IFERROR(__xludf.DUMMYFUNCTION("GOOGLETRANSLATE(B503,""pl"",""en"")"),"Cozy, two -room in a great location.")</f>
        <v>Cozy, two -room in a great location.</v>
      </c>
      <c r="D503" s="1">
        <v>180000</v>
      </c>
      <c r="E503" s="1" t="s">
        <v>33</v>
      </c>
      <c r="F503" s="1">
        <v>37</v>
      </c>
      <c r="G503" s="1" t="s">
        <v>2385</v>
      </c>
      <c r="H503" s="1" t="str">
        <f ca="1">IFERROR(__xludf.DUMMYFUNCTION("GOOGLETRANSLATE(G503,""pl"",""en"")"),"street. Kopernika, Szczecinek, Szczecin, West Pomeranian Voivodeship")</f>
        <v>street. Kopernika, Szczecinek, Szczecin, West Pomeranian Voivodeship</v>
      </c>
      <c r="I503" s="1" t="b">
        <v>1</v>
      </c>
      <c r="J503" s="1" t="s">
        <v>21</v>
      </c>
      <c r="K503" s="1" t="s">
        <v>22</v>
      </c>
      <c r="L503" s="1" t="s">
        <v>2386</v>
      </c>
      <c r="M503" s="1">
        <v>2</v>
      </c>
      <c r="N503" s="1" t="s">
        <v>85</v>
      </c>
      <c r="O503" s="1" t="str">
        <f ca="1">IFERROR(__xludf.DUMMYFUNCTION("GOOGLETRANSLATE(N503,""pl"",""en"")"),"Cooperative ownership of the right to the premises")</f>
        <v>Cooperative ownership of the right to the premises</v>
      </c>
      <c r="P503" s="3" t="s">
        <v>2387</v>
      </c>
      <c r="Q503" s="1" t="b">
        <v>1</v>
      </c>
      <c r="R503" s="1" t="s">
        <v>2388</v>
      </c>
    </row>
    <row r="504" spans="1:18" x14ac:dyDescent="0.25">
      <c r="A504" s="2">
        <v>45308</v>
      </c>
      <c r="B504" s="1" t="s">
        <v>2389</v>
      </c>
      <c r="C504" s="1" t="str">
        <f ca="1">IFERROR(__xludf.DUMMYFUNCTION("GOOGLETRANSLATE(B504,""pl"",""en"")"),"NEW PRICE! Gąski, 2 apartments 900 m from the sea!")</f>
        <v>NEW PRICE! Gąski, 2 apartments 900 m from the sea!</v>
      </c>
      <c r="D504" s="1">
        <v>399000</v>
      </c>
      <c r="E504" s="1" t="s">
        <v>33</v>
      </c>
      <c r="F504" s="1">
        <v>61.72</v>
      </c>
      <c r="G504" s="1" t="s">
        <v>2390</v>
      </c>
      <c r="H504" s="1" t="str">
        <f ca="1">IFERROR(__xludf.DUMMYFUNCTION("GOOGLETRANSLATE(G504,""pl"",""en"")"),"Gąski, Mielno, Koszaliński, West Pomeranian Voivodeship")</f>
        <v>Gąski, Mielno, Koszaliński, West Pomeranian Voivodeship</v>
      </c>
      <c r="I504" s="1" t="b">
        <v>1</v>
      </c>
      <c r="J504" s="1" t="s">
        <v>21</v>
      </c>
      <c r="K504" s="1" t="s">
        <v>22</v>
      </c>
      <c r="L504" s="1" t="s">
        <v>2391</v>
      </c>
      <c r="M504" s="1">
        <v>3</v>
      </c>
      <c r="N504" s="1" t="s">
        <v>21</v>
      </c>
      <c r="O504" s="1" t="str">
        <f ca="1">IFERROR(__xludf.DUMMYFUNCTION("GOOGLETRANSLATE(N504,""pl"",""en"")"),"null")</f>
        <v>null</v>
      </c>
      <c r="P504" s="3" t="s">
        <v>2392</v>
      </c>
      <c r="Q504" s="1" t="b">
        <v>1</v>
      </c>
      <c r="R504" s="1" t="s">
        <v>2393</v>
      </c>
    </row>
    <row r="505" spans="1:18" x14ac:dyDescent="0.25">
      <c r="A505" s="2">
        <v>45308</v>
      </c>
      <c r="B505" s="1" t="s">
        <v>2394</v>
      </c>
      <c r="C505" s="1" t="str">
        <f ca="1">IFERROR(__xludf.DUMMYFUNCTION("GOOGLETRANSLATE(B505,""pl"",""en"")"),"Opportunity! Very low rent! In the center 3 rooms")</f>
        <v>Opportunity! Very low rent! In the center 3 rooms</v>
      </c>
      <c r="D505" s="1">
        <v>650000</v>
      </c>
      <c r="E505" s="1" t="s">
        <v>33</v>
      </c>
      <c r="F505" s="1">
        <v>71.5</v>
      </c>
      <c r="G505" s="1" t="s">
        <v>2313</v>
      </c>
      <c r="H505" s="1" t="str">
        <f ca="1">IFERROR(__xludf.DUMMYFUNCTION("GOOGLETRANSLATE(G505,""pl"",""en"")"),"Śródmieście, Katowice, Silesian Voivodeship")</f>
        <v>Śródmieście, Katowice, Silesian Voivodeship</v>
      </c>
      <c r="I505" s="1" t="s">
        <v>21</v>
      </c>
      <c r="J505" s="1" t="s">
        <v>21</v>
      </c>
      <c r="K505" s="1" t="s">
        <v>22</v>
      </c>
      <c r="L505" s="1" t="s">
        <v>2395</v>
      </c>
      <c r="M505" s="1">
        <v>3</v>
      </c>
      <c r="N505" s="1" t="s">
        <v>24</v>
      </c>
      <c r="O505" s="1" t="str">
        <f ca="1">IFERROR(__xludf.DUMMYFUNCTION("GOOGLETRANSLATE(N505,""pl"",""en"")"),"full ownership")</f>
        <v>full ownership</v>
      </c>
      <c r="P505" s="3" t="s">
        <v>2396</v>
      </c>
      <c r="Q505" s="1" t="b">
        <v>1</v>
      </c>
      <c r="R505" s="1" t="s">
        <v>2397</v>
      </c>
    </row>
    <row r="506" spans="1:18" x14ac:dyDescent="0.25">
      <c r="A506" s="2">
        <v>45308</v>
      </c>
      <c r="B506" s="1" t="s">
        <v>2398</v>
      </c>
      <c r="C506" s="1" t="str">
        <f ca="1">IFERROR(__xludf.DUMMYFUNCTION("GOOGLETRANSLATE(B506,""pl"",""en"")"),"New and unique, 3-Pok. with a balcony, Grzegórzecka")</f>
        <v>New and unique, 3-Pok. with a balcony, Grzegórzecka</v>
      </c>
      <c r="D506" s="1">
        <v>1290000</v>
      </c>
      <c r="E506" s="1" t="s">
        <v>33</v>
      </c>
      <c r="F506" s="1">
        <v>58.67</v>
      </c>
      <c r="G506" s="1" t="s">
        <v>4772</v>
      </c>
      <c r="H506" s="1" t="str">
        <f ca="1">IFERROR(__xludf.DUMMYFUNCTION("GOOGLETRANSLATE(G506,""pl"",""en"")"),"street. Grzegórzecka, Grzegórzki, Grzegórzki, Kraków, Lesser Poland")</f>
        <v>street. Grzegórzecka, Grzegórzki, Grzegórzki, Kraków, Lesser Poland</v>
      </c>
      <c r="I506" s="1" t="s">
        <v>21</v>
      </c>
      <c r="J506" s="1" t="s">
        <v>21</v>
      </c>
      <c r="K506" s="1" t="s">
        <v>22</v>
      </c>
      <c r="L506" s="1" t="s">
        <v>2399</v>
      </c>
      <c r="M506" s="1">
        <v>3</v>
      </c>
      <c r="N506" s="1" t="s">
        <v>24</v>
      </c>
      <c r="O506" s="1" t="str">
        <f ca="1">IFERROR(__xludf.DUMMYFUNCTION("GOOGLETRANSLATE(N506,""pl"",""en"")"),"full ownership")</f>
        <v>full ownership</v>
      </c>
      <c r="P506" s="3" t="s">
        <v>2400</v>
      </c>
      <c r="Q506" s="1" t="b">
        <v>1</v>
      </c>
      <c r="R506" s="1" t="s">
        <v>2401</v>
      </c>
    </row>
    <row r="507" spans="1:18" x14ac:dyDescent="0.25">
      <c r="A507" s="2">
        <v>45308</v>
      </c>
      <c r="B507" s="1" t="s">
        <v>2402</v>
      </c>
      <c r="C507" s="1" t="str">
        <f ca="1">IFERROR(__xludf.DUMMYFUNCTION("GOOGLETRANSLATE(B507,""pl"",""en"")"),"A two -level apartment to a high standard")</f>
        <v>A two -level apartment to a high standard</v>
      </c>
      <c r="D507" s="1">
        <v>708000</v>
      </c>
      <c r="E507" s="1" t="s">
        <v>33</v>
      </c>
      <c r="F507" s="1">
        <v>75</v>
      </c>
      <c r="G507" s="1" t="s">
        <v>2403</v>
      </c>
      <c r="H507" s="1" t="str">
        <f ca="1">IFERROR(__xludf.DUMMYFUNCTION("GOOGLETRANSLATE(G507,""pl"",""en"")"),"street. Niepołomicka, Ujeścisko-Łostowice, Gdańsk, Pomeranian Voivodeship")</f>
        <v>street. Niepołomicka, Ujeścisko-Łostowice, Gdańsk, Pomeranian Voivodeship</v>
      </c>
      <c r="I507" s="1" t="s">
        <v>21</v>
      </c>
      <c r="J507" s="1" t="s">
        <v>21</v>
      </c>
      <c r="K507" s="1" t="s">
        <v>22</v>
      </c>
      <c r="L507" s="1" t="s">
        <v>2404</v>
      </c>
      <c r="M507" s="1">
        <v>3</v>
      </c>
      <c r="N507" s="1" t="s">
        <v>24</v>
      </c>
      <c r="O507" s="1" t="str">
        <f ca="1">IFERROR(__xludf.DUMMYFUNCTION("GOOGLETRANSLATE(N507,""pl"",""en"")"),"full ownership")</f>
        <v>full ownership</v>
      </c>
      <c r="P507" s="3" t="s">
        <v>2405</v>
      </c>
      <c r="Q507" s="1" t="b">
        <v>1</v>
      </c>
      <c r="R507" s="1" t="s">
        <v>2406</v>
      </c>
    </row>
    <row r="508" spans="1:18" x14ac:dyDescent="0.25">
      <c r="A508" s="2">
        <v>45308</v>
      </c>
      <c r="B508" s="1" t="s">
        <v>2407</v>
      </c>
      <c r="C508" s="1" t="str">
        <f ca="1">IFERROR(__xludf.DUMMYFUNCTION("GOOGLETRANSLATE(B508,""pl"",""en"")"),"3 rooms + garden with a multitude of 80 sq m. Last !!!!")</f>
        <v>3 rooms + garden with a multitude of 80 sq m. Last !!!!</v>
      </c>
      <c r="D508" s="1">
        <v>394831</v>
      </c>
      <c r="E508" s="1" t="s">
        <v>19</v>
      </c>
      <c r="F508" s="1">
        <v>55.61</v>
      </c>
      <c r="G508" s="1" t="s">
        <v>451</v>
      </c>
      <c r="H508" s="1" t="str">
        <f ca="1">IFERROR(__xludf.DUMMYFUNCTION("GOOGLETRANSLATE(G508,""pl"",""en"")"),"street. Maria Konopnicka, Środstreeta, Sosnowiec, Silesian Voivodeship")</f>
        <v>street. Maria Konopnicka, Środstreeta, Sosnowiec, Silesian Voivodeship</v>
      </c>
      <c r="I508" s="1" t="b">
        <v>1</v>
      </c>
      <c r="J508" s="1" t="s">
        <v>21</v>
      </c>
      <c r="K508" s="1" t="s">
        <v>194</v>
      </c>
      <c r="L508" s="1" t="s">
        <v>2408</v>
      </c>
      <c r="M508" s="1">
        <v>3</v>
      </c>
      <c r="N508" s="1" t="s">
        <v>24</v>
      </c>
      <c r="O508" s="1" t="str">
        <f ca="1">IFERROR(__xludf.DUMMYFUNCTION("GOOGLETRANSLATE(N508,""pl"",""en"")"),"full ownership")</f>
        <v>full ownership</v>
      </c>
      <c r="P508" s="3" t="s">
        <v>2409</v>
      </c>
      <c r="Q508" s="1" t="b">
        <v>1</v>
      </c>
      <c r="R508" s="1" t="s">
        <v>2410</v>
      </c>
    </row>
    <row r="509" spans="1:18" x14ac:dyDescent="0.25">
      <c r="A509" s="2">
        <v>45308</v>
      </c>
      <c r="B509" s="1" t="s">
        <v>2411</v>
      </c>
      <c r="C509" s="1" t="str">
        <f ca="1">IFERROR(__xludf.DUMMYFUNCTION("GOOGLETRANSLATE(B509,""pl"",""en"")"),"Apartment on the 22nd floor, gold 44")</f>
        <v>Apartment on the 22nd floor, gold 44</v>
      </c>
      <c r="D509" s="1">
        <v>5900000</v>
      </c>
      <c r="E509" s="1" t="s">
        <v>33</v>
      </c>
      <c r="F509" s="1">
        <v>99.4</v>
      </c>
      <c r="G509" s="1" t="s">
        <v>2412</v>
      </c>
      <c r="H509" s="1" t="str">
        <f ca="1">IFERROR(__xludf.DUMMYFUNCTION("GOOGLETRANSLATE(G509,""pl"",""en"")"),"street. Złota, Śródmieście North, Śródmieście, Warsaw, Masovian Voivodeship")</f>
        <v>street. Złota, Śródmieście North, Śródmieście, Warsaw, Masovian Voivodeship</v>
      </c>
      <c r="I509" s="1" t="s">
        <v>21</v>
      </c>
      <c r="J509" s="1" t="s">
        <v>21</v>
      </c>
      <c r="K509" s="1" t="s">
        <v>22</v>
      </c>
      <c r="L509" s="1" t="s">
        <v>2413</v>
      </c>
      <c r="M509" s="1">
        <v>2</v>
      </c>
      <c r="N509" s="1" t="s">
        <v>24</v>
      </c>
      <c r="O509" s="1" t="str">
        <f ca="1">IFERROR(__xludf.DUMMYFUNCTION("GOOGLETRANSLATE(N509,""pl"",""en"")"),"full ownership")</f>
        <v>full ownership</v>
      </c>
      <c r="P509" s="3" t="s">
        <v>2414</v>
      </c>
      <c r="Q509" s="1" t="b">
        <v>1</v>
      </c>
      <c r="R509" s="1" t="s">
        <v>2415</v>
      </c>
    </row>
    <row r="510" spans="1:18" x14ac:dyDescent="0.25">
      <c r="A510" s="2">
        <v>45308</v>
      </c>
      <c r="B510" s="1" t="s">
        <v>2416</v>
      </c>
      <c r="C510" s="1" t="str">
        <f ca="1">IFERROR(__xludf.DUMMYFUNCTION("GOOGLETRANSLATE(B510,""pl"",""en"")"),"Dissert of the Sun Division Apartment with terrace!")</f>
        <v>Dissert of the Sun Division Apartment with terrace!</v>
      </c>
      <c r="D510" s="1">
        <v>1099000</v>
      </c>
      <c r="E510" s="1" t="s">
        <v>33</v>
      </c>
      <c r="F510" s="1">
        <v>128.5</v>
      </c>
      <c r="G510" s="1" t="s">
        <v>2417</v>
      </c>
      <c r="H510" s="1" t="str">
        <f ca="1">IFERROR(__xludf.DUMMYFUNCTION("GOOGLETRANSLATE(G510,""pl"",""en"")"),"Bezrzecze, Dobra (Szczecińska), Policki, West Pomeranian Voivodeship")</f>
        <v>Bezrzecze, Dobra (Szczecińska), Policki, West Pomeranian Voivodeship</v>
      </c>
      <c r="I510" s="1" t="s">
        <v>21</v>
      </c>
      <c r="J510" s="1" t="s">
        <v>21</v>
      </c>
      <c r="K510" s="1" t="s">
        <v>22</v>
      </c>
      <c r="L510" s="1" t="s">
        <v>2418</v>
      </c>
      <c r="M510" s="1">
        <v>5</v>
      </c>
      <c r="N510" s="1" t="s">
        <v>24</v>
      </c>
      <c r="O510" s="1" t="str">
        <f ca="1">IFERROR(__xludf.DUMMYFUNCTION("GOOGLETRANSLATE(N510,""pl"",""en"")"),"full ownership")</f>
        <v>full ownership</v>
      </c>
      <c r="P510" s="3" t="s">
        <v>2419</v>
      </c>
      <c r="Q510" s="1" t="b">
        <v>1</v>
      </c>
      <c r="R510" s="1" t="s">
        <v>2420</v>
      </c>
    </row>
    <row r="511" spans="1:18" x14ac:dyDescent="0.25">
      <c r="A511" s="2">
        <v>45308</v>
      </c>
      <c r="B511" s="1" t="s">
        <v>2421</v>
      </c>
      <c r="C511" s="1" t="str">
        <f ca="1">IFERROR(__xludf.DUMMYFUNCTION("GOOGLETRANSLATE(B511,""pl"",""en"")"),"A large house in Stargard")</f>
        <v>A large house in Stargard</v>
      </c>
      <c r="D511" s="1">
        <v>1200000</v>
      </c>
      <c r="E511" s="1" t="s">
        <v>33</v>
      </c>
      <c r="F511" s="1">
        <v>245.8</v>
      </c>
      <c r="G511" s="1" t="s">
        <v>2422</v>
      </c>
      <c r="H511" s="1" t="str">
        <f ca="1">IFERROR(__xludf.DUMMYFUNCTION("GOOGLETRANSLATE(G511,""pl"",""en"")"),"Stargard, Stargard, West Pomeranian")</f>
        <v>Stargard, Stargard, West Pomeranian</v>
      </c>
      <c r="I511" s="1" t="b">
        <v>1</v>
      </c>
      <c r="J511" s="1" t="s">
        <v>21</v>
      </c>
      <c r="K511" s="1" t="s">
        <v>22</v>
      </c>
      <c r="L511" s="1" t="s">
        <v>2423</v>
      </c>
      <c r="M511" s="1">
        <v>6</v>
      </c>
      <c r="N511" s="1" t="s">
        <v>21</v>
      </c>
      <c r="O511" s="1" t="str">
        <f ca="1">IFERROR(__xludf.DUMMYFUNCTION("GOOGLETRANSLATE(N511,""pl"",""en"")"),"null")</f>
        <v>null</v>
      </c>
      <c r="P511" s="3" t="s">
        <v>2424</v>
      </c>
      <c r="Q511" s="1" t="b">
        <v>1</v>
      </c>
      <c r="R511" s="1" t="s">
        <v>2425</v>
      </c>
    </row>
    <row r="512" spans="1:18" x14ac:dyDescent="0.25">
      <c r="A512" s="2">
        <v>45308</v>
      </c>
      <c r="B512" s="1" t="s">
        <v>2426</v>
      </c>
      <c r="C512" s="1" t="str">
        <f ca="1">IFERROR(__xludf.DUMMYFUNCTION("GOOGLETRANSLATE(B512,""pl"",""en"")"),"15 minutes on foot from the subway, garden 42 meters")</f>
        <v>15 minutes on foot from the subway, garden 42 meters</v>
      </c>
      <c r="D512" s="1">
        <v>1374938</v>
      </c>
      <c r="E512" s="1" t="s">
        <v>33</v>
      </c>
      <c r="F512" s="1">
        <v>62.51</v>
      </c>
      <c r="G512" s="1" t="s">
        <v>2427</v>
      </c>
      <c r="H512" s="1" t="str">
        <f ca="1">IFERROR(__xludf.DUMMYFUNCTION("GOOGLETRANSLATE(G512,""pl"",""en"")"),"Eucalyptusowa, Stegny, Mokotów, Warsaw, Masovian Voivodeship")</f>
        <v>Eucalyptusowa, Stegny, Mokotów, Warsaw, Masovian Voivodeship</v>
      </c>
      <c r="I512" s="1" t="s">
        <v>21</v>
      </c>
      <c r="J512" s="1" t="s">
        <v>21</v>
      </c>
      <c r="K512" s="1" t="s">
        <v>22</v>
      </c>
      <c r="L512" s="1" t="s">
        <v>2428</v>
      </c>
      <c r="M512" s="1">
        <v>3</v>
      </c>
      <c r="N512" s="1" t="s">
        <v>24</v>
      </c>
      <c r="O512" s="1" t="str">
        <f ca="1">IFERROR(__xludf.DUMMYFUNCTION("GOOGLETRANSLATE(N512,""pl"",""en"")"),"full ownership")</f>
        <v>full ownership</v>
      </c>
      <c r="P512" s="3" t="s">
        <v>2429</v>
      </c>
      <c r="Q512" s="1" t="b">
        <v>1</v>
      </c>
      <c r="R512" s="1" t="s">
        <v>2430</v>
      </c>
    </row>
    <row r="513" spans="1:18" x14ac:dyDescent="0.25">
      <c r="A513" s="2">
        <v>45308</v>
      </c>
      <c r="B513" s="1" t="s">
        <v>2431</v>
      </c>
      <c r="C513" s="1" t="str">
        <f ca="1">IFERROR(__xludf.DUMMYFUNCTION("GOOGLETRANSLATE(B513,""pl"",""en"")"),"2 -room apartment Człuchów, Ględowo")</f>
        <v>2 -room apartment Człuchów, Ględowo</v>
      </c>
      <c r="D513" s="1">
        <v>300000</v>
      </c>
      <c r="E513" s="1" t="s">
        <v>33</v>
      </c>
      <c r="F513" s="1">
        <v>63.92</v>
      </c>
      <c r="G513" s="1" t="s">
        <v>2432</v>
      </c>
      <c r="H513" s="1" t="str">
        <f ca="1">IFERROR(__xludf.DUMMYFUNCTION("GOOGLETRANSLATE(G513,""pl"",""en"")"),"Ględowo, Człuchów, Człuchowski, Pomeranian Voivodeship")</f>
        <v>Ględowo, Człuchów, Człuchowski, Pomeranian Voivodeship</v>
      </c>
      <c r="I513" s="1" t="b">
        <v>1</v>
      </c>
      <c r="J513" s="1" t="s">
        <v>21</v>
      </c>
      <c r="K513" s="1" t="s">
        <v>22</v>
      </c>
      <c r="L513" s="1" t="s">
        <v>2433</v>
      </c>
      <c r="M513" s="1">
        <v>2</v>
      </c>
      <c r="N513" s="1" t="s">
        <v>24</v>
      </c>
      <c r="O513" s="1" t="str">
        <f ca="1">IFERROR(__xludf.DUMMYFUNCTION("GOOGLETRANSLATE(N513,""pl"",""en"")"),"full ownership")</f>
        <v>full ownership</v>
      </c>
      <c r="P513" s="3" t="s">
        <v>2434</v>
      </c>
      <c r="Q513" s="1" t="b">
        <v>1</v>
      </c>
      <c r="R513" s="1" t="s">
        <v>2435</v>
      </c>
    </row>
    <row r="514" spans="1:18" x14ac:dyDescent="0.25">
      <c r="A514" s="2">
        <v>45308</v>
      </c>
      <c r="B514" s="1" t="s">
        <v>2436</v>
      </c>
      <c r="C514" s="1" t="str">
        <f ca="1">IFERROR(__xludf.DUMMYFUNCTION("GOOGLETRANSLATE(B514,""pl"",""en"")"),"Booking directly! Apartment 3 rooms,")</f>
        <v>Booking directly! Apartment 3 rooms,</v>
      </c>
      <c r="D514" s="1">
        <v>699000</v>
      </c>
      <c r="E514" s="1" t="s">
        <v>33</v>
      </c>
      <c r="F514" s="1">
        <v>58.24</v>
      </c>
      <c r="G514" s="1" t="s">
        <v>4693</v>
      </c>
      <c r="H514" s="1" t="str">
        <f ca="1">IFERROR(__xludf.DUMMYFUNCTION("GOOGLETRANSLATE(G514,""pl"",""en"")"),"street. Sielawy, Naramowice, Stare Miasto, Poznań, Greater Poland")</f>
        <v>street. Sielawy, Naramowice, Stare Miasto, Poznań, Greater Poland</v>
      </c>
      <c r="I514" s="1" t="s">
        <v>21</v>
      </c>
      <c r="J514" s="1" t="s">
        <v>21</v>
      </c>
      <c r="K514" s="1" t="s">
        <v>45</v>
      </c>
      <c r="L514" s="1" t="s">
        <v>2437</v>
      </c>
      <c r="M514" s="1">
        <v>3</v>
      </c>
      <c r="N514" s="1" t="s">
        <v>24</v>
      </c>
      <c r="O514" s="1" t="str">
        <f ca="1">IFERROR(__xludf.DUMMYFUNCTION("GOOGLETRANSLATE(N514,""pl"",""en"")"),"full ownership")</f>
        <v>full ownership</v>
      </c>
      <c r="P514" s="3" t="s">
        <v>2438</v>
      </c>
      <c r="Q514" s="1" t="b">
        <v>1</v>
      </c>
      <c r="R514" s="1" t="s">
        <v>2439</v>
      </c>
    </row>
    <row r="515" spans="1:18" x14ac:dyDescent="0.25">
      <c r="A515" s="2">
        <v>45308</v>
      </c>
      <c r="B515" s="1" t="s">
        <v>2440</v>
      </c>
      <c r="C515" s="1" t="str">
        <f ca="1">IFERROR(__xludf.DUMMYFUNCTION("GOOGLETRANSLATE(B515,""pl"",""en"")"),"Spa apartments in Krasnobród- for sale")</f>
        <v>Spa apartments in Krasnobród- for sale</v>
      </c>
      <c r="D515" s="1">
        <v>2980000</v>
      </c>
      <c r="E515" s="1" t="s">
        <v>33</v>
      </c>
      <c r="F515" s="1">
        <v>150</v>
      </c>
      <c r="G515" s="1" t="s">
        <v>2441</v>
      </c>
      <c r="H515" s="1" t="str">
        <f ca="1">IFERROR(__xludf.DUMMYFUNCTION("GOOGLETRANSLATE(G515,""pl"",""en"")"),"street. Sikorskiego, Krasnobród, Krasnobród, Zamojski, Lublin Voivodeship")</f>
        <v>street. Sikorskiego, Krasnobród, Krasnobród, Zamojski, Lublin Voivodeship</v>
      </c>
      <c r="I515" s="1" t="b">
        <v>1</v>
      </c>
      <c r="J515" s="1" t="s">
        <v>21</v>
      </c>
      <c r="K515" s="1" t="s">
        <v>22</v>
      </c>
      <c r="L515" s="1" t="s">
        <v>2442</v>
      </c>
      <c r="M515" s="1">
        <v>5</v>
      </c>
      <c r="N515" s="1" t="s">
        <v>21</v>
      </c>
      <c r="O515" s="1" t="str">
        <f ca="1">IFERROR(__xludf.DUMMYFUNCTION("GOOGLETRANSLATE(N515,""pl"",""en"")"),"null")</f>
        <v>null</v>
      </c>
      <c r="P515" s="3" t="s">
        <v>2443</v>
      </c>
      <c r="Q515" s="1" t="b">
        <v>1</v>
      </c>
      <c r="R515" s="1" t="s">
        <v>2444</v>
      </c>
    </row>
    <row r="516" spans="1:18" x14ac:dyDescent="0.25">
      <c r="A516" s="2">
        <v>45308</v>
      </c>
      <c r="B516" s="1" t="s">
        <v>2445</v>
      </c>
      <c r="C516" s="1" t="str">
        <f ca="1">IFERROR(__xludf.DUMMYFUNCTION("GOOGLETRANSLATE(B516,""pl"",""en"")"),"Two rooms with a garden in Dąbie -for renovation!")</f>
        <v>Two rooms with a garden in Dąbie -for renovation!</v>
      </c>
      <c r="D516" s="1">
        <v>259000</v>
      </c>
      <c r="E516" s="1" t="s">
        <v>33</v>
      </c>
      <c r="F516" s="1">
        <v>56.2</v>
      </c>
      <c r="G516" s="1" t="s">
        <v>2446</v>
      </c>
      <c r="H516" s="1" t="str">
        <f ca="1">IFERROR(__xludf.DUMMYFUNCTION("GOOGLETRANSLATE(G516,""pl"",""en"")"),"Dąbie, Prawobrzeże, Szczecin, West Pomeranian Voivodeship")</f>
        <v>Dąbie, Prawobrzeże, Szczecin, West Pomeranian Voivodeship</v>
      </c>
      <c r="I516" s="1" t="s">
        <v>21</v>
      </c>
      <c r="J516" s="1" t="s">
        <v>21</v>
      </c>
      <c r="K516" s="1" t="s">
        <v>22</v>
      </c>
      <c r="L516" s="1" t="s">
        <v>2447</v>
      </c>
      <c r="M516" s="1">
        <v>2</v>
      </c>
      <c r="N516" s="1" t="s">
        <v>24</v>
      </c>
      <c r="O516" s="1" t="str">
        <f ca="1">IFERROR(__xludf.DUMMYFUNCTION("GOOGLETRANSLATE(N516,""pl"",""en"")"),"full ownership")</f>
        <v>full ownership</v>
      </c>
      <c r="P516" s="3" t="s">
        <v>2448</v>
      </c>
      <c r="Q516" s="1" t="b">
        <v>1</v>
      </c>
      <c r="R516" s="1" t="s">
        <v>2449</v>
      </c>
    </row>
    <row r="517" spans="1:18" x14ac:dyDescent="0.25">
      <c r="A517" s="2">
        <v>45308</v>
      </c>
      <c r="B517" s="1" t="s">
        <v>2450</v>
      </c>
      <c r="C517" s="1" t="str">
        <f ca="1">IFERROR(__xludf.DUMMYFUNCTION("GOOGLETRANSLATE(B517,""pl"",""en"")"),"Apartment, 65 m², Gorzów Wielkopolski")</f>
        <v>Apartment, 65 m², Gorzów Wielkopolski</v>
      </c>
      <c r="D517" s="1">
        <v>399000</v>
      </c>
      <c r="E517" s="1" t="s">
        <v>33</v>
      </c>
      <c r="F517" s="1">
        <v>65</v>
      </c>
      <c r="G517" s="1" t="s">
        <v>4841</v>
      </c>
      <c r="H517" s="1" t="str">
        <f ca="1">IFERROR(__xludf.DUMMYFUNCTION("GOOGLETRANSLATE(G517,""pl"",""en"")"),"Gorzów Wielkopolski, Lubusz Voivodeship")</f>
        <v>Gorzów Wielkopolski, Lubusz Voivodeship</v>
      </c>
      <c r="I517" s="1" t="s">
        <v>21</v>
      </c>
      <c r="J517" s="1" t="s">
        <v>21</v>
      </c>
      <c r="K517" s="1" t="s">
        <v>22</v>
      </c>
      <c r="L517" s="1" t="s">
        <v>2451</v>
      </c>
      <c r="M517" s="1">
        <v>3</v>
      </c>
      <c r="N517" s="1" t="s">
        <v>24</v>
      </c>
      <c r="O517" s="1" t="str">
        <f ca="1">IFERROR(__xludf.DUMMYFUNCTION("GOOGLETRANSLATE(N517,""pl"",""en"")"),"full ownership")</f>
        <v>full ownership</v>
      </c>
      <c r="P517" s="3" t="s">
        <v>2452</v>
      </c>
      <c r="Q517" s="1" t="b">
        <v>1</v>
      </c>
      <c r="R517" s="1" t="s">
        <v>2453</v>
      </c>
    </row>
    <row r="518" spans="1:18" x14ac:dyDescent="0.25">
      <c r="A518" s="2">
        <v>45308</v>
      </c>
      <c r="B518" s="1" t="s">
        <v>2454</v>
      </c>
      <c r="C518" s="1" t="str">
        <f ca="1">IFERROR(__xludf.DUMMYFUNCTION("GOOGLETRANSLATE(B518,""pl"",""en"")"),"Oława Apartments with gardens-3F-3J-work acceptance")</f>
        <v>Oława Apartments with gardens-3F-3J-work acceptance</v>
      </c>
      <c r="D518" s="1">
        <v>598997</v>
      </c>
      <c r="E518" s="1" t="s">
        <v>19</v>
      </c>
      <c r="F518" s="1">
        <v>91.45</v>
      </c>
      <c r="G518" s="1" t="s">
        <v>2455</v>
      </c>
      <c r="H518" s="1" t="str">
        <f ca="1">IFERROR(__xludf.DUMMYFUNCTION("GOOGLETRANSLATE(G518,""pl"",""en"")"),"Godzikowice, Oława, Oławski, DolnoSilesian Voivodeship")</f>
        <v>Godzikowice, Oława, Oławski, DolnoSilesian Voivodeship</v>
      </c>
      <c r="I518" s="1" t="s">
        <v>21</v>
      </c>
      <c r="J518" s="1" t="s">
        <v>21</v>
      </c>
      <c r="K518" s="1" t="s">
        <v>22</v>
      </c>
      <c r="L518" s="1" t="s">
        <v>2456</v>
      </c>
      <c r="M518" s="1">
        <v>4</v>
      </c>
      <c r="N518" s="1" t="s">
        <v>24</v>
      </c>
      <c r="O518" s="1" t="str">
        <f ca="1">IFERROR(__xludf.DUMMYFUNCTION("GOOGLETRANSLATE(N518,""pl"",""en"")"),"full ownership")</f>
        <v>full ownership</v>
      </c>
      <c r="P518" s="3" t="s">
        <v>2457</v>
      </c>
      <c r="Q518" s="1" t="b">
        <v>1</v>
      </c>
      <c r="R518" s="1" t="s">
        <v>2458</v>
      </c>
    </row>
    <row r="519" spans="1:18" x14ac:dyDescent="0.25">
      <c r="A519" s="2">
        <v>45308</v>
      </c>
      <c r="B519" s="1" t="s">
        <v>2459</v>
      </c>
      <c r="C519" s="1" t="str">
        <f ca="1">IFERROR(__xludf.DUMMYFUNCTION("GOOGLETRANSLATE(B519,""pl"",""en"")"),"2 -room apartment with a garden near the center")</f>
        <v>2 -room apartment with a garden near the center</v>
      </c>
      <c r="D519" s="1">
        <v>599000</v>
      </c>
      <c r="E519" s="1" t="s">
        <v>33</v>
      </c>
      <c r="F519" s="1">
        <v>56</v>
      </c>
      <c r="G519" s="1" t="s">
        <v>2460</v>
      </c>
      <c r="H519" s="1" t="str">
        <f ca="1">IFERROR(__xludf.DUMMYFUNCTION("GOOGLETRANSLATE(G519,""pl"",""en"")"),"Grodzisk Mazowiecki, Grodzisk Mazowiecki, Grodziski, Masovian Voivodeship")</f>
        <v>Grodzisk Mazowiecki, Grodzisk Mazowiecki, Grodziski, Masovian Voivodeship</v>
      </c>
      <c r="I519" s="1" t="s">
        <v>21</v>
      </c>
      <c r="J519" s="1" t="s">
        <v>21</v>
      </c>
      <c r="K519" s="1" t="s">
        <v>22</v>
      </c>
      <c r="L519" s="1" t="s">
        <v>2461</v>
      </c>
      <c r="M519" s="1">
        <v>2</v>
      </c>
      <c r="N519" s="1" t="s">
        <v>24</v>
      </c>
      <c r="O519" s="1" t="str">
        <f ca="1">IFERROR(__xludf.DUMMYFUNCTION("GOOGLETRANSLATE(N519,""pl"",""en"")"),"full ownership")</f>
        <v>full ownership</v>
      </c>
      <c r="P519" s="3" t="s">
        <v>2462</v>
      </c>
      <c r="Q519" s="1" t="b">
        <v>1</v>
      </c>
      <c r="R519" s="1" t="s">
        <v>2463</v>
      </c>
    </row>
    <row r="520" spans="1:18" x14ac:dyDescent="0.25">
      <c r="A520" s="2">
        <v>45308</v>
      </c>
      <c r="B520" s="1" t="s">
        <v>2464</v>
      </c>
      <c r="C520" s="1" t="str">
        <f ca="1">IFERROR(__xludf.DUMMYFUNCTION("GOOGLETRANSLATE(B520,""pl"",""en"")"),"2 Room/ Warsaw Śródmieście/ ul. Hawch")</f>
        <v>2 Room/ Warsaw Śródmieście/ ul. Hawch</v>
      </c>
      <c r="D520" s="1">
        <v>1355000</v>
      </c>
      <c r="E520" s="1" t="s">
        <v>33</v>
      </c>
      <c r="F520" s="1">
        <v>56.49</v>
      </c>
      <c r="G520" s="1" t="s">
        <v>2465</v>
      </c>
      <c r="H520" s="1" t="str">
        <f ca="1">IFERROR(__xludf.DUMMYFUNCTION("GOOGLETRANSLATE(G520,""pl"",""en"")"),"street. Zajęcza, Powiśle, Śródmieście, Warsaw, Masovian Voivodeship")</f>
        <v>street. Zajęcza, Powiśle, Śródmieście, Warsaw, Masovian Voivodeship</v>
      </c>
      <c r="I520" s="1" t="s">
        <v>21</v>
      </c>
      <c r="J520" s="1" t="s">
        <v>21</v>
      </c>
      <c r="K520" s="1" t="s">
        <v>22</v>
      </c>
      <c r="L520" s="1" t="s">
        <v>2466</v>
      </c>
      <c r="M520" s="1">
        <v>2</v>
      </c>
      <c r="N520" s="1" t="s">
        <v>24</v>
      </c>
      <c r="O520" s="1" t="str">
        <f ca="1">IFERROR(__xludf.DUMMYFUNCTION("GOOGLETRANSLATE(N520,""pl"",""en"")"),"full ownership")</f>
        <v>full ownership</v>
      </c>
      <c r="P520" s="3" t="s">
        <v>2467</v>
      </c>
      <c r="Q520" s="1" t="b">
        <v>1</v>
      </c>
      <c r="R520" s="1" t="s">
        <v>2468</v>
      </c>
    </row>
    <row r="521" spans="1:18" x14ac:dyDescent="0.25">
      <c r="A521" s="2">
        <v>45308</v>
      </c>
      <c r="B521" s="1" t="s">
        <v>2469</v>
      </c>
      <c r="C521" s="1" t="str">
        <f ca="1">IFERROR(__xludf.DUMMYFUNCTION("GOOGLETRANSLATE(B521,""pl"",""en"")"),"Apartment - Toruń")</f>
        <v>Apartment - Toruń</v>
      </c>
      <c r="D521" s="1">
        <v>469000</v>
      </c>
      <c r="E521" s="1" t="s">
        <v>33</v>
      </c>
      <c r="F521" s="1">
        <v>56.77</v>
      </c>
      <c r="G521" s="1" t="s">
        <v>2470</v>
      </c>
      <c r="H521" s="1" t="str">
        <f ca="1">IFERROR(__xludf.DUMMYFUNCTION("GOOGLETRANSLATE(G521,""pl"",""en"")"),"street. Gdańska, Bielawy, Toruń, Kujawsko-Pomeranian Voivodeship")</f>
        <v>street. Gdańska, Bielawy, Toruń, Kujawsko-Pomeranian Voivodeship</v>
      </c>
      <c r="I521" s="1" t="s">
        <v>21</v>
      </c>
      <c r="J521" s="1" t="s">
        <v>21</v>
      </c>
      <c r="K521" s="1" t="s">
        <v>22</v>
      </c>
      <c r="L521" s="1" t="s">
        <v>2471</v>
      </c>
      <c r="M521" s="1">
        <v>3</v>
      </c>
      <c r="N521" s="1" t="s">
        <v>24</v>
      </c>
      <c r="O521" s="1" t="str">
        <f ca="1">IFERROR(__xludf.DUMMYFUNCTION("GOOGLETRANSLATE(N521,""pl"",""en"")"),"full ownership")</f>
        <v>full ownership</v>
      </c>
      <c r="P521" s="3" t="s">
        <v>2472</v>
      </c>
      <c r="Q521" s="1" t="b">
        <v>1</v>
      </c>
      <c r="R521" s="1" t="s">
        <v>2473</v>
      </c>
    </row>
    <row r="522" spans="1:18" x14ac:dyDescent="0.25">
      <c r="A522" s="2">
        <v>45308</v>
      </c>
      <c r="B522" s="1" t="s">
        <v>2474</v>
      </c>
      <c r="C522" s="1" t="str">
        <f ca="1">IFERROR(__xludf.DUMMYFUNCTION("GOOGLETRANSLATE(B522,""pl"",""en"")"),"Occasion/cheap !!!/Wrocław/Dolnobrzeska/Leśnica/3POK")</f>
        <v>Occasion/cheap !!!/Wrocław/Dolnobrzeska/Leśnica/3POK</v>
      </c>
      <c r="D522" s="1">
        <v>319000</v>
      </c>
      <c r="E522" s="1" t="s">
        <v>33</v>
      </c>
      <c r="F522" s="1">
        <v>74.5</v>
      </c>
      <c r="G522" s="1" t="s">
        <v>470</v>
      </c>
      <c r="H522" s="1" t="str">
        <f ca="1">IFERROR(__xludf.DUMMYFUNCTION("GOOGLETRANSLATE(G522,""pl"",""en"")"),"Leśnica, Fabryczna, Wrocław, DolnoSilesian Voivodeship")</f>
        <v>Leśnica, Fabryczna, Wrocław, DolnoSilesian Voivodeship</v>
      </c>
      <c r="I522" s="1" t="s">
        <v>21</v>
      </c>
      <c r="J522" s="1" t="s">
        <v>21</v>
      </c>
      <c r="K522" s="1" t="s">
        <v>22</v>
      </c>
      <c r="L522" s="1" t="s">
        <v>2475</v>
      </c>
      <c r="M522" s="1">
        <v>3</v>
      </c>
      <c r="N522" s="1" t="s">
        <v>24</v>
      </c>
      <c r="O522" s="1" t="str">
        <f ca="1">IFERROR(__xludf.DUMMYFUNCTION("GOOGLETRANSLATE(N522,""pl"",""en"")"),"full ownership")</f>
        <v>full ownership</v>
      </c>
      <c r="P522" s="3" t="s">
        <v>2476</v>
      </c>
      <c r="Q522" s="1" t="b">
        <v>1</v>
      </c>
      <c r="R522" s="1" t="s">
        <v>2477</v>
      </c>
    </row>
    <row r="523" spans="1:18" x14ac:dyDescent="0.25">
      <c r="A523" s="2">
        <v>45308</v>
      </c>
      <c r="B523" s="1" t="s">
        <v>2478</v>
      </c>
      <c r="C523" s="1" t="str">
        <f ca="1">IFERROR(__xludf.DUMMYFUNCTION("GOOGLETRANSLATE(B523,""pl"",""en"")"),"A finished house on a beautiful plot near Lublin")</f>
        <v>A finished house on a beautiful plot near Lublin</v>
      </c>
      <c r="D523" s="1">
        <v>529500</v>
      </c>
      <c r="E523" s="1" t="s">
        <v>33</v>
      </c>
      <c r="F523" s="1">
        <v>64</v>
      </c>
      <c r="G523" s="1" t="s">
        <v>2479</v>
      </c>
      <c r="H523" s="1" t="str">
        <f ca="1">IFERROR(__xludf.DUMMYFUNCTION("GOOGLETRANSLATE(G523,""pl"",""en"")"),"Radawiec Duży, Konopnica, Lublin, Lublin")</f>
        <v>Radawiec Duży, Konopnica, Lublin, Lublin</v>
      </c>
      <c r="I523" s="1" t="b">
        <v>1</v>
      </c>
      <c r="J523" s="1" t="s">
        <v>21</v>
      </c>
      <c r="K523" s="1" t="s">
        <v>22</v>
      </c>
      <c r="L523" s="1" t="s">
        <v>2480</v>
      </c>
      <c r="M523" s="1">
        <v>2</v>
      </c>
      <c r="N523" s="1" t="s">
        <v>21</v>
      </c>
      <c r="O523" s="1" t="str">
        <f ca="1">IFERROR(__xludf.DUMMYFUNCTION("GOOGLETRANSLATE(N523,""pl"",""en"")"),"null")</f>
        <v>null</v>
      </c>
      <c r="P523" s="3" t="s">
        <v>2481</v>
      </c>
      <c r="Q523" s="1" t="b">
        <v>1</v>
      </c>
      <c r="R523" s="1" t="s">
        <v>2482</v>
      </c>
    </row>
    <row r="524" spans="1:18" x14ac:dyDescent="0.25">
      <c r="A524" s="2">
        <v>45308</v>
      </c>
      <c r="B524" s="1" t="s">
        <v>2483</v>
      </c>
      <c r="C524" s="1" t="str">
        <f ca="1">IFERROR(__xludf.DUMMYFUNCTION("GOOGLETRANSLATE(B524,""pl"",""en"")"),"New renovated apartments with a garden")</f>
        <v>New renovated apartments with a garden</v>
      </c>
      <c r="D524" s="1">
        <v>300000</v>
      </c>
      <c r="E524" s="1" t="s">
        <v>33</v>
      </c>
      <c r="F524" s="1">
        <v>58.1</v>
      </c>
      <c r="G524" s="1" t="s">
        <v>2484</v>
      </c>
      <c r="H524" s="1" t="str">
        <f ca="1">IFERROR(__xludf.DUMMYFUNCTION("GOOGLETRANSLATE(G524,""pl"",""en"")"),"Norżyn, Siemyśl, Kołobrzeski, West Pomeranian Voivodeship")</f>
        <v>Norżyn, Siemyśl, Kołobrzeski, West Pomeranian Voivodeship</v>
      </c>
      <c r="I524" s="1" t="s">
        <v>21</v>
      </c>
      <c r="J524" s="1" t="s">
        <v>21</v>
      </c>
      <c r="K524" s="1" t="s">
        <v>22</v>
      </c>
      <c r="L524" s="1" t="s">
        <v>2485</v>
      </c>
      <c r="M524" s="1">
        <v>1</v>
      </c>
      <c r="N524" s="1" t="s">
        <v>24</v>
      </c>
      <c r="O524" s="1" t="str">
        <f ca="1">IFERROR(__xludf.DUMMYFUNCTION("GOOGLETRANSLATE(N524,""pl"",""en"")"),"full ownership")</f>
        <v>full ownership</v>
      </c>
      <c r="P524" s="3" t="s">
        <v>2486</v>
      </c>
      <c r="Q524" s="1" t="b">
        <v>1</v>
      </c>
      <c r="R524" s="1" t="s">
        <v>2487</v>
      </c>
    </row>
    <row r="525" spans="1:18" x14ac:dyDescent="0.25">
      <c r="A525" s="2">
        <v>45308</v>
      </c>
      <c r="B525" s="1" t="s">
        <v>2488</v>
      </c>
      <c r="C525" s="1" t="str">
        <f ca="1">IFERROR(__xludf.DUMMYFUNCTION("GOOGLETRANSLATE(B525,""pl"",""en"")"),"2 -room apartment with mezzanine, Fabryczna")</f>
        <v>2 -room apartment with mezzanine, Fabryczna</v>
      </c>
      <c r="D525" s="1">
        <v>680894</v>
      </c>
      <c r="E525" s="1" t="s">
        <v>19</v>
      </c>
      <c r="F525" s="1">
        <v>69.52</v>
      </c>
      <c r="G525" s="1" t="s">
        <v>2489</v>
      </c>
      <c r="H525" s="1" t="str">
        <f ca="1">IFERROR(__xludf.DUMMYFUNCTION("GOOGLETRANSLATE(G525,""pl"",""en"")"),"street. Michał Wołodyjowski, Maślice, Fabryczna, Wrocław, Lower Silesia")</f>
        <v>street. Michał Wołodyjowski, Maślice, Fabryczna, Wrocław, Lower Silesia</v>
      </c>
      <c r="I525" s="1" t="s">
        <v>21</v>
      </c>
      <c r="J525" s="1" t="s">
        <v>21</v>
      </c>
      <c r="K525" s="1" t="s">
        <v>22</v>
      </c>
      <c r="L525" s="1" t="s">
        <v>2490</v>
      </c>
      <c r="M525" s="1">
        <v>2</v>
      </c>
      <c r="N525" s="1" t="s">
        <v>24</v>
      </c>
      <c r="O525" s="1" t="str">
        <f ca="1">IFERROR(__xludf.DUMMYFUNCTION("GOOGLETRANSLATE(N525,""pl"",""en"")"),"full ownership")</f>
        <v>full ownership</v>
      </c>
      <c r="P525" s="3" t="s">
        <v>2491</v>
      </c>
      <c r="Q525" s="1" t="b">
        <v>1</v>
      </c>
      <c r="R525" s="1" t="s">
        <v>2492</v>
      </c>
    </row>
    <row r="526" spans="1:18" x14ac:dyDescent="0.25">
      <c r="A526" s="2">
        <v>45308</v>
      </c>
      <c r="B526" s="1" t="s">
        <v>2493</v>
      </c>
      <c r="C526" s="1" t="str">
        <f ca="1">IFERROR(__xludf.DUMMYFUNCTION("GOOGLETRANSLATE(B526,""pl"",""en"")"),"Two apartment in one with the mezzanine Nowy Targ")</f>
        <v>Two apartment in one with the mezzanine Nowy Targ</v>
      </c>
      <c r="D526" s="1">
        <v>904220</v>
      </c>
      <c r="E526" s="1" t="s">
        <v>19</v>
      </c>
      <c r="F526" s="1">
        <v>64.94</v>
      </c>
      <c r="G526" s="1" t="s">
        <v>4773</v>
      </c>
      <c r="H526" s="1" t="str">
        <f ca="1">IFERROR(__xludf.DUMMYFUNCTION("GOOGLETRANSLATE(G526,""pl"",""en"")"),"street. Władysława Orkan, Nowy Targ, Nowotarski, Lesser Poland")</f>
        <v>street. Władysława Orkan, Nowy Targ, Nowotarski, Lesser Poland</v>
      </c>
      <c r="I526" s="1" t="s">
        <v>21</v>
      </c>
      <c r="J526" s="1" t="s">
        <v>21</v>
      </c>
      <c r="K526" s="1" t="s">
        <v>22</v>
      </c>
      <c r="L526" s="1" t="s">
        <v>2494</v>
      </c>
      <c r="M526" s="1">
        <v>3</v>
      </c>
      <c r="N526" s="1" t="s">
        <v>24</v>
      </c>
      <c r="O526" s="1" t="str">
        <f ca="1">IFERROR(__xludf.DUMMYFUNCTION("GOOGLETRANSLATE(N526,""pl"",""en"")"),"full ownership")</f>
        <v>full ownership</v>
      </c>
      <c r="P526" s="3" t="s">
        <v>2495</v>
      </c>
      <c r="Q526" s="1" t="b">
        <v>1</v>
      </c>
      <c r="R526" s="1" t="s">
        <v>2496</v>
      </c>
    </row>
    <row r="527" spans="1:18" x14ac:dyDescent="0.25">
      <c r="A527" s="2">
        <v>45308</v>
      </c>
      <c r="B527" s="1" t="s">
        <v>2497</v>
      </c>
      <c r="C527" s="1" t="str">
        <f ca="1">IFERROR(__xludf.DUMMYFUNCTION("GOOGLETRANSLATE(B527,""pl"",""en"")"),"New apartment in the center, ready to be introduced")</f>
        <v>New apartment in the center, ready to be introduced</v>
      </c>
      <c r="D527" s="1">
        <v>275000</v>
      </c>
      <c r="E527" s="1" t="s">
        <v>19</v>
      </c>
      <c r="F527" s="1">
        <v>26</v>
      </c>
      <c r="G527" s="1" t="s">
        <v>2498</v>
      </c>
      <c r="H527" s="1" t="str">
        <f ca="1">IFERROR(__xludf.DUMMYFUNCTION("GOOGLETRANSLATE(G527,""pl"",""en"")"),"street. Gdańska, Stare Polesie, Polesie, Łódź, Łódź")</f>
        <v>street. Gdańska, Stare Polesie, Polesie, Łódź, Łódź</v>
      </c>
      <c r="I527" s="1" t="s">
        <v>21</v>
      </c>
      <c r="J527" s="1" t="s">
        <v>21</v>
      </c>
      <c r="K527" s="1" t="s">
        <v>22</v>
      </c>
      <c r="L527" s="1" t="s">
        <v>2499</v>
      </c>
      <c r="M527" s="1">
        <v>1</v>
      </c>
      <c r="N527" s="1" t="s">
        <v>24</v>
      </c>
      <c r="O527" s="1" t="str">
        <f ca="1">IFERROR(__xludf.DUMMYFUNCTION("GOOGLETRANSLATE(N527,""pl"",""en"")"),"full ownership")</f>
        <v>full ownership</v>
      </c>
      <c r="P527" s="3" t="s">
        <v>2500</v>
      </c>
      <c r="Q527" s="1" t="b">
        <v>1</v>
      </c>
      <c r="R527" s="1" t="s">
        <v>2501</v>
      </c>
    </row>
    <row r="528" spans="1:18" x14ac:dyDescent="0.25">
      <c r="A528" s="2">
        <v>45308</v>
      </c>
      <c r="B528" s="1" t="s">
        <v>2502</v>
      </c>
      <c r="C528" s="1" t="str">
        <f ca="1">IFERROR(__xludf.DUMMYFUNCTION("GOOGLETRANSLATE(B528,""pl"",""en"")"),"A luxurious apartment in a quiet area")</f>
        <v>A luxurious apartment in a quiet area</v>
      </c>
      <c r="D528" s="1">
        <v>3500000</v>
      </c>
      <c r="E528" s="1" t="s">
        <v>33</v>
      </c>
      <c r="F528" s="1">
        <v>155.88999999999999</v>
      </c>
      <c r="G528" s="1" t="s">
        <v>2503</v>
      </c>
      <c r="H528" s="1" t="str">
        <f ca="1">IFERROR(__xludf.DUMMYFUNCTION("GOOGLETRANSLATE(G528,""pl"",""en"")"),"Silver Świerków, Stegny, Mokotów, Warsaw, Masovian Voivodeship")</f>
        <v>Silver Świerków, Stegny, Mokotów, Warsaw, Masovian Voivodeship</v>
      </c>
      <c r="I528" s="1" t="s">
        <v>21</v>
      </c>
      <c r="J528" s="1" t="s">
        <v>21</v>
      </c>
      <c r="K528" s="1" t="s">
        <v>22</v>
      </c>
      <c r="L528" s="1" t="s">
        <v>2504</v>
      </c>
      <c r="M528" s="1">
        <v>4</v>
      </c>
      <c r="N528" s="1" t="s">
        <v>24</v>
      </c>
      <c r="O528" s="1" t="str">
        <f ca="1">IFERROR(__xludf.DUMMYFUNCTION("GOOGLETRANSLATE(N528,""pl"",""en"")"),"full ownership")</f>
        <v>full ownership</v>
      </c>
      <c r="P528" s="3" t="s">
        <v>2505</v>
      </c>
      <c r="Q528" s="1" t="b">
        <v>1</v>
      </c>
      <c r="R528" s="1" t="s">
        <v>2506</v>
      </c>
    </row>
    <row r="529" spans="1:18" x14ac:dyDescent="0.25">
      <c r="A529" s="2">
        <v>45308</v>
      </c>
      <c r="B529" s="1" t="s">
        <v>2507</v>
      </c>
      <c r="C529" s="1" t="str">
        <f ca="1">IFERROR(__xludf.DUMMYFUNCTION("GOOGLETRANSLATE(B529,""pl"",""en"")"),"Apartment 4 room, 88 m2, Ząbki ul. Extreme")</f>
        <v>Apartment 4 room, 88 m2, Ząbki ul. Extreme</v>
      </c>
      <c r="D529" s="1">
        <v>890214</v>
      </c>
      <c r="E529" s="1" t="s">
        <v>19</v>
      </c>
      <c r="F529" s="1">
        <v>88.14</v>
      </c>
      <c r="G529" s="1" t="s">
        <v>2508</v>
      </c>
      <c r="H529" s="1" t="str">
        <f ca="1">IFERROR(__xludf.DUMMYFUNCTION("GOOGLETRANSLATE(G529,""pl"",""en"")"),"Ząbki, Wołomiński, Masovian Voivodeship")</f>
        <v>Ząbki, Wołomiński, Masovian Voivodeship</v>
      </c>
      <c r="I529" s="1" t="s">
        <v>21</v>
      </c>
      <c r="J529" s="1" t="s">
        <v>21</v>
      </c>
      <c r="K529" s="1" t="s">
        <v>22</v>
      </c>
      <c r="L529" s="1" t="s">
        <v>2509</v>
      </c>
      <c r="M529" s="1">
        <v>4</v>
      </c>
      <c r="N529" s="1" t="s">
        <v>24</v>
      </c>
      <c r="O529" s="1" t="str">
        <f ca="1">IFERROR(__xludf.DUMMYFUNCTION("GOOGLETRANSLATE(N529,""pl"",""en"")"),"full ownership")</f>
        <v>full ownership</v>
      </c>
      <c r="P529" s="3" t="s">
        <v>2510</v>
      </c>
      <c r="Q529" s="1" t="b">
        <v>1</v>
      </c>
      <c r="R529" s="1" t="s">
        <v>2511</v>
      </c>
    </row>
    <row r="530" spans="1:18" x14ac:dyDescent="0.25">
      <c r="A530" s="2">
        <v>45308</v>
      </c>
      <c r="B530" s="1" t="s">
        <v>2512</v>
      </c>
      <c r="C530" s="1" t="str">
        <f ca="1">IFERROR(__xludf.DUMMYFUNCTION("GOOGLETRANSLATE(B530,""pl"",""en"")"),"3 rooms / 58.17 m / 3 floor / balcony 5.5 m")</f>
        <v>3 rooms / 58.17 m / 3 floor / balcony 5.5 m</v>
      </c>
      <c r="D530" s="1">
        <v>474085</v>
      </c>
      <c r="E530" s="1" t="s">
        <v>19</v>
      </c>
      <c r="F530" s="1">
        <v>58.17</v>
      </c>
      <c r="G530" s="1" t="s">
        <v>898</v>
      </c>
      <c r="H530" s="1" t="str">
        <f ca="1">IFERROR(__xludf.DUMMYFUNCTION("GOOGLETRANSLATE(G530,""pl"",""en"")"),"street. Decorative, Radom, Masovian Voivodeship")</f>
        <v>street. Decorative, Radom, Masovian Voivodeship</v>
      </c>
      <c r="I530" s="1" t="s">
        <v>21</v>
      </c>
      <c r="J530" s="1" t="s">
        <v>21</v>
      </c>
      <c r="K530" s="1" t="s">
        <v>22</v>
      </c>
      <c r="L530" s="1" t="s">
        <v>2513</v>
      </c>
      <c r="M530" s="1">
        <v>3</v>
      </c>
      <c r="N530" s="1" t="s">
        <v>24</v>
      </c>
      <c r="O530" s="1" t="str">
        <f ca="1">IFERROR(__xludf.DUMMYFUNCTION("GOOGLETRANSLATE(N530,""pl"",""en"")"),"full ownership")</f>
        <v>full ownership</v>
      </c>
      <c r="P530" s="3" t="s">
        <v>2514</v>
      </c>
      <c r="Q530" s="1" t="b">
        <v>1</v>
      </c>
      <c r="R530" s="1" t="s">
        <v>2515</v>
      </c>
    </row>
    <row r="531" spans="1:18" x14ac:dyDescent="0.25">
      <c r="A531" s="2">
        <v>45308</v>
      </c>
      <c r="B531" s="1" t="s">
        <v>2516</v>
      </c>
      <c r="C531" s="1" t="str">
        <f ca="1">IFERROR(__xludf.DUMMYFUNCTION("GOOGLETRANSLATE(B531,""pl"",""en"")"),"3-POK apartment. with kitchenette and garden")</f>
        <v>3-POK apartment. with kitchenette and garden</v>
      </c>
      <c r="D531" s="1">
        <v>715000</v>
      </c>
      <c r="E531" s="1" t="s">
        <v>33</v>
      </c>
      <c r="F531" s="1">
        <v>58</v>
      </c>
      <c r="G531" s="1" t="s">
        <v>1454</v>
      </c>
      <c r="H531" s="1" t="str">
        <f ca="1">IFERROR(__xludf.DUMMYFUNCTION("GOOGLETRANSLATE(G531,""pl"",""en"")"),"Wrotków, Lublin, Lublin Voivodeship")</f>
        <v>Wrotków, Lublin, Lublin Voivodeship</v>
      </c>
      <c r="I531" s="1" t="s">
        <v>21</v>
      </c>
      <c r="J531" s="1" t="s">
        <v>21</v>
      </c>
      <c r="K531" s="1" t="s">
        <v>45</v>
      </c>
      <c r="L531" s="1" t="s">
        <v>2517</v>
      </c>
      <c r="M531" s="1">
        <v>3</v>
      </c>
      <c r="N531" s="1" t="s">
        <v>24</v>
      </c>
      <c r="O531" s="1" t="str">
        <f ca="1">IFERROR(__xludf.DUMMYFUNCTION("GOOGLETRANSLATE(N531,""pl"",""en"")"),"full ownership")</f>
        <v>full ownership</v>
      </c>
      <c r="P531" s="3" t="s">
        <v>2518</v>
      </c>
      <c r="Q531" s="1" t="b">
        <v>1</v>
      </c>
      <c r="R531" s="1" t="s">
        <v>2519</v>
      </c>
    </row>
    <row r="532" spans="1:18" x14ac:dyDescent="0.25">
      <c r="A532" s="2">
        <v>45308</v>
      </c>
      <c r="B532" s="1" t="s">
        <v>2520</v>
      </c>
      <c r="C532" s="1" t="str">
        <f ca="1">IFERROR(__xludf.DUMMYFUNCTION("GOOGLETRANSLATE(B532,""pl"",""en"")"),"Osielsko 68m2 / great location")</f>
        <v>Osielsko 68m2 / great location</v>
      </c>
      <c r="D532" s="1">
        <v>685000</v>
      </c>
      <c r="E532" s="1" t="s">
        <v>33</v>
      </c>
      <c r="F532" s="1">
        <v>67.900000000000006</v>
      </c>
      <c r="G532" s="1" t="s">
        <v>2521</v>
      </c>
      <c r="H532" s="1" t="str">
        <f ca="1">IFERROR(__xludf.DUMMYFUNCTION("GOOGLETRANSLATE(G532,""pl"",""en"")"),"street. Tymiankowa, Osielsko, Osielsko, Bydgoszcz, Kuyavian-Pomeranian")</f>
        <v>street. Tymiankowa, Osielsko, Osielsko, Bydgoszcz, Kuyavian-Pomeranian</v>
      </c>
      <c r="I532" s="1" t="s">
        <v>21</v>
      </c>
      <c r="J532" s="1" t="s">
        <v>21</v>
      </c>
      <c r="K532" s="1" t="s">
        <v>22</v>
      </c>
      <c r="L532" s="1" t="s">
        <v>2522</v>
      </c>
      <c r="M532" s="1">
        <v>3</v>
      </c>
      <c r="N532" s="1" t="s">
        <v>24</v>
      </c>
      <c r="O532" s="1" t="str">
        <f ca="1">IFERROR(__xludf.DUMMYFUNCTION("GOOGLETRANSLATE(N532,""pl"",""en"")"),"full ownership")</f>
        <v>full ownership</v>
      </c>
      <c r="P532" s="3" t="s">
        <v>2523</v>
      </c>
      <c r="Q532" s="1" t="b">
        <v>1</v>
      </c>
      <c r="R532" s="1" t="s">
        <v>2524</v>
      </c>
    </row>
    <row r="533" spans="1:18" x14ac:dyDescent="0.25">
      <c r="A533" s="2">
        <v>45308</v>
      </c>
      <c r="B533" s="1" t="s">
        <v>2525</v>
      </c>
      <c r="C533" s="1" t="str">
        <f ca="1">IFERROR(__xludf.DUMMYFUNCTION("GOOGLETRANSLATE(B533,""pl"",""en"")"),"__ Attractive offer of a detached house __")</f>
        <v>__ Attractive offer of a detached house __</v>
      </c>
      <c r="D533" s="1">
        <v>934000</v>
      </c>
      <c r="E533" s="1" t="s">
        <v>33</v>
      </c>
      <c r="F533" s="1">
        <v>200</v>
      </c>
      <c r="G533" s="1" t="s">
        <v>4846</v>
      </c>
      <c r="H533" s="1" t="str">
        <f ca="1">IFERROR(__xludf.DUMMYFUNCTION("GOOGLETRANSLATE(G533,""pl"",""en"")"),"Łężyca, Zielona Góra, Lubusz Voivodeship")</f>
        <v>Łężyca, Zielona Góra, Lubusz Voivodeship</v>
      </c>
      <c r="I533" s="1" t="b">
        <v>1</v>
      </c>
      <c r="J533" s="1" t="s">
        <v>21</v>
      </c>
      <c r="K533" s="1" t="s">
        <v>22</v>
      </c>
      <c r="L533" s="1" t="s">
        <v>2526</v>
      </c>
      <c r="M533" s="1">
        <v>7</v>
      </c>
      <c r="N533" s="1" t="s">
        <v>21</v>
      </c>
      <c r="O533" s="1" t="str">
        <f ca="1">IFERROR(__xludf.DUMMYFUNCTION("GOOGLETRANSLATE(N533,""pl"",""en"")"),"null")</f>
        <v>null</v>
      </c>
      <c r="P533" s="3" t="s">
        <v>2527</v>
      </c>
      <c r="Q533" s="1" t="b">
        <v>1</v>
      </c>
      <c r="R533" s="1" t="s">
        <v>2528</v>
      </c>
    </row>
    <row r="534" spans="1:18" x14ac:dyDescent="0.25">
      <c r="A534" s="2">
        <v>45308</v>
      </c>
      <c r="B534" s="1" t="s">
        <v>2529</v>
      </c>
      <c r="C534" s="1" t="str">
        <f ca="1">IFERROR(__xludf.DUMMYFUNCTION("GOOGLETRANSLATE(B534,""pl"",""en"")"),"&gt; 40m2 High discounts Big balloon Great place")</f>
        <v>&gt; 40m2 High discounts Big balloon Great place</v>
      </c>
      <c r="D534" s="1">
        <v>408424</v>
      </c>
      <c r="E534" s="1" t="s">
        <v>19</v>
      </c>
      <c r="F534" s="1">
        <v>40.450000000000003</v>
      </c>
      <c r="G534" s="1" t="s">
        <v>2530</v>
      </c>
      <c r="H534" s="1" t="str">
        <f ca="1">IFERROR(__xludf.DUMMYFUNCTION("GOOGLETRANSLATE(G534,""pl"",""en"")"),"Stare Polesie, Polesie, Łódź, Łódź")</f>
        <v>Stare Polesie, Polesie, Łódź, Łódź</v>
      </c>
      <c r="I534" s="1" t="s">
        <v>21</v>
      </c>
      <c r="J534" s="1" t="s">
        <v>21</v>
      </c>
      <c r="K534" s="1" t="s">
        <v>22</v>
      </c>
      <c r="L534" s="1" t="s">
        <v>2531</v>
      </c>
      <c r="M534" s="1">
        <v>2</v>
      </c>
      <c r="N534" s="1" t="s">
        <v>24</v>
      </c>
      <c r="O534" s="1" t="str">
        <f ca="1">IFERROR(__xludf.DUMMYFUNCTION("GOOGLETRANSLATE(N534,""pl"",""en"")"),"full ownership")</f>
        <v>full ownership</v>
      </c>
      <c r="P534" s="3" t="s">
        <v>2532</v>
      </c>
      <c r="Q534" s="1" t="b">
        <v>1</v>
      </c>
      <c r="R534" s="1" t="s">
        <v>2533</v>
      </c>
    </row>
    <row r="535" spans="1:18" x14ac:dyDescent="0.25">
      <c r="A535" s="2">
        <v>45308</v>
      </c>
      <c r="B535" s="1" t="s">
        <v>2534</v>
      </c>
      <c r="C535" s="1" t="str">
        <f ca="1">IFERROR(__xludf.DUMMYFUNCTION("GOOGLETRANSLATE(B535,""pl"",""en"")"),"city ​​center, ground floor, rent -free")</f>
        <v>city ​​center, ground floor, rent -free</v>
      </c>
      <c r="D535" s="1">
        <v>289100</v>
      </c>
      <c r="E535" s="1" t="s">
        <v>33</v>
      </c>
      <c r="F535" s="1">
        <v>49</v>
      </c>
      <c r="G535" s="1" t="s">
        <v>4774</v>
      </c>
      <c r="H535" s="1" t="str">
        <f ca="1">IFERROR(__xludf.DUMMYFUNCTION("GOOGLETRANSLATE(G535,""pl"",""en"")"),"street. Average, Leszno, Greater Poland")</f>
        <v>street. Average, Leszno, Greater Poland</v>
      </c>
      <c r="I535" s="1" t="s">
        <v>21</v>
      </c>
      <c r="J535" s="1" t="s">
        <v>21</v>
      </c>
      <c r="K535" s="1" t="s">
        <v>45</v>
      </c>
      <c r="L535" s="1" t="s">
        <v>2535</v>
      </c>
      <c r="M535" s="1">
        <v>2</v>
      </c>
      <c r="N535" s="1" t="s">
        <v>24</v>
      </c>
      <c r="O535" s="1" t="str">
        <f ca="1">IFERROR(__xludf.DUMMYFUNCTION("GOOGLETRANSLATE(N535,""pl"",""en"")"),"full ownership")</f>
        <v>full ownership</v>
      </c>
      <c r="P535" s="3" t="s">
        <v>2536</v>
      </c>
      <c r="Q535" s="1" t="b">
        <v>1</v>
      </c>
      <c r="R535" s="1" t="s">
        <v>2537</v>
      </c>
    </row>
    <row r="536" spans="1:18" x14ac:dyDescent="0.25">
      <c r="A536" s="2">
        <v>45308</v>
      </c>
      <c r="B536" s="1" t="s">
        <v>2538</v>
      </c>
      <c r="C536" s="1" t="str">
        <f ca="1">IFERROR(__xludf.DUMMYFUNCTION("GOOGLETRANSLATE(B536,""pl"",""en"")"),"Lower price for a cash customer.")</f>
        <v>Lower price for a cash customer.</v>
      </c>
      <c r="D536" s="1">
        <v>649000</v>
      </c>
      <c r="E536" s="1" t="s">
        <v>19</v>
      </c>
      <c r="F536" s="1">
        <v>62.94</v>
      </c>
      <c r="G536" s="1" t="s">
        <v>4775</v>
      </c>
      <c r="H536" s="1" t="str">
        <f ca="1">IFERROR(__xludf.DUMMYFUNCTION("GOOGLETRANSLATE(G536,""pl"",""en"")"),"street. Kotowo, Kotowo, Grunwald, Poznań, Greater Poland")</f>
        <v>street. Kotowo, Kotowo, Grunwald, Poznań, Greater Poland</v>
      </c>
      <c r="I536" s="1" t="b">
        <v>1</v>
      </c>
      <c r="J536" s="1" t="s">
        <v>21</v>
      </c>
      <c r="K536" s="1" t="s">
        <v>22</v>
      </c>
      <c r="L536" s="1" t="s">
        <v>2539</v>
      </c>
      <c r="M536" s="1">
        <v>3</v>
      </c>
      <c r="N536" s="1" t="s">
        <v>24</v>
      </c>
      <c r="O536" s="1" t="str">
        <f ca="1">IFERROR(__xludf.DUMMYFUNCTION("GOOGLETRANSLATE(N536,""pl"",""en"")"),"full ownership")</f>
        <v>full ownership</v>
      </c>
      <c r="P536" s="3" t="s">
        <v>2540</v>
      </c>
      <c r="Q536" s="1" t="b">
        <v>1</v>
      </c>
      <c r="R536" s="1" t="s">
        <v>2541</v>
      </c>
    </row>
    <row r="537" spans="1:18" x14ac:dyDescent="0.25">
      <c r="A537" s="2">
        <v>45308</v>
      </c>
      <c r="B537" s="1" t="s">
        <v>2542</v>
      </c>
      <c r="C537" s="1" t="str">
        <f ca="1">IFERROR(__xludf.DUMMYFUNCTION("GOOGLETRANSLATE(B537,""pl"",""en"")"),"2-room apartment Folwark Jankowice")</f>
        <v>2-room apartment Folwark Jankowice</v>
      </c>
      <c r="D537" s="1">
        <v>444624</v>
      </c>
      <c r="E537" s="1" t="s">
        <v>19</v>
      </c>
      <c r="F537" s="1">
        <v>41.71</v>
      </c>
      <c r="G537" s="1" t="s">
        <v>4721</v>
      </c>
      <c r="H537" s="1" t="str">
        <f ca="1">IFERROR(__xludf.DUMMYFUNCTION("GOOGLETRANSLATE(G537,""pl"",""en"")"),"Tarnowo Podgórne, Tarnowo Podgórne, Poznań, Greater Poland")</f>
        <v>Tarnowo Podgórne, Tarnowo Podgórne, Poznań, Greater Poland</v>
      </c>
      <c r="I537" s="1" t="s">
        <v>21</v>
      </c>
      <c r="J537" s="1" t="s">
        <v>21</v>
      </c>
      <c r="K537" s="1" t="s">
        <v>22</v>
      </c>
      <c r="L537" s="1" t="s">
        <v>2543</v>
      </c>
      <c r="M537" s="1">
        <v>2</v>
      </c>
      <c r="N537" s="1" t="s">
        <v>24</v>
      </c>
      <c r="O537" s="1" t="str">
        <f ca="1">IFERROR(__xludf.DUMMYFUNCTION("GOOGLETRANSLATE(N537,""pl"",""en"")"),"full ownership")</f>
        <v>full ownership</v>
      </c>
      <c r="P537" s="3" t="s">
        <v>2544</v>
      </c>
      <c r="Q537" s="1" t="b">
        <v>1</v>
      </c>
      <c r="R537" s="1" t="s">
        <v>2545</v>
      </c>
    </row>
    <row r="538" spans="1:18" x14ac:dyDescent="0.25">
      <c r="A538" s="2">
        <v>45308</v>
      </c>
      <c r="B538" s="1" t="s">
        <v>2546</v>
      </c>
      <c r="C538" s="1" t="str">
        <f ca="1">IFERROR(__xludf.DUMMYFUNCTION("GOOGLETRANSLATE(B538,""pl"",""en"")"),"Large m4 in the center, to introduce")</f>
        <v>Large m4 in the center, to introduce</v>
      </c>
      <c r="D538" s="1">
        <v>546000</v>
      </c>
      <c r="E538" s="1" t="s">
        <v>33</v>
      </c>
      <c r="F538" s="1">
        <v>78</v>
      </c>
      <c r="G538" s="1" t="s">
        <v>2547</v>
      </c>
      <c r="H538" s="1" t="str">
        <f ca="1">IFERROR(__xludf.DUMMYFUNCTION("GOOGLETRANSLATE(G538,""pl"",""en"")"),"street. Zygmunt Krasiński, Śródmieście, Bydgoszcz, Kujawsko-Pomeranian Voivodeship")</f>
        <v>street. Zygmunt Krasiński, Śródmieście, Bydgoszcz, Kujawsko-Pomeranian Voivodeship</v>
      </c>
      <c r="I538" s="1" t="b">
        <v>1</v>
      </c>
      <c r="J538" s="1" t="s">
        <v>21</v>
      </c>
      <c r="K538" s="1" t="s">
        <v>22</v>
      </c>
      <c r="L538" s="1" t="s">
        <v>2548</v>
      </c>
      <c r="M538" s="1">
        <v>3</v>
      </c>
      <c r="N538" s="1" t="s">
        <v>24</v>
      </c>
      <c r="O538" s="1" t="str">
        <f ca="1">IFERROR(__xludf.DUMMYFUNCTION("GOOGLETRANSLATE(N538,""pl"",""en"")"),"full ownership")</f>
        <v>full ownership</v>
      </c>
      <c r="P538" s="3" t="s">
        <v>2549</v>
      </c>
      <c r="Q538" s="1" t="b">
        <v>1</v>
      </c>
      <c r="R538" s="1" t="s">
        <v>2550</v>
      </c>
    </row>
    <row r="539" spans="1:18" x14ac:dyDescent="0.25">
      <c r="A539" s="2">
        <v>45308</v>
      </c>
      <c r="B539" s="1" t="s">
        <v>2551</v>
      </c>
      <c r="C539" s="1" t="str">
        <f ca="1">IFERROR(__xludf.DUMMYFUNCTION("GOOGLETRANSLATE(B539,""pl"",""en"")"),"Reduced price - until the renovation is completed")</f>
        <v>Reduced price - until the renovation is completed</v>
      </c>
      <c r="D539" s="1">
        <v>474000</v>
      </c>
      <c r="E539" s="1" t="s">
        <v>33</v>
      </c>
      <c r="F539" s="1">
        <v>67.78</v>
      </c>
      <c r="G539" s="1" t="s">
        <v>2552</v>
      </c>
      <c r="H539" s="1" t="str">
        <f ca="1">IFERROR(__xludf.DUMMYFUNCTION("GOOGLETRANSLATE(G539,""pl"",""en"")"),"street. Legnicka, Środa Śląska, Środa Śląska, Średzki, Lower Silesia")</f>
        <v>street. Legnicka, Środa Śląska, Środa Śląska, Średzki, Lower Silesia</v>
      </c>
      <c r="I539" s="1" t="b">
        <v>1</v>
      </c>
      <c r="J539" s="1" t="s">
        <v>21</v>
      </c>
      <c r="K539" s="1" t="s">
        <v>45</v>
      </c>
      <c r="L539" s="1" t="s">
        <v>2553</v>
      </c>
      <c r="M539" s="1">
        <v>3</v>
      </c>
      <c r="N539" s="1" t="s">
        <v>85</v>
      </c>
      <c r="O539" s="1" t="str">
        <f ca="1">IFERROR(__xludf.DUMMYFUNCTION("GOOGLETRANSLATE(N539,""pl"",""en"")"),"Cooperative ownership of the right to the premises")</f>
        <v>Cooperative ownership of the right to the premises</v>
      </c>
      <c r="P539" s="3" t="s">
        <v>2554</v>
      </c>
      <c r="Q539" s="1" t="b">
        <v>1</v>
      </c>
      <c r="R539" s="1" t="s">
        <v>2555</v>
      </c>
    </row>
    <row r="540" spans="1:18" x14ac:dyDescent="0.25">
      <c r="A540" s="2">
        <v>45308</v>
      </c>
      <c r="B540" s="1" t="s">
        <v>2556</v>
      </c>
      <c r="C540" s="1" t="str">
        <f ca="1">IFERROR(__xludf.DUMMYFUNCTION("GOOGLETRANSLATE(B540,""pl"",""en"")"),"Śródmieście-Rozkły-Loggia-Plac Saint Maciej")</f>
        <v>Śródmieście-Rozkły-Loggia-Plac Saint Maciej</v>
      </c>
      <c r="D540" s="1">
        <v>575000</v>
      </c>
      <c r="E540" s="1" t="s">
        <v>33</v>
      </c>
      <c r="F540" s="1">
        <v>44.4</v>
      </c>
      <c r="G540" s="1" t="s">
        <v>2557</v>
      </c>
      <c r="H540" s="1" t="str">
        <f ca="1">IFERROR(__xludf.DUMMYFUNCTION("GOOGLETRANSLATE(G540,""pl"",""en"")"),"street. Henryk bearded, Nadodrze, Śródmieście, Wrocław, DolnoSilesian Voivodeship")</f>
        <v>street. Henryk bearded, Nadodrze, Śródmieście, Wrocław, DolnoSilesian Voivodeship</v>
      </c>
      <c r="I540" s="1" t="s">
        <v>21</v>
      </c>
      <c r="J540" s="1" t="s">
        <v>21</v>
      </c>
      <c r="K540" s="1" t="s">
        <v>22</v>
      </c>
      <c r="L540" s="1" t="s">
        <v>2558</v>
      </c>
      <c r="M540" s="1">
        <v>2</v>
      </c>
      <c r="N540" s="1" t="s">
        <v>24</v>
      </c>
      <c r="O540" s="1" t="str">
        <f ca="1">IFERROR(__xludf.DUMMYFUNCTION("GOOGLETRANSLATE(N540,""pl"",""en"")"),"full ownership")</f>
        <v>full ownership</v>
      </c>
      <c r="P540" s="3" t="s">
        <v>2559</v>
      </c>
      <c r="Q540" s="1" t="b">
        <v>1</v>
      </c>
      <c r="R540" s="1" t="s">
        <v>2560</v>
      </c>
    </row>
    <row r="541" spans="1:18" x14ac:dyDescent="0.25">
      <c r="A541" s="2">
        <v>45308</v>
      </c>
      <c r="B541" s="1" t="s">
        <v>2561</v>
      </c>
      <c r="C541" s="1" t="str">
        <f ca="1">IFERROR(__xludf.DUMMYFUNCTION("GOOGLETRANSLATE(B541,""pl"",""en"")"),"Brzozowa Street, a quiet area with a playground")</f>
        <v>Brzozowa Street, a quiet area with a playground</v>
      </c>
      <c r="D541" s="1">
        <v>297000</v>
      </c>
      <c r="E541" s="1" t="s">
        <v>33</v>
      </c>
      <c r="F541" s="1">
        <v>82</v>
      </c>
      <c r="G541" s="1" t="s">
        <v>2562</v>
      </c>
      <c r="H541" s="1" t="str">
        <f ca="1">IFERROR(__xludf.DUMMYFUNCTION("GOOGLETRANSLATE(G541,""pl"",""en"")"),"street. Brzozowa, Sadlinki, Sadlinki, Kwidzyński, Pomeranian")</f>
        <v>street. Brzozowa, Sadlinki, Sadlinki, Kwidzyński, Pomeranian</v>
      </c>
      <c r="I541" s="1" t="s">
        <v>21</v>
      </c>
      <c r="J541" s="1" t="s">
        <v>21</v>
      </c>
      <c r="K541" s="1" t="s">
        <v>22</v>
      </c>
      <c r="L541" s="1" t="s">
        <v>2563</v>
      </c>
      <c r="M541" s="1">
        <v>4</v>
      </c>
      <c r="N541" s="1" t="s">
        <v>24</v>
      </c>
      <c r="O541" s="1" t="str">
        <f ca="1">IFERROR(__xludf.DUMMYFUNCTION("GOOGLETRANSLATE(N541,""pl"",""en"")"),"full ownership")</f>
        <v>full ownership</v>
      </c>
      <c r="P541" s="3" t="s">
        <v>2564</v>
      </c>
      <c r="Q541" s="1" t="b">
        <v>1</v>
      </c>
      <c r="R541" s="1" t="s">
        <v>2565</v>
      </c>
    </row>
    <row r="542" spans="1:18" x14ac:dyDescent="0.25">
      <c r="A542" s="2">
        <v>45308</v>
      </c>
      <c r="B542" s="1" t="s">
        <v>2566</v>
      </c>
      <c r="C542" s="1" t="str">
        <f ca="1">IFERROR(__xludf.DUMMYFUNCTION("GOOGLETRANSLATE(B542,""pl"",""en"")"),"Sales 2 room decorated Opole Zaodrze")</f>
        <v>Sales 2 room decorated Opole Zaodrze</v>
      </c>
      <c r="D542" s="1">
        <v>429000</v>
      </c>
      <c r="E542" s="1" t="s">
        <v>33</v>
      </c>
      <c r="F542" s="1">
        <v>46.61</v>
      </c>
      <c r="G542" s="1" t="s">
        <v>4776</v>
      </c>
      <c r="H542" s="1" t="str">
        <f ca="1">IFERROR(__xludf.DUMMYFUNCTION("GOOGLETRANSLATE(G542,""pl"",""en"")"),"Nadodrze, Opole, Opole Voivodeship")</f>
        <v>Nadodrze, Opole, Opole Voivodeship</v>
      </c>
      <c r="I542" s="1" t="b">
        <v>1</v>
      </c>
      <c r="J542" s="1" t="s">
        <v>21</v>
      </c>
      <c r="K542" s="1" t="s">
        <v>22</v>
      </c>
      <c r="L542" s="1" t="s">
        <v>4777</v>
      </c>
      <c r="M542" s="1">
        <v>2</v>
      </c>
      <c r="N542" s="1" t="s">
        <v>85</v>
      </c>
      <c r="O542" s="1" t="str">
        <f ca="1">IFERROR(__xludf.DUMMYFUNCTION("GOOGLETRANSLATE(N542,""pl"",""en"")"),"Cooperative ownership of the right to the premises")</f>
        <v>Cooperative ownership of the right to the premises</v>
      </c>
      <c r="P542" s="3" t="s">
        <v>2567</v>
      </c>
      <c r="Q542" s="1" t="b">
        <v>1</v>
      </c>
      <c r="R542" s="1" t="s">
        <v>2568</v>
      </c>
    </row>
    <row r="543" spans="1:18" x14ac:dyDescent="0.25">
      <c r="A543" s="2">
        <v>45173</v>
      </c>
      <c r="B543" s="1" t="s">
        <v>2569</v>
      </c>
      <c r="C543" s="1" t="str">
        <f ca="1">IFERROR(__xludf.DUMMYFUNCTION("GOOGLETRANSLATE(B543,""pl"",""en"")"),"Fort Nature Modern apartment B1.11")</f>
        <v>Fort Nature Modern apartment B1.11</v>
      </c>
      <c r="D543" s="1">
        <v>622400</v>
      </c>
      <c r="E543" s="1" t="s">
        <v>19</v>
      </c>
      <c r="F543" s="1">
        <v>38.9</v>
      </c>
      <c r="G543" s="1" t="s">
        <v>4778</v>
      </c>
      <c r="H543" s="1" t="str">
        <f ca="1">IFERROR(__xludf.DUMMYFUNCTION("GOOGLETRANSLATE(G543,""pl"",""en"")"),"street. Józef Wybicki, Krowodrza Górka, Prądnik Biały, Kraków, Lesser Poland")</f>
        <v>street. Józef Wybicki, Krowodrza Górka, Prądnik Biały, Kraków, Lesser Poland</v>
      </c>
      <c r="I543" s="1" t="s">
        <v>21</v>
      </c>
      <c r="J543" s="1" t="s">
        <v>21</v>
      </c>
      <c r="K543" s="1" t="s">
        <v>194</v>
      </c>
      <c r="L543" s="1" t="s">
        <v>2570</v>
      </c>
      <c r="M543" s="1">
        <v>2</v>
      </c>
      <c r="N543" s="1" t="s">
        <v>24</v>
      </c>
      <c r="O543" s="1" t="str">
        <f ca="1">IFERROR(__xludf.DUMMYFUNCTION("GOOGLETRANSLATE(N543,""pl"",""en"")"),"full ownership")</f>
        <v>full ownership</v>
      </c>
      <c r="P543" s="3" t="s">
        <v>2571</v>
      </c>
      <c r="Q543" s="1" t="b">
        <v>1</v>
      </c>
      <c r="R543" s="1" t="s">
        <v>2572</v>
      </c>
    </row>
    <row r="544" spans="1:18" x14ac:dyDescent="0.25">
      <c r="A544" s="2">
        <v>45173</v>
      </c>
      <c r="B544" s="1" t="s">
        <v>2573</v>
      </c>
      <c r="C544" s="1" t="str">
        <f ca="1">IFERROR(__xludf.DUMMYFUNCTION("GOOGLETRANSLATE(B544,""pl"",""en"")"),"Upper Sopot/Balcony i Paranda/7 rooms")</f>
        <v>Upper Sopot/Balcony i Paranda/7 rooms</v>
      </c>
      <c r="D544" s="1">
        <v>1800000</v>
      </c>
      <c r="E544" s="1" t="s">
        <v>33</v>
      </c>
      <c r="F544" s="1">
        <v>108.9</v>
      </c>
      <c r="G544" s="1" t="s">
        <v>2574</v>
      </c>
      <c r="H544" s="1" t="str">
        <f ca="1">IFERROR(__xludf.DUMMYFUNCTION("GOOGLETRANSLATE(G544,""pl"",""en"")"),"street. Home Army, Upper Sopot, Sopot, Pomeranian Voivodeship")</f>
        <v>street. Home Army, Upper Sopot, Sopot, Pomeranian Voivodeship</v>
      </c>
      <c r="I544" s="1" t="s">
        <v>21</v>
      </c>
      <c r="J544" s="1" t="s">
        <v>21</v>
      </c>
      <c r="K544" s="1" t="s">
        <v>22</v>
      </c>
      <c r="L544" s="1" t="s">
        <v>2575</v>
      </c>
      <c r="M544" s="1">
        <v>7</v>
      </c>
      <c r="N544" s="1" t="s">
        <v>24</v>
      </c>
      <c r="O544" s="1" t="str">
        <f ca="1">IFERROR(__xludf.DUMMYFUNCTION("GOOGLETRANSLATE(N544,""pl"",""en"")"),"full ownership")</f>
        <v>full ownership</v>
      </c>
      <c r="P544" s="3" t="s">
        <v>2576</v>
      </c>
      <c r="Q544" s="1" t="b">
        <v>1</v>
      </c>
      <c r="R544" s="1" t="s">
        <v>2577</v>
      </c>
    </row>
    <row r="545" spans="1:18" x14ac:dyDescent="0.25">
      <c r="A545" s="2">
        <v>45173</v>
      </c>
      <c r="B545" s="1" t="s">
        <v>2578</v>
      </c>
      <c r="C545" s="1" t="str">
        <f ca="1">IFERROR(__xludf.DUMMYFUNCTION("GOOGLETRANSLATE(B545,""pl"",""en"")"),"Functional non -disincentive privates, garden, fireplace")</f>
        <v>Functional non -disincentive privates, garden, fireplace</v>
      </c>
      <c r="D545" s="1">
        <v>480000</v>
      </c>
      <c r="E545" s="1" t="s">
        <v>19</v>
      </c>
      <c r="F545" s="1">
        <v>92</v>
      </c>
      <c r="G545" s="1" t="s">
        <v>4712</v>
      </c>
      <c r="H545" s="1" t="str">
        <f ca="1">IFERROR(__xludf.DUMMYFUNCTION("GOOGLETRANSLATE(G545,""pl"",""en"")"),"axis. Estate Przylesie, Błażejewo, Kórnik, Poznański, Greater Poland")</f>
        <v>axis. Estate Przylesie, Błażejewo, Kórnik, Poznański, Greater Poland</v>
      </c>
      <c r="I545" s="1" t="s">
        <v>21</v>
      </c>
      <c r="J545" s="1" t="s">
        <v>21</v>
      </c>
      <c r="K545" s="1" t="s">
        <v>194</v>
      </c>
      <c r="L545" s="1" t="s">
        <v>2579</v>
      </c>
      <c r="M545" s="1">
        <v>4</v>
      </c>
      <c r="N545" s="1" t="s">
        <v>24</v>
      </c>
      <c r="O545" s="1" t="str">
        <f ca="1">IFERROR(__xludf.DUMMYFUNCTION("GOOGLETRANSLATE(N545,""pl"",""en"")"),"full ownership")</f>
        <v>full ownership</v>
      </c>
      <c r="P545" s="3" t="s">
        <v>2580</v>
      </c>
      <c r="Q545" s="1" t="b">
        <v>1</v>
      </c>
      <c r="R545" s="1" t="s">
        <v>2581</v>
      </c>
    </row>
    <row r="546" spans="1:18" x14ac:dyDescent="0.25">
      <c r="A546" s="2">
        <v>45173</v>
      </c>
      <c r="B546" s="1" t="s">
        <v>2582</v>
      </c>
      <c r="C546" s="1" t="str">
        <f ca="1">IFERROR(__xludf.DUMMYFUNCTION("GOOGLETRANSLATE(B546,""pl"",""en"")"),"Garage in Bryle/3Pokoje/Readowy/Rzeszów/Biała")</f>
        <v>Garage in Bryle/3Pokoje/Readowy/Rzeszów/Biała</v>
      </c>
      <c r="D546" s="1">
        <v>512539</v>
      </c>
      <c r="E546" s="1" t="s">
        <v>19</v>
      </c>
      <c r="F546" s="1">
        <v>60.07</v>
      </c>
      <c r="G546" s="1" t="s">
        <v>2583</v>
      </c>
      <c r="H546" s="1" t="str">
        <f ca="1">IFERROR(__xludf.DUMMYFUNCTION("GOOGLETRANSLATE(G546,""pl"",""en"")"),"Biała, Rzeszów, Podkarpackie")</f>
        <v>Biała, Rzeszów, Podkarpackie</v>
      </c>
      <c r="I546" s="1" t="s">
        <v>21</v>
      </c>
      <c r="J546" s="1" t="s">
        <v>21</v>
      </c>
      <c r="K546" s="1" t="s">
        <v>22</v>
      </c>
      <c r="L546" s="1" t="s">
        <v>2584</v>
      </c>
      <c r="M546" s="1">
        <v>3</v>
      </c>
      <c r="N546" s="1" t="s">
        <v>24</v>
      </c>
      <c r="O546" s="1" t="str">
        <f ca="1">IFERROR(__xludf.DUMMYFUNCTION("GOOGLETRANSLATE(N546,""pl"",""en"")"),"full ownership")</f>
        <v>full ownership</v>
      </c>
      <c r="P546" s="3" t="s">
        <v>2585</v>
      </c>
      <c r="Q546" s="1" t="b">
        <v>1</v>
      </c>
      <c r="R546" s="1" t="s">
        <v>2586</v>
      </c>
    </row>
    <row r="547" spans="1:18" x14ac:dyDescent="0.25">
      <c r="A547" s="2">
        <v>45132</v>
      </c>
      <c r="B547" s="1" t="s">
        <v>2587</v>
      </c>
      <c r="C547" s="1" t="str">
        <f ca="1">IFERROR(__xludf.DUMMYFUNCTION("GOOGLETRANSLATE(B547,""pl"",""en"")"),"Departmental estate of the scheduled M-4 for its own arrangement.")</f>
        <v>Departmental estate of the scheduled M-4 for its own arrangement.</v>
      </c>
      <c r="D547" s="1">
        <v>342000</v>
      </c>
      <c r="E547" s="1" t="s">
        <v>33</v>
      </c>
      <c r="F547" s="1" t="s">
        <v>2588</v>
      </c>
      <c r="G547" s="1" t="s">
        <v>2589</v>
      </c>
      <c r="H547" s="1" t="str">
        <f ca="1">IFERROR(__xludf.DUMMYFUNCTION("GOOGLETRANSLATE(G547,""pl"",""en"")"),"Longitude: 19.42792855344239 | Latitude: 51.79859210040234")</f>
        <v>Longitude: 19.42792855344239 | Latitude: 51.79859210040234</v>
      </c>
      <c r="I547" s="1" t="s">
        <v>2590</v>
      </c>
      <c r="J547" s="1" t="s">
        <v>21</v>
      </c>
      <c r="K547" s="1" t="s">
        <v>22</v>
      </c>
      <c r="L547" s="1" t="s">
        <v>2591</v>
      </c>
      <c r="M547" s="1">
        <v>3</v>
      </c>
      <c r="N547" s="1" t="s">
        <v>2592</v>
      </c>
      <c r="O547" s="1" t="str">
        <f ca="1">IFERROR(__xludf.DUMMYFUNCTION("GOOGLETRANSLATE(N547,""pl"",""en"")"),"full ownership")</f>
        <v>full ownership</v>
      </c>
      <c r="P547" s="3" t="s">
        <v>2593</v>
      </c>
      <c r="Q547" s="1" t="b">
        <v>1</v>
      </c>
      <c r="R547" s="1" t="s">
        <v>21</v>
      </c>
    </row>
    <row r="548" spans="1:18" x14ac:dyDescent="0.25">
      <c r="A548" s="2">
        <v>45308</v>
      </c>
      <c r="B548" s="1" t="s">
        <v>2594</v>
      </c>
      <c r="C548" s="1" t="str">
        <f ca="1">IFERROR(__xludf.DUMMYFUNCTION("GOOGLETRANSLATE(B548,""pl"",""en"")"),"Apartment in Tarninów - near the center, parking")</f>
        <v>Apartment in Tarninów - near the center, parking</v>
      </c>
      <c r="D548" s="1">
        <v>685000</v>
      </c>
      <c r="E548" s="1" t="s">
        <v>33</v>
      </c>
      <c r="F548" s="1">
        <v>91.5</v>
      </c>
      <c r="G548" s="1" t="s">
        <v>2595</v>
      </c>
      <c r="H548" s="1" t="str">
        <f ca="1">IFERROR(__xludf.DUMMYFUNCTION("GOOGLETRANSLATE(G548,""pl"",""en"")"),"street. Walerian Łukasiński, Legnica, DolnoSilesian Voivodeship")</f>
        <v>street. Walerian Łukasiński, Legnica, DolnoSilesian Voivodeship</v>
      </c>
      <c r="I548" s="1" t="s">
        <v>21</v>
      </c>
      <c r="J548" s="1" t="s">
        <v>21</v>
      </c>
      <c r="K548" s="1" t="s">
        <v>22</v>
      </c>
      <c r="L548" s="1" t="s">
        <v>2596</v>
      </c>
      <c r="M548" s="1">
        <v>3</v>
      </c>
      <c r="N548" s="1" t="s">
        <v>24</v>
      </c>
      <c r="O548" s="1" t="str">
        <f ca="1">IFERROR(__xludf.DUMMYFUNCTION("GOOGLETRANSLATE(N548,""pl"",""en"")"),"full ownership")</f>
        <v>full ownership</v>
      </c>
      <c r="P548" s="3" t="s">
        <v>2597</v>
      </c>
      <c r="Q548" s="1" t="b">
        <v>1</v>
      </c>
      <c r="R548" s="1" t="s">
        <v>2598</v>
      </c>
    </row>
    <row r="549" spans="1:18" x14ac:dyDescent="0.25">
      <c r="A549" s="2">
        <v>45308</v>
      </c>
      <c r="B549" s="1" t="s">
        <v>2599</v>
      </c>
      <c r="C549" s="1" t="str">
        <f ca="1">IFERROR(__xludf.DUMMYFUNCTION("GOOGLETRANSLATE(B549,""pl"",""en"")"),"2 rooms in a closed estate! Tarchomin!")</f>
        <v>2 rooms in a closed estate! Tarchomin!</v>
      </c>
      <c r="D549" s="1">
        <v>749000</v>
      </c>
      <c r="E549" s="1" t="s">
        <v>33</v>
      </c>
      <c r="F549" s="1">
        <v>52</v>
      </c>
      <c r="G549" s="1" t="s">
        <v>1019</v>
      </c>
      <c r="H549" s="1" t="str">
        <f ca="1">IFERROR(__xludf.DUMMYFUNCTION("GOOGLETRANSLATE(G549,""pl"",""en"")"),"street. Discovered, Nowodwory, Białołęka, Warsaw, Masovian Voivodeship")</f>
        <v>street. Discovered, Nowodwory, Białołęka, Warsaw, Masovian Voivodeship</v>
      </c>
      <c r="I549" s="1" t="b">
        <v>1</v>
      </c>
      <c r="J549" s="1" t="s">
        <v>21</v>
      </c>
      <c r="K549" s="1" t="s">
        <v>22</v>
      </c>
      <c r="L549" s="1" t="s">
        <v>2600</v>
      </c>
      <c r="M549" s="1">
        <v>2</v>
      </c>
      <c r="N549" s="1" t="s">
        <v>24</v>
      </c>
      <c r="O549" s="1" t="str">
        <f ca="1">IFERROR(__xludf.DUMMYFUNCTION("GOOGLETRANSLATE(N549,""pl"",""en"")"),"full ownership")</f>
        <v>full ownership</v>
      </c>
      <c r="P549" s="3" t="s">
        <v>2601</v>
      </c>
      <c r="Q549" s="1" t="b">
        <v>1</v>
      </c>
      <c r="R549" s="1" t="s">
        <v>2602</v>
      </c>
    </row>
    <row r="550" spans="1:18" x14ac:dyDescent="0.25">
      <c r="A550" s="2">
        <v>45308</v>
      </c>
      <c r="B550" s="1" t="s">
        <v>2603</v>
      </c>
      <c r="C550" s="1" t="str">
        <f ca="1">IFERROR(__xludf.DUMMYFUNCTION("GOOGLETRANSLATE(B550,""pl"",""en"")"),"Spacious 3 rooms in Chorzów Batory - 129 m.")</f>
        <v>Spacious 3 rooms in Chorzów Batory - 129 m.</v>
      </c>
      <c r="D550" s="1">
        <v>670000</v>
      </c>
      <c r="E550" s="1" t="s">
        <v>33</v>
      </c>
      <c r="F550" s="1">
        <v>128.69999999999999</v>
      </c>
      <c r="G550" s="1" t="s">
        <v>2604</v>
      </c>
      <c r="H550" s="1" t="str">
        <f ca="1">IFERROR(__xludf.DUMMYFUNCTION("GOOGLETRANSLATE(G550,""pl"",""en"")"),"pl. Stefana Batory, Chorzów Batory, Chorzów, Silesian Voivodeship")</f>
        <v>pl. Stefana Batory, Chorzów Batory, Chorzów, Silesian Voivodeship</v>
      </c>
      <c r="I550" s="1" t="s">
        <v>21</v>
      </c>
      <c r="J550" s="1" t="s">
        <v>21</v>
      </c>
      <c r="K550" s="1" t="s">
        <v>22</v>
      </c>
      <c r="L550" s="1" t="s">
        <v>2605</v>
      </c>
      <c r="M550" s="1">
        <v>3</v>
      </c>
      <c r="N550" s="1" t="s">
        <v>24</v>
      </c>
      <c r="O550" s="1" t="str">
        <f ca="1">IFERROR(__xludf.DUMMYFUNCTION("GOOGLETRANSLATE(N550,""pl"",""en"")"),"full ownership")</f>
        <v>full ownership</v>
      </c>
      <c r="P550" s="3" t="s">
        <v>2606</v>
      </c>
      <c r="Q550" s="1" t="b">
        <v>1</v>
      </c>
      <c r="R550" s="1" t="s">
        <v>2607</v>
      </c>
    </row>
    <row r="551" spans="1:18" x14ac:dyDescent="0.25">
      <c r="A551" s="2">
        <v>45308</v>
      </c>
      <c r="B551" s="1" t="s">
        <v>2608</v>
      </c>
      <c r="C551" s="1" t="str">
        <f ca="1">IFERROR(__xludf.DUMMYFUNCTION("GOOGLETRANSLATE(B551,""pl"",""en"")"),"Bright role ★ 3-nearby ★ 77.71 m² High standard")</f>
        <v>Bright role ★ 3-nearby ★ 77.71 m² High standard</v>
      </c>
      <c r="D551" s="1">
        <v>869000</v>
      </c>
      <c r="E551" s="1" t="s">
        <v>33</v>
      </c>
      <c r="F551" s="1">
        <v>77.709999999999994</v>
      </c>
      <c r="G551" s="1" t="s">
        <v>4779</v>
      </c>
      <c r="H551" s="1" t="str">
        <f ca="1">IFERROR(__xludf.DUMMYFUNCTION("GOOGLETRANSLATE(G551,""pl"",""en"")"),"street. Jasna Rola, Naramowice, Stare Miasto, Poznań, Greater Poland")</f>
        <v>street. Jasna Rola, Naramowice, Stare Miasto, Poznań, Greater Poland</v>
      </c>
      <c r="I551" s="1" t="b">
        <v>1</v>
      </c>
      <c r="J551" s="1" t="s">
        <v>21</v>
      </c>
      <c r="K551" s="1" t="s">
        <v>22</v>
      </c>
      <c r="L551" s="1" t="s">
        <v>2609</v>
      </c>
      <c r="M551" s="1">
        <v>3</v>
      </c>
      <c r="N551" s="1" t="s">
        <v>24</v>
      </c>
      <c r="O551" s="1" t="str">
        <f ca="1">IFERROR(__xludf.DUMMYFUNCTION("GOOGLETRANSLATE(N551,""pl"",""en"")"),"full ownership")</f>
        <v>full ownership</v>
      </c>
      <c r="P551" s="3" t="s">
        <v>2610</v>
      </c>
      <c r="Q551" s="1" t="b">
        <v>1</v>
      </c>
      <c r="R551" s="1" t="s">
        <v>2611</v>
      </c>
    </row>
    <row r="552" spans="1:18" x14ac:dyDescent="0.25">
      <c r="A552" s="2">
        <v>45308</v>
      </c>
      <c r="B552" s="1" t="s">
        <v>2612</v>
      </c>
      <c r="C552" s="1" t="str">
        <f ca="1">IFERROR(__xludf.DUMMYFUNCTION("GOOGLETRANSLATE(B552,""pl"",""en"")"),"3 rooms in Staszica!")</f>
        <v>3 rooms in Staszica!</v>
      </c>
      <c r="D552" s="1">
        <v>295000</v>
      </c>
      <c r="E552" s="1" t="s">
        <v>33</v>
      </c>
      <c r="F552" s="1">
        <v>54</v>
      </c>
      <c r="G552" s="1" t="s">
        <v>4841</v>
      </c>
      <c r="H552" s="1" t="str">
        <f ca="1">IFERROR(__xludf.DUMMYFUNCTION("GOOGLETRANSLATE(G552,""pl"",""en"")"),"Gorzów Wielkopolski, Lubusz Voivodeship")</f>
        <v>Gorzów Wielkopolski, Lubusz Voivodeship</v>
      </c>
      <c r="I552" s="1" t="s">
        <v>21</v>
      </c>
      <c r="J552" s="1" t="s">
        <v>21</v>
      </c>
      <c r="K552" s="1" t="s">
        <v>22</v>
      </c>
      <c r="L552" s="1" t="s">
        <v>2613</v>
      </c>
      <c r="M552" s="1">
        <v>3</v>
      </c>
      <c r="N552" s="1" t="s">
        <v>85</v>
      </c>
      <c r="O552" s="1" t="str">
        <f ca="1">IFERROR(__xludf.DUMMYFUNCTION("GOOGLETRANSLATE(N552,""pl"",""en"")"),"Cooperative ownership of the right to the premises")</f>
        <v>Cooperative ownership of the right to the premises</v>
      </c>
      <c r="P552" s="3" t="s">
        <v>2614</v>
      </c>
      <c r="Q552" s="1" t="b">
        <v>1</v>
      </c>
      <c r="R552" s="1" t="s">
        <v>2615</v>
      </c>
    </row>
    <row r="553" spans="1:18" x14ac:dyDescent="0.25">
      <c r="A553" s="2">
        <v>45308</v>
      </c>
      <c r="B553" s="1" t="s">
        <v>2616</v>
      </c>
      <c r="C553" s="1" t="str">
        <f ca="1">IFERROR(__xludf.DUMMYFUNCTION("GOOGLETRANSLATE(B553,""pl"",""en"")"),"A beautiful, furnished apartment in Gubin")</f>
        <v>A beautiful, furnished apartment in Gubin</v>
      </c>
      <c r="D553" s="1">
        <v>325000</v>
      </c>
      <c r="E553" s="1" t="s">
        <v>33</v>
      </c>
      <c r="F553" s="1">
        <v>46.7</v>
      </c>
      <c r="G553" s="1" t="s">
        <v>4847</v>
      </c>
      <c r="H553" s="1" t="str">
        <f ca="1">IFERROR(__xludf.DUMMYFUNCTION("GOOGLETRANSLATE(G553,""pl"",""en"")"),"Gubin, Krosno, Lubusz Voivodeship")</f>
        <v>Gubin, Krosno, Lubusz Voivodeship</v>
      </c>
      <c r="I553" s="1" t="s">
        <v>21</v>
      </c>
      <c r="J553" s="1" t="s">
        <v>21</v>
      </c>
      <c r="K553" s="1" t="s">
        <v>22</v>
      </c>
      <c r="L553" s="1" t="s">
        <v>2617</v>
      </c>
      <c r="M553" s="1">
        <v>2</v>
      </c>
      <c r="N553" s="1" t="s">
        <v>24</v>
      </c>
      <c r="O553" s="1" t="str">
        <f ca="1">IFERROR(__xludf.DUMMYFUNCTION("GOOGLETRANSLATE(N553,""pl"",""en"")"),"full ownership")</f>
        <v>full ownership</v>
      </c>
      <c r="P553" s="3" t="s">
        <v>2618</v>
      </c>
      <c r="Q553" s="1" t="b">
        <v>1</v>
      </c>
      <c r="R553" s="1" t="s">
        <v>2619</v>
      </c>
    </row>
    <row r="554" spans="1:18" x14ac:dyDescent="0.25">
      <c r="A554" s="2">
        <v>45133</v>
      </c>
      <c r="B554" s="1" t="s">
        <v>2620</v>
      </c>
      <c r="C554" s="1" t="str">
        <f ca="1">IFERROR(__xludf.DUMMYFUNCTION("GOOGLETRANSLATE(B554,""pl"",""en"")"),"A unique apartment with a garden.")</f>
        <v>A unique apartment with a garden.</v>
      </c>
      <c r="D554" s="1">
        <v>1100000</v>
      </c>
      <c r="E554" s="1" t="s">
        <v>33</v>
      </c>
      <c r="F554" s="1" t="s">
        <v>2621</v>
      </c>
      <c r="G554" s="1" t="s">
        <v>2622</v>
      </c>
      <c r="H554" s="1" t="str">
        <f ca="1">IFERROR(__xludf.DUMMYFUNCTION("GOOGLETRANSLATE(G554,""pl"",""en"")"),"Longitude: 21.0149634 | Latitude: 52,279093")</f>
        <v>Longitude: 21.0149634 | Latitude: 52,279093</v>
      </c>
      <c r="I554" s="1" t="s">
        <v>2590</v>
      </c>
      <c r="J554" s="1" t="s">
        <v>21</v>
      </c>
      <c r="K554" s="1" t="s">
        <v>22</v>
      </c>
      <c r="L554" s="1" t="s">
        <v>2623</v>
      </c>
      <c r="M554" s="1">
        <v>4</v>
      </c>
      <c r="N554" s="1" t="s">
        <v>21</v>
      </c>
      <c r="O554" s="1" t="str">
        <f ca="1">IFERROR(__xludf.DUMMYFUNCTION("GOOGLETRANSLATE(N554,""pl"",""en"")"),"null")</f>
        <v>null</v>
      </c>
      <c r="P554" s="3" t="s">
        <v>2624</v>
      </c>
      <c r="Q554" s="1" t="b">
        <v>1</v>
      </c>
      <c r="R554" s="1" t="s">
        <v>21</v>
      </c>
    </row>
    <row r="555" spans="1:18" x14ac:dyDescent="0.25">
      <c r="A555" s="2">
        <v>45133</v>
      </c>
      <c r="B555" s="1" t="s">
        <v>2625</v>
      </c>
      <c r="C555" s="1" t="str">
        <f ca="1">IFERROR(__xludf.DUMMYFUNCTION("GOOGLETRANSLATE(B555,""pl"",""en"")"),"2 rooms, apartment for sale")</f>
        <v>2 rooms, apartment for sale</v>
      </c>
      <c r="D555" s="1">
        <v>639000</v>
      </c>
      <c r="E555" s="1" t="s">
        <v>33</v>
      </c>
      <c r="F555" s="1" t="s">
        <v>2626</v>
      </c>
      <c r="G555" s="1" t="s">
        <v>2627</v>
      </c>
      <c r="H555" s="1" t="str">
        <f ca="1">IFERROR(__xludf.DUMMYFUNCTION("GOOGLETRANSLATE(G555,""pl"",""en"")"),"Longitude: 21.105892486352555 | Latitude: 52.229908233455845")</f>
        <v>Longitude: 21.105892486352555 | Latitude: 52.229908233455845</v>
      </c>
      <c r="I555" s="1" t="s">
        <v>2590</v>
      </c>
      <c r="J555" s="1" t="s">
        <v>21</v>
      </c>
      <c r="K555" s="1" t="s">
        <v>45</v>
      </c>
      <c r="L555" s="1" t="s">
        <v>2628</v>
      </c>
      <c r="M555" s="1">
        <v>2</v>
      </c>
      <c r="N555" s="1" t="s">
        <v>21</v>
      </c>
      <c r="O555" s="1" t="str">
        <f ca="1">IFERROR(__xludf.DUMMYFUNCTION("GOOGLETRANSLATE(N555,""pl"",""en"")"),"null")</f>
        <v>null</v>
      </c>
      <c r="P555" s="3" t="s">
        <v>2629</v>
      </c>
      <c r="Q555" s="1" t="b">
        <v>1</v>
      </c>
      <c r="R555" s="1" t="s">
        <v>21</v>
      </c>
    </row>
    <row r="556" spans="1:18" x14ac:dyDescent="0.25">
      <c r="A556" s="2">
        <v>45132</v>
      </c>
      <c r="B556" s="1" t="s">
        <v>2630</v>
      </c>
      <c r="C556" s="1" t="str">
        <f ca="1">IFERROR(__xludf.DUMMYFUNCTION("GOOGLETRANSLATE(B556,""pl"",""en"")"),"New Apartment / Skórzewo / 3 room /garden")</f>
        <v>New Apartment / Skórzewo / 3 room /garden</v>
      </c>
      <c r="D556" s="1" t="s">
        <v>21</v>
      </c>
      <c r="E556" s="1" t="s">
        <v>19</v>
      </c>
      <c r="F556" s="1" t="s">
        <v>2631</v>
      </c>
      <c r="G556" s="1" t="s">
        <v>2632</v>
      </c>
      <c r="H556" s="1" t="str">
        <f ca="1">IFERROR(__xludf.DUMMYFUNCTION("GOOGLETRANSLATE(G556,""pl"",""en"")"),"Longitude: 16.805367 | Latitude: 52.39213")</f>
        <v>Longitude: 16.805367 | Latitude: 52.39213</v>
      </c>
      <c r="I556" s="1" t="s">
        <v>2633</v>
      </c>
      <c r="J556" s="1" t="s">
        <v>21</v>
      </c>
      <c r="K556" s="1" t="s">
        <v>194</v>
      </c>
      <c r="L556" s="1" t="s">
        <v>2634</v>
      </c>
      <c r="M556" s="1">
        <v>3</v>
      </c>
      <c r="N556" s="1" t="s">
        <v>2592</v>
      </c>
      <c r="O556" s="1" t="str">
        <f ca="1">IFERROR(__xludf.DUMMYFUNCTION("GOOGLETRANSLATE(N556,""pl"",""en"")"),"full ownership")</f>
        <v>full ownership</v>
      </c>
      <c r="P556" s="3" t="s">
        <v>2635</v>
      </c>
      <c r="Q556" s="1" t="b">
        <v>1</v>
      </c>
      <c r="R556" s="1" t="s">
        <v>21</v>
      </c>
    </row>
    <row r="557" spans="1:18" x14ac:dyDescent="0.25">
      <c r="A557" s="2">
        <v>45132</v>
      </c>
      <c r="B557" s="1" t="s">
        <v>2636</v>
      </c>
      <c r="C557" s="1" t="str">
        <f ca="1">IFERROR(__xludf.DUMMYFUNCTION("GOOGLETRANSLATE(B557,""pl"",""en"")"),"Renovated in perfect technical condition 62m2")</f>
        <v>Renovated in perfect technical condition 62m2</v>
      </c>
      <c r="D557" s="1">
        <v>560000</v>
      </c>
      <c r="E557" s="1" t="s">
        <v>33</v>
      </c>
      <c r="F557" s="1" t="s">
        <v>2637</v>
      </c>
      <c r="G557" s="1" t="s">
        <v>2638</v>
      </c>
      <c r="H557" s="1" t="str">
        <f ca="1">IFERROR(__xludf.DUMMYFUNCTION("GOOGLETRANSLATE(G557,""pl"",""en"")"),"Longitude: 21.271379766237 | Latitude: 52.35811845")</f>
        <v>Longitude: 21.271379766237 | Latitude: 52.35811845</v>
      </c>
      <c r="I557" s="1" t="s">
        <v>2590</v>
      </c>
      <c r="J557" s="1" t="s">
        <v>21</v>
      </c>
      <c r="K557" s="1" t="s">
        <v>22</v>
      </c>
      <c r="L557" s="1" t="s">
        <v>2639</v>
      </c>
      <c r="M557" s="1">
        <v>3</v>
      </c>
      <c r="N557" s="1" t="s">
        <v>21</v>
      </c>
      <c r="O557" s="1" t="str">
        <f ca="1">IFERROR(__xludf.DUMMYFUNCTION("GOOGLETRANSLATE(N557,""pl"",""en"")"),"null")</f>
        <v>null</v>
      </c>
      <c r="P557" s="3" t="s">
        <v>2640</v>
      </c>
      <c r="Q557" s="1" t="b">
        <v>1</v>
      </c>
      <c r="R557" s="1" t="s">
        <v>21</v>
      </c>
    </row>
    <row r="558" spans="1:18" x14ac:dyDescent="0.25">
      <c r="A558" s="2">
        <v>45133</v>
      </c>
      <c r="B558" s="1" t="s">
        <v>2641</v>
      </c>
      <c r="C558" s="1" t="str">
        <f ca="1">IFERROR(__xludf.DUMMYFUNCTION("GOOGLETRANSLATE(B558,""pl"",""en"")"),"Green Park Resort II A10 apartment")</f>
        <v>Green Park Resort II A10 apartment</v>
      </c>
      <c r="D558" s="1" t="s">
        <v>21</v>
      </c>
      <c r="F558" s="1" t="s">
        <v>2642</v>
      </c>
      <c r="G558" s="1" t="s">
        <v>2643</v>
      </c>
      <c r="H558" s="1" t="str">
        <f ca="1">IFERROR(__xludf.DUMMYFUNCTION("GOOGLETRANSLATE(G558,""pl"",""en"")"),"Longitude: 15.4986315 | Latitude: 50.836655")</f>
        <v>Longitude: 15.4986315 | Latitude: 50.836655</v>
      </c>
      <c r="I558" s="1" t="s">
        <v>2590</v>
      </c>
      <c r="J558" s="1" t="s">
        <v>21</v>
      </c>
      <c r="K558" s="1" t="s">
        <v>2644</v>
      </c>
      <c r="L558" s="1" t="s">
        <v>2645</v>
      </c>
      <c r="M558" s="1">
        <v>2</v>
      </c>
      <c r="N558" s="1" t="s">
        <v>2592</v>
      </c>
      <c r="O558" s="1" t="str">
        <f ca="1">IFERROR(__xludf.DUMMYFUNCTION("GOOGLETRANSLATE(N558,""pl"",""en"")"),"full ownership")</f>
        <v>full ownership</v>
      </c>
      <c r="P558" s="3" t="s">
        <v>2646</v>
      </c>
      <c r="Q558" s="1" t="b">
        <v>1</v>
      </c>
      <c r="R558" s="1" t="s">
        <v>21</v>
      </c>
    </row>
    <row r="559" spans="1:18" x14ac:dyDescent="0.25">
      <c r="A559" s="2">
        <v>45133</v>
      </c>
      <c r="B559" s="1" t="s">
        <v>2647</v>
      </c>
      <c r="C559" s="1" t="str">
        <f ca="1">IFERROR(__xludf.DUMMYFUNCTION("GOOGLETRANSLATE(B559,""pl"",""en"")"),"Only until the end of July")</f>
        <v>Only until the end of July</v>
      </c>
      <c r="D559" s="1">
        <v>415000</v>
      </c>
      <c r="E559" s="1" t="s">
        <v>33</v>
      </c>
      <c r="F559" s="1" t="s">
        <v>2648</v>
      </c>
      <c r="G559" s="1" t="s">
        <v>2649</v>
      </c>
      <c r="H559" s="1" t="str">
        <f ca="1">IFERROR(__xludf.DUMMYFUNCTION("GOOGLETRANSLATE(G559,""pl"",""en"")"),"Longitude: 18.67644 | Latitude: 50.29506")</f>
        <v>Longitude: 18.67644 | Latitude: 50.29506</v>
      </c>
      <c r="I559" s="1" t="s">
        <v>2590</v>
      </c>
      <c r="J559" s="1" t="s">
        <v>21</v>
      </c>
      <c r="K559" s="1" t="s">
        <v>22</v>
      </c>
      <c r="L559" s="1" t="s">
        <v>2650</v>
      </c>
      <c r="M559" s="1">
        <v>3</v>
      </c>
      <c r="N559" s="1" t="s">
        <v>2592</v>
      </c>
      <c r="O559" s="1" t="str">
        <f ca="1">IFERROR(__xludf.DUMMYFUNCTION("GOOGLETRANSLATE(N559,""pl"",""en"")"),"full ownership")</f>
        <v>full ownership</v>
      </c>
      <c r="P559" s="3" t="s">
        <v>2651</v>
      </c>
      <c r="Q559" s="1" t="b">
        <v>1</v>
      </c>
      <c r="R559" s="1" t="s">
        <v>21</v>
      </c>
    </row>
    <row r="560" spans="1:18" x14ac:dyDescent="0.25">
      <c r="A560" s="2">
        <v>45133</v>
      </c>
      <c r="B560" s="1" t="s">
        <v>2652</v>
      </c>
      <c r="C560" s="1" t="str">
        <f ca="1">IFERROR(__xludf.DUMMYFUNCTION("GOOGLETRANSLATE(B560,""pl"",""en"")"),"Suchy Las - apartment for sale")</f>
        <v>Suchy Las - apartment for sale</v>
      </c>
      <c r="D560" s="1">
        <v>649000</v>
      </c>
      <c r="E560" s="1" t="s">
        <v>33</v>
      </c>
      <c r="F560" s="1" t="s">
        <v>2653</v>
      </c>
      <c r="G560" s="1" t="s">
        <v>2654</v>
      </c>
      <c r="H560" s="1" t="str">
        <f ca="1">IFERROR(__xludf.DUMMYFUNCTION("GOOGLETRANSLATE(G560,""pl"",""en"")"),"Longitude: 16.8590191 | Latitude: 52.4705815")</f>
        <v>Longitude: 16.8590191 | Latitude: 52.4705815</v>
      </c>
      <c r="I560" s="1" t="s">
        <v>2590</v>
      </c>
      <c r="J560" s="1" t="s">
        <v>21</v>
      </c>
      <c r="K560" s="1" t="s">
        <v>22</v>
      </c>
      <c r="L560" s="1" t="s">
        <v>2655</v>
      </c>
      <c r="M560" s="1">
        <v>4</v>
      </c>
      <c r="N560" s="1" t="s">
        <v>21</v>
      </c>
      <c r="O560" s="1" t="str">
        <f ca="1">IFERROR(__xludf.DUMMYFUNCTION("GOOGLETRANSLATE(N560,""pl"",""en"")"),"null")</f>
        <v>null</v>
      </c>
      <c r="P560" s="3" t="s">
        <v>2656</v>
      </c>
      <c r="Q560" s="1" t="b">
        <v>1</v>
      </c>
      <c r="R560" s="1" t="s">
        <v>21</v>
      </c>
    </row>
    <row r="561" spans="1:18" x14ac:dyDescent="0.25">
      <c r="A561" s="2">
        <v>45133</v>
      </c>
      <c r="B561" s="1" t="s">
        <v>2657</v>
      </c>
      <c r="C561" s="1" t="str">
        <f ca="1">IFERROR(__xludf.DUMMYFUNCTION("GOOGLETRANSLATE(B561,""pl"",""en"")"),"4 rooms with loggia - and p. Among the greenery, near WKD")</f>
        <v>4 rooms with loggia - and p. Among the greenery, near WKD</v>
      </c>
      <c r="D561" s="1">
        <v>770000</v>
      </c>
      <c r="E561" s="1" t="s">
        <v>33</v>
      </c>
      <c r="F561" s="1" t="s">
        <v>2658</v>
      </c>
      <c r="G561" s="1" t="s">
        <v>2659</v>
      </c>
      <c r="H561" s="1" t="str">
        <f ca="1">IFERROR(__xludf.DUMMYFUNCTION("GOOGLETRANSLATE(G561,""pl"",""en"")"),"Longitude: 20.8142509 | Latitude: 52.1599037")</f>
        <v>Longitude: 20.8142509 | Latitude: 52.1599037</v>
      </c>
      <c r="I561" s="1" t="s">
        <v>2590</v>
      </c>
      <c r="J561" s="1" t="s">
        <v>21</v>
      </c>
      <c r="K561" s="1" t="s">
        <v>45</v>
      </c>
      <c r="L561" s="1" t="s">
        <v>2660</v>
      </c>
      <c r="M561" s="1">
        <v>4</v>
      </c>
      <c r="N561" s="1" t="s">
        <v>2661</v>
      </c>
      <c r="O561" s="1" t="str">
        <f ca="1">IFERROR(__xludf.DUMMYFUNCTION("GOOGLETRANSLATE(N561,""pl"",""en"")"),"Limited Ownership")</f>
        <v>Limited Ownership</v>
      </c>
      <c r="P561" s="3" t="s">
        <v>2662</v>
      </c>
      <c r="Q561" s="1" t="b">
        <v>1</v>
      </c>
      <c r="R561" s="1" t="s">
        <v>21</v>
      </c>
    </row>
    <row r="562" spans="1:18" x14ac:dyDescent="0.25">
      <c r="A562" s="2">
        <v>45132</v>
      </c>
      <c r="B562" s="1" t="s">
        <v>2663</v>
      </c>
      <c r="C562" s="1" t="str">
        <f ca="1">IFERROR(__xludf.DUMMYFUNCTION("GOOGLETRANSLATE(B562,""pl"",""en"")"),"Apartment after renovation 41m2 +38m2 roi 10%")</f>
        <v>Apartment after renovation 41m2 +38m2 roi 10%</v>
      </c>
      <c r="D562" s="1">
        <v>200000</v>
      </c>
      <c r="E562" s="1" t="s">
        <v>33</v>
      </c>
      <c r="F562" s="1" t="s">
        <v>2664</v>
      </c>
      <c r="G562" s="1" t="s">
        <v>2665</v>
      </c>
      <c r="H562" s="1" t="str">
        <f ca="1">IFERROR(__xludf.DUMMYFUNCTION("GOOGLETRANSLATE(G562,""pl"",""en"")"),"Longitude: 19.120895508818 | Latitude: 50.338528244649")</f>
        <v>Longitude: 19.120895508818 | Latitude: 50.338528244649</v>
      </c>
      <c r="I562" s="1" t="s">
        <v>2590</v>
      </c>
      <c r="J562" s="1" t="s">
        <v>21</v>
      </c>
      <c r="K562" s="1" t="s">
        <v>45</v>
      </c>
      <c r="L562" s="1" t="s">
        <v>2666</v>
      </c>
      <c r="M562" s="1">
        <v>2</v>
      </c>
      <c r="N562" s="1" t="s">
        <v>2592</v>
      </c>
      <c r="O562" s="1" t="str">
        <f ca="1">IFERROR(__xludf.DUMMYFUNCTION("GOOGLETRANSLATE(N562,""pl"",""en"")"),"full ownership")</f>
        <v>full ownership</v>
      </c>
      <c r="P562" s="3" t="s">
        <v>2667</v>
      </c>
      <c r="Q562" s="1" t="b">
        <v>1</v>
      </c>
      <c r="R562" s="1" t="s">
        <v>21</v>
      </c>
    </row>
    <row r="563" spans="1:18" x14ac:dyDescent="0.25">
      <c r="A563" s="2">
        <v>45133</v>
      </c>
      <c r="B563" s="1" t="s">
        <v>2668</v>
      </c>
      <c r="C563" s="1" t="str">
        <f ca="1">IFERROR(__xludf.DUMMYFUNCTION("GOOGLETRANSLATE(B563,""pl"",""en"")"),"3-room apartment, ul. Hetman")</f>
        <v>3-room apartment, ul. Hetman</v>
      </c>
      <c r="D563" s="1">
        <v>390000</v>
      </c>
      <c r="E563" s="1" t="s">
        <v>19</v>
      </c>
      <c r="F563" s="1" t="s">
        <v>2669</v>
      </c>
      <c r="G563" s="1" t="s">
        <v>2670</v>
      </c>
      <c r="H563" s="1" t="str">
        <f ca="1">IFERROR(__xludf.DUMMYFUNCTION("GOOGLETRANSLATE(G563,""pl"",""en"")"),"Longitude: 23.16996 | Latitude: 53.12988")</f>
        <v>Longitude: 23.16996 | Latitude: 53.12988</v>
      </c>
      <c r="I563" s="1" t="s">
        <v>2590</v>
      </c>
      <c r="J563" s="1" t="s">
        <v>21</v>
      </c>
      <c r="K563" s="1" t="s">
        <v>45</v>
      </c>
      <c r="L563" s="1" t="s">
        <v>2671</v>
      </c>
      <c r="M563" s="1">
        <v>3</v>
      </c>
      <c r="N563" s="1" t="s">
        <v>2592</v>
      </c>
      <c r="O563" s="1" t="str">
        <f ca="1">IFERROR(__xludf.DUMMYFUNCTION("GOOGLETRANSLATE(N563,""pl"",""en"")"),"full ownership")</f>
        <v>full ownership</v>
      </c>
      <c r="P563" s="3" t="s">
        <v>2672</v>
      </c>
      <c r="Q563" s="1" t="b">
        <v>1</v>
      </c>
      <c r="R563" s="1" t="s">
        <v>21</v>
      </c>
    </row>
    <row r="564" spans="1:18" x14ac:dyDescent="0.25">
      <c r="A564" s="2">
        <v>45173</v>
      </c>
      <c r="B564" s="1" t="s">
        <v>2673</v>
      </c>
      <c r="C564" s="1" t="str">
        <f ca="1">IFERROR(__xludf.DUMMYFUNCTION("GOOGLETRANSLATE(B564,""pl"",""en"")"),"Apartment after major renovation, os. Conclusion")</f>
        <v>Apartment after major renovation, os. Conclusion</v>
      </c>
      <c r="D564" s="1">
        <v>259000</v>
      </c>
      <c r="E564" s="1" t="s">
        <v>33</v>
      </c>
      <c r="F564" s="1">
        <v>35</v>
      </c>
      <c r="G564" s="1" t="s">
        <v>4841</v>
      </c>
      <c r="H564" s="1" t="str">
        <f ca="1">IFERROR(__xludf.DUMMYFUNCTION("GOOGLETRANSLATE(G564,""pl"",""en"")"),"Gorzów Wielkopolski, Lubusz Voivodeship")</f>
        <v>Gorzów Wielkopolski, Lubusz Voivodeship</v>
      </c>
      <c r="I564" s="1" t="s">
        <v>21</v>
      </c>
      <c r="J564" s="1" t="s">
        <v>21</v>
      </c>
      <c r="K564" s="1" t="s">
        <v>22</v>
      </c>
      <c r="L564" s="1" t="s">
        <v>2674</v>
      </c>
      <c r="M564" s="1">
        <v>2</v>
      </c>
      <c r="N564" s="1" t="s">
        <v>24</v>
      </c>
      <c r="O564" s="1" t="str">
        <f ca="1">IFERROR(__xludf.DUMMYFUNCTION("GOOGLETRANSLATE(N564,""pl"",""en"")"),"full ownership")</f>
        <v>full ownership</v>
      </c>
      <c r="P564" s="3" t="s">
        <v>2675</v>
      </c>
      <c r="Q564" s="1" t="b">
        <v>1</v>
      </c>
      <c r="R564" s="1" t="s">
        <v>2676</v>
      </c>
    </row>
    <row r="565" spans="1:18" x14ac:dyDescent="0.25">
      <c r="A565" s="2">
        <v>45173</v>
      </c>
      <c r="B565" s="1" t="s">
        <v>2677</v>
      </c>
      <c r="C565" s="1" t="str">
        <f ca="1">IFERROR(__xludf.DUMMYFUNCTION("GOOGLETRANSLATE(B565,""pl"",""en"")"),"Apartment in the center of Jasło!")</f>
        <v>Apartment in the center of Jasło!</v>
      </c>
      <c r="D565" s="1">
        <v>378000</v>
      </c>
      <c r="E565" s="1" t="s">
        <v>33</v>
      </c>
      <c r="F565" s="1">
        <v>73.28</v>
      </c>
      <c r="G565" s="1" t="s">
        <v>2678</v>
      </c>
      <c r="H565" s="1" t="str">
        <f ca="1">IFERROR(__xludf.DUMMYFUNCTION("GOOGLETRANSLATE(G565,""pl"",""en"")"),"street. Koralewski, Jasło, Jasielski, Podkarpackie")</f>
        <v>street. Koralewski, Jasło, Jasielski, Podkarpackie</v>
      </c>
      <c r="I565" s="1" t="s">
        <v>21</v>
      </c>
      <c r="J565" s="1" t="s">
        <v>21</v>
      </c>
      <c r="K565" s="1" t="s">
        <v>22</v>
      </c>
      <c r="L565" s="1" t="s">
        <v>2679</v>
      </c>
      <c r="M565" s="1">
        <v>2</v>
      </c>
      <c r="N565" s="1" t="s">
        <v>24</v>
      </c>
      <c r="O565" s="1" t="str">
        <f ca="1">IFERROR(__xludf.DUMMYFUNCTION("GOOGLETRANSLATE(N565,""pl"",""en"")"),"full ownership")</f>
        <v>full ownership</v>
      </c>
      <c r="P565" s="3" t="s">
        <v>2680</v>
      </c>
      <c r="Q565" s="1" t="b">
        <v>1</v>
      </c>
      <c r="R565" s="1" t="s">
        <v>2681</v>
      </c>
    </row>
    <row r="566" spans="1:18" x14ac:dyDescent="0.25">
      <c r="A566" s="2">
        <v>45173</v>
      </c>
      <c r="B566" s="1" t="s">
        <v>2682</v>
      </c>
      <c r="C566" s="1" t="str">
        <f ca="1">IFERROR(__xludf.DUMMYFUNCTION("GOOGLETRANSLATE(B566,""pl"",""en"")"),"Flat No. 40 - 4th floor - 57.78 m2 - 3 rooms")</f>
        <v>Flat No. 40 - 4th floor - 57.78 m2 - 3 rooms</v>
      </c>
      <c r="D566" s="1">
        <v>450684</v>
      </c>
      <c r="E566" s="1" t="s">
        <v>19</v>
      </c>
      <c r="F566" s="1">
        <v>57.78</v>
      </c>
      <c r="G566" s="1" t="s">
        <v>2683</v>
      </c>
      <c r="H566" s="1" t="str">
        <f ca="1">IFERROR(__xludf.DUMMYFUNCTION("GOOGLETRANSLATE(G566,""pl"",""en"")"),"street. Konarskiego, Giżycko, Giżycki, Warmian-Masurian Voivodeship")</f>
        <v>street. Konarskiego, Giżycko, Giżycki, Warmian-Masurian Voivodeship</v>
      </c>
      <c r="I566" s="1" t="s">
        <v>21</v>
      </c>
      <c r="J566" s="1" t="s">
        <v>21</v>
      </c>
      <c r="K566" s="1" t="s">
        <v>22</v>
      </c>
      <c r="L566" s="1" t="s">
        <v>2684</v>
      </c>
      <c r="M566" s="1">
        <v>3</v>
      </c>
      <c r="N566" s="1" t="s">
        <v>24</v>
      </c>
      <c r="O566" s="1" t="str">
        <f ca="1">IFERROR(__xludf.DUMMYFUNCTION("GOOGLETRANSLATE(N566,""pl"",""en"")"),"full ownership")</f>
        <v>full ownership</v>
      </c>
      <c r="P566" s="3" t="s">
        <v>2685</v>
      </c>
      <c r="Q566" s="1" t="b">
        <v>1</v>
      </c>
      <c r="R566" s="1" t="s">
        <v>2686</v>
      </c>
    </row>
    <row r="567" spans="1:18" x14ac:dyDescent="0.25">
      <c r="A567" s="2">
        <v>45308</v>
      </c>
      <c r="B567" s="1" t="s">
        <v>2687</v>
      </c>
      <c r="C567" s="1" t="str">
        <f ca="1">IFERROR(__xludf.DUMMYFUNCTION("GOOGLETRANSLATE(B567,""pl"",""en"")"),"2 -room, for renovation, Nowa Huta, TECEATRAL OSCE")</f>
        <v>2 -room, for renovation, Nowa Huta, TECEATRAL OSCE</v>
      </c>
      <c r="D567" s="1">
        <v>589000</v>
      </c>
      <c r="E567" s="1" t="s">
        <v>33</v>
      </c>
      <c r="F567" s="1">
        <v>52</v>
      </c>
      <c r="G567" s="1" t="s">
        <v>4780</v>
      </c>
      <c r="H567" s="1" t="str">
        <f ca="1">IFERROR(__xludf.DUMMYFUNCTION("GOOGLETRANSLATE(G567,""pl"",""en"")"),"Nowa Huta, Nowa Huta, Kraków, Lesser Poland")</f>
        <v>Nowa Huta, Nowa Huta, Kraków, Lesser Poland</v>
      </c>
      <c r="I567" s="1" t="s">
        <v>21</v>
      </c>
      <c r="J567" s="1" t="s">
        <v>21</v>
      </c>
      <c r="K567" s="1" t="s">
        <v>22</v>
      </c>
      <c r="L567" s="1" t="s">
        <v>2688</v>
      </c>
      <c r="M567" s="1">
        <v>2</v>
      </c>
      <c r="N567" s="1" t="s">
        <v>24</v>
      </c>
      <c r="O567" s="1" t="str">
        <f ca="1">IFERROR(__xludf.DUMMYFUNCTION("GOOGLETRANSLATE(N567,""pl"",""en"")"),"full ownership")</f>
        <v>full ownership</v>
      </c>
      <c r="P567" s="3" t="s">
        <v>2689</v>
      </c>
      <c r="Q567" s="1" t="b">
        <v>1</v>
      </c>
      <c r="R567" s="1" t="s">
        <v>2690</v>
      </c>
    </row>
    <row r="568" spans="1:18" x14ac:dyDescent="0.25">
      <c r="A568" s="2">
        <v>45308</v>
      </c>
      <c r="B568" s="1" t="s">
        <v>2691</v>
      </c>
      <c r="C568" s="1" t="str">
        <f ca="1">IFERROR(__xludf.DUMMYFUNCTION("GOOGLETRANSLATE(B568,""pl"",""en"")"),"Occasion/4940 PLN/m2/Old Town/ideal for the office!")</f>
        <v>Occasion/4940 PLN/m2/Old Town/ideal for the office!</v>
      </c>
      <c r="D568" s="1">
        <v>289000</v>
      </c>
      <c r="E568" s="1" t="s">
        <v>33</v>
      </c>
      <c r="F568" s="1">
        <v>58.5</v>
      </c>
      <c r="G568" s="1" t="s">
        <v>2692</v>
      </c>
      <c r="H568" s="1" t="str">
        <f ca="1">IFERROR(__xludf.DUMMYFUNCTION("GOOGLETRANSLATE(G568,""pl"",""en"")"),"Słupsk, Pomeranian")</f>
        <v>Słupsk, Pomeranian</v>
      </c>
      <c r="I568" s="1" t="s">
        <v>21</v>
      </c>
      <c r="J568" s="1" t="s">
        <v>21</v>
      </c>
      <c r="K568" s="1" t="s">
        <v>22</v>
      </c>
      <c r="L568" s="1" t="s">
        <v>2693</v>
      </c>
      <c r="M568" s="1">
        <v>3</v>
      </c>
      <c r="N568" s="1" t="s">
        <v>24</v>
      </c>
      <c r="O568" s="1" t="str">
        <f ca="1">IFERROR(__xludf.DUMMYFUNCTION("GOOGLETRANSLATE(N568,""pl"",""en"")"),"full ownership")</f>
        <v>full ownership</v>
      </c>
      <c r="P568" s="3" t="s">
        <v>2694</v>
      </c>
      <c r="Q568" s="1" t="b">
        <v>1</v>
      </c>
      <c r="R568" s="1" t="s">
        <v>2695</v>
      </c>
    </row>
    <row r="569" spans="1:18" x14ac:dyDescent="0.25">
      <c r="A569" s="2">
        <v>45308</v>
      </c>
      <c r="B569" s="1" t="s">
        <v>2696</v>
      </c>
      <c r="C569" s="1" t="str">
        <f ca="1">IFERROR(__xludf.DUMMYFUNCTION("GOOGLETRANSLATE(B569,""pl"",""en"")"),"Apartment of 4 POK ul. Wanda")</f>
        <v>Apartment of 4 POK ul. Wanda</v>
      </c>
      <c r="D569" s="1">
        <v>429000</v>
      </c>
      <c r="E569" s="1" t="s">
        <v>33</v>
      </c>
      <c r="F569" s="1">
        <v>101.6</v>
      </c>
      <c r="G569" s="1" t="s">
        <v>2697</v>
      </c>
      <c r="H569" s="1" t="str">
        <f ca="1">IFERROR(__xludf.DUMMYFUNCTION("GOOGLETRANSLATE(G569,""pl"",""en"")"),"street. Wanda, Morocco-Nowina, Rybnik, Silesian Voivodeship")</f>
        <v>street. Wanda, Morocco-Nowina, Rybnik, Silesian Voivodeship</v>
      </c>
      <c r="I569" s="1" t="s">
        <v>21</v>
      </c>
      <c r="J569" s="1" t="s">
        <v>21</v>
      </c>
      <c r="K569" s="1" t="s">
        <v>22</v>
      </c>
      <c r="L569" s="1" t="s">
        <v>2698</v>
      </c>
      <c r="M569" s="1">
        <v>4</v>
      </c>
      <c r="N569" s="1" t="s">
        <v>24</v>
      </c>
      <c r="O569" s="1" t="str">
        <f ca="1">IFERROR(__xludf.DUMMYFUNCTION("GOOGLETRANSLATE(N569,""pl"",""en"")"),"full ownership")</f>
        <v>full ownership</v>
      </c>
      <c r="P569" s="3" t="s">
        <v>2699</v>
      </c>
      <c r="Q569" s="1" t="b">
        <v>1</v>
      </c>
      <c r="R569" s="1" t="s">
        <v>2700</v>
      </c>
    </row>
    <row r="570" spans="1:18" x14ac:dyDescent="0.25">
      <c r="A570" s="2">
        <v>45308</v>
      </c>
      <c r="B570" s="1" t="s">
        <v>2701</v>
      </c>
      <c r="C570" s="1" t="str">
        <f ca="1">IFERROR(__xludf.DUMMYFUNCTION("GOOGLETRANSLATE(B570,""pl"",""en"")"),"Kubali OK/2023r/3POK/Garage/Balcony/Meble/Lux")</f>
        <v>Kubali OK/2023r/3POK/Garage/Balcony/Meble/Lux</v>
      </c>
      <c r="D570" s="1">
        <v>699999</v>
      </c>
      <c r="E570" s="1" t="s">
        <v>33</v>
      </c>
      <c r="F570" s="1">
        <v>53</v>
      </c>
      <c r="G570" s="1" t="s">
        <v>2702</v>
      </c>
      <c r="H570" s="1" t="str">
        <f ca="1">IFERROR(__xludf.DUMMYFUNCTION("GOOGLETRANSLATE(G570,""pl"",""en"")"),"Kubali ok, dedicated, Psie Pole, Wrocław, DolnoSilesian Voivodeship")</f>
        <v>Kubali ok, dedicated, Psie Pole, Wrocław, DolnoSilesian Voivodeship</v>
      </c>
      <c r="I570" s="1" t="s">
        <v>21</v>
      </c>
      <c r="J570" s="1" t="s">
        <v>21</v>
      </c>
      <c r="K570" s="1" t="s">
        <v>22</v>
      </c>
      <c r="L570" s="1" t="s">
        <v>2703</v>
      </c>
      <c r="M570" s="1">
        <v>3</v>
      </c>
      <c r="N570" s="1" t="s">
        <v>24</v>
      </c>
      <c r="O570" s="1" t="str">
        <f ca="1">IFERROR(__xludf.DUMMYFUNCTION("GOOGLETRANSLATE(N570,""pl"",""en"")"),"full ownership")</f>
        <v>full ownership</v>
      </c>
      <c r="P570" s="3" t="s">
        <v>2704</v>
      </c>
      <c r="Q570" s="1" t="b">
        <v>1</v>
      </c>
      <c r="R570" s="1" t="s">
        <v>2705</v>
      </c>
    </row>
    <row r="571" spans="1:18" x14ac:dyDescent="0.25">
      <c r="A571" s="2">
        <v>45308</v>
      </c>
      <c r="B571" s="1" t="s">
        <v>2706</v>
      </c>
      <c r="C571" s="1" t="str">
        <f ca="1">IFERROR(__xludf.DUMMYFUNCTION("GOOGLETRANSLATE(B571,""pl"",""en"")"),"Air conditioning and parking place included in the price- center")</f>
        <v>Air conditioning and parking place included in the price- center</v>
      </c>
      <c r="D571" s="1">
        <v>463753</v>
      </c>
      <c r="E571" s="1" t="s">
        <v>19</v>
      </c>
      <c r="F571" s="1">
        <v>55.82</v>
      </c>
      <c r="G571" s="1" t="s">
        <v>4781</v>
      </c>
      <c r="H571" s="1" t="str">
        <f ca="1">IFERROR(__xludf.DUMMYFUNCTION("GOOGLETRANSLATE(G571,""pl"",""en"")"),"street. Niepodległości, Leszno, Greater Poland")</f>
        <v>street. Niepodległości, Leszno, Greater Poland</v>
      </c>
      <c r="I571" s="1" t="s">
        <v>21</v>
      </c>
      <c r="J571" s="1" t="s">
        <v>21</v>
      </c>
      <c r="K571" s="1" t="s">
        <v>22</v>
      </c>
      <c r="L571" s="1" t="s">
        <v>2707</v>
      </c>
      <c r="M571" s="1">
        <v>2</v>
      </c>
      <c r="N571" s="1" t="s">
        <v>24</v>
      </c>
      <c r="O571" s="1" t="str">
        <f ca="1">IFERROR(__xludf.DUMMYFUNCTION("GOOGLETRANSLATE(N571,""pl"",""en"")"),"full ownership")</f>
        <v>full ownership</v>
      </c>
      <c r="P571" s="3" t="s">
        <v>2708</v>
      </c>
      <c r="Q571" s="1" t="b">
        <v>1</v>
      </c>
      <c r="R571" s="1" t="s">
        <v>2709</v>
      </c>
    </row>
    <row r="572" spans="1:18" x14ac:dyDescent="0.25">
      <c r="A572" s="2">
        <v>45308</v>
      </c>
      <c r="B572" s="1" t="s">
        <v>2710</v>
      </c>
      <c r="C572" s="1" t="str">
        <f ca="1">IFERROR(__xludf.DUMMYFUNCTION("GOOGLETRANSLATE(B572,""pl"",""en"")"),"A flat in a modern style of 52 m2 to the entrance.")</f>
        <v>A flat in a modern style of 52 m2 to the entrance.</v>
      </c>
      <c r="D572" s="1">
        <v>579000</v>
      </c>
      <c r="E572" s="1" t="s">
        <v>33</v>
      </c>
      <c r="F572" s="1">
        <v>52</v>
      </c>
      <c r="G572" s="1" t="s">
        <v>2711</v>
      </c>
      <c r="H572" s="1" t="str">
        <f ca="1">IFERROR(__xludf.DUMMYFUNCTION("GOOGLETRANSLATE(G572,""pl"",""en"")"),"Piastów, Rzeszów, Podkarpackie")</f>
        <v>Piastów, Rzeszów, Podkarpackie</v>
      </c>
      <c r="I572" s="1" t="s">
        <v>21</v>
      </c>
      <c r="J572" s="1" t="s">
        <v>21</v>
      </c>
      <c r="K572" s="1" t="s">
        <v>22</v>
      </c>
      <c r="L572" s="1" t="s">
        <v>2712</v>
      </c>
      <c r="M572" s="1">
        <v>2</v>
      </c>
      <c r="N572" s="1" t="s">
        <v>24</v>
      </c>
      <c r="O572" s="1" t="str">
        <f ca="1">IFERROR(__xludf.DUMMYFUNCTION("GOOGLETRANSLATE(N572,""pl"",""en"")"),"full ownership")</f>
        <v>full ownership</v>
      </c>
      <c r="P572" s="3" t="s">
        <v>2713</v>
      </c>
      <c r="Q572" s="1" t="b">
        <v>1</v>
      </c>
      <c r="R572" s="1" t="s">
        <v>2714</v>
      </c>
    </row>
    <row r="573" spans="1:18" x14ac:dyDescent="0.25">
      <c r="A573" s="2">
        <v>45308</v>
      </c>
      <c r="B573" s="1" t="s">
        <v>2715</v>
      </c>
      <c r="C573" s="1" t="str">
        <f ca="1">IFERROR(__xludf.DUMMYFUNCTION("GOOGLETRANSLATE(B573,""pl"",""en"")"),"Double -sided apartment near Solanek / 2 rooms")</f>
        <v>Double -sided apartment near Solanek / 2 rooms</v>
      </c>
      <c r="D573" s="1">
        <v>289000</v>
      </c>
      <c r="E573" s="1" t="s">
        <v>33</v>
      </c>
      <c r="F573" s="1">
        <v>49.8</v>
      </c>
      <c r="G573" s="1" t="s">
        <v>2716</v>
      </c>
      <c r="H573" s="1" t="str">
        <f ca="1">IFERROR(__xludf.DUMMYFUNCTION("GOOGLETRANSLATE(G573,""pl"",""en"")"),"Inowrocław, Inowrocławski, Kujawsko-Pomeranian Voivodeship")</f>
        <v>Inowrocław, Inowrocławski, Kujawsko-Pomeranian Voivodeship</v>
      </c>
      <c r="I573" s="1" t="s">
        <v>21</v>
      </c>
      <c r="J573" s="1" t="s">
        <v>21</v>
      </c>
      <c r="K573" s="1" t="s">
        <v>22</v>
      </c>
      <c r="L573" s="1" t="s">
        <v>2717</v>
      </c>
      <c r="M573" s="1">
        <v>2</v>
      </c>
      <c r="N573" s="1" t="s">
        <v>24</v>
      </c>
      <c r="O573" s="1" t="str">
        <f ca="1">IFERROR(__xludf.DUMMYFUNCTION("GOOGLETRANSLATE(N573,""pl"",""en"")"),"full ownership")</f>
        <v>full ownership</v>
      </c>
      <c r="P573" s="3" t="s">
        <v>2718</v>
      </c>
      <c r="Q573" s="1" t="b">
        <v>1</v>
      </c>
      <c r="R573" s="1" t="s">
        <v>2719</v>
      </c>
    </row>
    <row r="574" spans="1:18" x14ac:dyDescent="0.25">
      <c r="A574" s="2">
        <v>45173</v>
      </c>
      <c r="B574" s="1" t="s">
        <v>2720</v>
      </c>
      <c r="C574" s="1" t="str">
        <f ca="1">IFERROR(__xludf.DUMMYFUNCTION("GOOGLETRANSLATE(B574,""pl"",""en"")"),"A flat in the center of Częstochowa")</f>
        <v>A flat in the center of Częstochowa</v>
      </c>
      <c r="D574" s="1">
        <v>360000</v>
      </c>
      <c r="E574" s="1" t="s">
        <v>33</v>
      </c>
      <c r="F574" s="1">
        <v>65</v>
      </c>
      <c r="G574" s="1" t="s">
        <v>2721</v>
      </c>
      <c r="H574" s="1" t="str">
        <f ca="1">IFERROR(__xludf.DUMMYFUNCTION("GOOGLETRANSLATE(G574,""pl"",""en"")"),"Śródmieście, Częstochowa, Silesian Voivodeship")</f>
        <v>Śródmieście, Częstochowa, Silesian Voivodeship</v>
      </c>
      <c r="I574" s="1" t="s">
        <v>21</v>
      </c>
      <c r="J574" s="1" t="s">
        <v>21</v>
      </c>
      <c r="K574" s="1" t="s">
        <v>22</v>
      </c>
      <c r="L574" s="1" t="s">
        <v>2722</v>
      </c>
      <c r="M574" s="1">
        <v>3</v>
      </c>
      <c r="N574" s="1" t="s">
        <v>85</v>
      </c>
      <c r="O574" s="1" t="str">
        <f ca="1">IFERROR(__xludf.DUMMYFUNCTION("GOOGLETRANSLATE(N574,""pl"",""en"")"),"Cooperative ownership of the right to the premises")</f>
        <v>Cooperative ownership of the right to the premises</v>
      </c>
      <c r="P574" s="3" t="s">
        <v>2723</v>
      </c>
      <c r="Q574" s="1" t="b">
        <v>1</v>
      </c>
      <c r="R574" s="1" t="s">
        <v>2724</v>
      </c>
    </row>
    <row r="575" spans="1:18" x14ac:dyDescent="0.25">
      <c r="A575" s="2">
        <v>45173</v>
      </c>
      <c r="B575" s="1" t="s">
        <v>2725</v>
      </c>
      <c r="C575" s="1" t="str">
        <f ca="1">IFERROR(__xludf.DUMMYFUNCTION("GOOGLETRANSLATE(B575,""pl"",""en"")"),"Apartment in the development state of the second floor B8m9")</f>
        <v>Apartment in the development state of the second floor B8m9</v>
      </c>
      <c r="D575" s="1">
        <v>263568</v>
      </c>
      <c r="E575" s="1" t="s">
        <v>19</v>
      </c>
      <c r="F575" s="1">
        <v>38.76</v>
      </c>
      <c r="G575" s="1" t="s">
        <v>2726</v>
      </c>
      <c r="H575" s="1" t="str">
        <f ca="1">IFERROR(__xludf.DUMMYFUNCTION("GOOGLETRANSLATE(G575,""pl"",""en"")"),"street. Bolesław Śmiały, Głogów, Głogowski, DolnoSilesian Voivodeship")</f>
        <v>street. Bolesław Śmiały, Głogów, Głogowski, DolnoSilesian Voivodeship</v>
      </c>
      <c r="I575" s="1" t="s">
        <v>21</v>
      </c>
      <c r="J575" s="1" t="s">
        <v>21</v>
      </c>
      <c r="K575" s="1" t="s">
        <v>194</v>
      </c>
      <c r="L575" s="1" t="s">
        <v>2727</v>
      </c>
      <c r="M575" s="1">
        <v>2</v>
      </c>
      <c r="N575" s="1" t="s">
        <v>24</v>
      </c>
      <c r="O575" s="1" t="str">
        <f ca="1">IFERROR(__xludf.DUMMYFUNCTION("GOOGLETRANSLATE(N575,""pl"",""en"")"),"full ownership")</f>
        <v>full ownership</v>
      </c>
      <c r="P575" s="3" t="s">
        <v>2728</v>
      </c>
      <c r="Q575" s="1" t="b">
        <v>1</v>
      </c>
      <c r="R575" s="1" t="s">
        <v>2729</v>
      </c>
    </row>
    <row r="576" spans="1:18" x14ac:dyDescent="0.25">
      <c r="A576" s="2">
        <v>45173</v>
      </c>
      <c r="B576" s="1" t="s">
        <v>2730</v>
      </c>
      <c r="C576" s="1" t="str">
        <f ca="1">IFERROR(__xludf.DUMMYFUNCTION("GOOGLETRANSLATE(B576,""pl"",""en"")"),"Ownership apartment Chojnice, Gdańsk 95 76.31")</f>
        <v>Ownership apartment Chojnice, Gdańsk 95 76.31</v>
      </c>
      <c r="D576" s="1">
        <v>480753</v>
      </c>
      <c r="E576" s="1" t="s">
        <v>19</v>
      </c>
      <c r="F576" s="1">
        <v>76.31</v>
      </c>
      <c r="G576" s="1" t="s">
        <v>2731</v>
      </c>
      <c r="H576" s="1" t="str">
        <f ca="1">IFERROR(__xludf.DUMMYFUNCTION("GOOGLETRANSLATE(G576,""pl"",""en"")"),"Chojnice, Chojnicki, Pomeranian")</f>
        <v>Chojnice, Chojnicki, Pomeranian</v>
      </c>
      <c r="I576" s="1" t="b">
        <v>1</v>
      </c>
      <c r="J576" s="1" t="s">
        <v>21</v>
      </c>
      <c r="K576" s="1" t="s">
        <v>22</v>
      </c>
      <c r="L576" s="1" t="s">
        <v>2732</v>
      </c>
      <c r="M576" s="1">
        <v>4</v>
      </c>
      <c r="N576" s="1" t="s">
        <v>24</v>
      </c>
      <c r="O576" s="1" t="str">
        <f ca="1">IFERROR(__xludf.DUMMYFUNCTION("GOOGLETRANSLATE(N576,""pl"",""en"")"),"full ownership")</f>
        <v>full ownership</v>
      </c>
      <c r="P576" s="3" t="s">
        <v>2733</v>
      </c>
      <c r="Q576" s="1" t="b">
        <v>1</v>
      </c>
      <c r="R576" s="1" t="s">
        <v>2734</v>
      </c>
    </row>
    <row r="577" spans="1:18" x14ac:dyDescent="0.25">
      <c r="A577" s="2">
        <v>45173</v>
      </c>
      <c r="B577" s="1" t="s">
        <v>2735</v>
      </c>
      <c r="C577" s="1" t="str">
        <f ca="1">IFERROR(__xludf.DUMMYFUNCTION("GOOGLETRANSLATE(B577,""pl"",""en"")"),"Apartment - Rotmanka")</f>
        <v>Apartment - Rotmanka</v>
      </c>
      <c r="D577" s="1">
        <v>490000</v>
      </c>
      <c r="E577" s="1" t="s">
        <v>33</v>
      </c>
      <c r="F577" s="1">
        <v>51.84</v>
      </c>
      <c r="G577" s="1" t="s">
        <v>2736</v>
      </c>
      <c r="H577" s="1" t="str">
        <f ca="1">IFERROR(__xludf.DUMMYFUNCTION("GOOGLETRANSLATE(G577,""pl"",""en"")"),"street. Fairy tales, Straszyn, Pruszcz Gdański, Gdański, Pomeranian Voivodeship")</f>
        <v>street. Fairy tales, Straszyn, Pruszcz Gdański, Gdański, Pomeranian Voivodeship</v>
      </c>
      <c r="I577" s="1" t="s">
        <v>21</v>
      </c>
      <c r="J577" s="1" t="s">
        <v>21</v>
      </c>
      <c r="K577" s="1" t="s">
        <v>22</v>
      </c>
      <c r="L577" s="1" t="s">
        <v>2737</v>
      </c>
      <c r="M577" s="1">
        <v>3</v>
      </c>
      <c r="N577" s="1" t="s">
        <v>24</v>
      </c>
      <c r="O577" s="1" t="str">
        <f ca="1">IFERROR(__xludf.DUMMYFUNCTION("GOOGLETRANSLATE(N577,""pl"",""en"")"),"full ownership")</f>
        <v>full ownership</v>
      </c>
      <c r="P577" s="3" t="s">
        <v>2738</v>
      </c>
      <c r="Q577" s="1" t="b">
        <v>1</v>
      </c>
      <c r="R577" s="1" t="s">
        <v>2739</v>
      </c>
    </row>
    <row r="578" spans="1:18" x14ac:dyDescent="0.25">
      <c r="A578" s="2">
        <v>45173</v>
      </c>
      <c r="B578" s="1" t="s">
        <v>2740</v>
      </c>
      <c r="C578" s="1" t="str">
        <f ca="1">IFERROR(__xludf.DUMMYFUNCTION("GOOGLETRANSLATE(B578,""pl"",""en"")"),"A flat in a developer state")</f>
        <v>A flat in a developer state</v>
      </c>
      <c r="D578" s="1">
        <v>413300</v>
      </c>
      <c r="E578" s="1" t="s">
        <v>19</v>
      </c>
      <c r="F578" s="1">
        <v>69.47</v>
      </c>
      <c r="G578" s="1" t="s">
        <v>2741</v>
      </c>
      <c r="H578" s="1" t="str">
        <f ca="1">IFERROR(__xludf.DUMMYFUNCTION("GOOGLETRANSLATE(G578,""pl"",""en"")"),"street. Akademicka, Dębica, Dębicki, Podkarpackie")</f>
        <v>street. Akademicka, Dębica, Dębicki, Podkarpackie</v>
      </c>
      <c r="I578" s="1" t="s">
        <v>21</v>
      </c>
      <c r="J578" s="1" t="s">
        <v>21</v>
      </c>
      <c r="K578" s="1" t="s">
        <v>22</v>
      </c>
      <c r="L578" s="1" t="s">
        <v>2742</v>
      </c>
      <c r="M578" s="1">
        <v>4</v>
      </c>
      <c r="N578" s="1" t="s">
        <v>24</v>
      </c>
      <c r="O578" s="1" t="str">
        <f ca="1">IFERROR(__xludf.DUMMYFUNCTION("GOOGLETRANSLATE(N578,""pl"",""en"")"),"full ownership")</f>
        <v>full ownership</v>
      </c>
      <c r="P578" s="3" t="s">
        <v>2743</v>
      </c>
      <c r="Q578" s="1" t="b">
        <v>1</v>
      </c>
      <c r="R578" s="1" t="s">
        <v>2744</v>
      </c>
    </row>
    <row r="579" spans="1:18" x14ac:dyDescent="0.25">
      <c r="A579" s="2">
        <v>45173</v>
      </c>
      <c r="B579" s="1" t="s">
        <v>2745</v>
      </c>
      <c r="C579" s="1" t="str">
        <f ca="1">IFERROR(__xludf.DUMMYFUNCTION("GOOGLETRANSLATE(B579,""pl"",""en"")"),"Apartment in Szeregowiec with a garden, near the lake")</f>
        <v>Apartment in Szeregowiec with a garden, near the lake</v>
      </c>
      <c r="D579" s="1">
        <v>750000</v>
      </c>
      <c r="E579" s="1" t="s">
        <v>33</v>
      </c>
      <c r="F579" s="1">
        <v>90</v>
      </c>
      <c r="G579" s="1" t="s">
        <v>4782</v>
      </c>
      <c r="H579" s="1" t="str">
        <f ca="1">IFERROR(__xludf.DUMMYFUNCTION("GOOGLETRANSLATE(G579,""pl"",""en"")"),"Lusówko, Tarnowo Podgórne, Poznań, Greater Poland")</f>
        <v>Lusówko, Tarnowo Podgórne, Poznań, Greater Poland</v>
      </c>
      <c r="I579" s="1" t="b">
        <v>1</v>
      </c>
      <c r="J579" s="1" t="s">
        <v>21</v>
      </c>
      <c r="K579" s="1" t="s">
        <v>22</v>
      </c>
      <c r="L579" s="1" t="s">
        <v>2746</v>
      </c>
      <c r="M579" s="1">
        <v>4</v>
      </c>
      <c r="N579" s="1" t="s">
        <v>24</v>
      </c>
      <c r="O579" s="1" t="str">
        <f ca="1">IFERROR(__xludf.DUMMYFUNCTION("GOOGLETRANSLATE(N579,""pl"",""en"")"),"full ownership")</f>
        <v>full ownership</v>
      </c>
      <c r="P579" s="3" t="s">
        <v>2747</v>
      </c>
      <c r="Q579" s="1" t="b">
        <v>1</v>
      </c>
      <c r="R579" s="1" t="s">
        <v>2748</v>
      </c>
    </row>
    <row r="580" spans="1:18" x14ac:dyDescent="0.25">
      <c r="A580" s="2">
        <v>45173</v>
      </c>
      <c r="B580" s="1" t="s">
        <v>2749</v>
      </c>
      <c r="C580" s="1" t="str">
        <f ca="1">IFERROR(__xludf.DUMMYFUNCTION("GOOGLETRANSLATE(B580,""pl"",""en"")"),"Apartment in the investment Grzegórzecka 77 with terrace!")</f>
        <v>Apartment in the investment Grzegórzecka 77 with terrace!</v>
      </c>
      <c r="D580" s="1">
        <v>1116449</v>
      </c>
      <c r="E580" s="1" t="s">
        <v>19</v>
      </c>
      <c r="F580" s="1">
        <v>50.75</v>
      </c>
      <c r="G580" s="1" t="s">
        <v>4772</v>
      </c>
      <c r="H580" s="1" t="str">
        <f ca="1">IFERROR(__xludf.DUMMYFUNCTION("GOOGLETRANSLATE(G580,""pl"",""en"")"),"street. Grzegórzecka, Grzegórzki, Grzegórzki, Kraków, Lesser Poland")</f>
        <v>street. Grzegórzecka, Grzegórzki, Grzegórzki, Kraków, Lesser Poland</v>
      </c>
      <c r="I580" s="1" t="s">
        <v>21</v>
      </c>
      <c r="J580" s="1" t="s">
        <v>21</v>
      </c>
      <c r="K580" s="1" t="s">
        <v>22</v>
      </c>
      <c r="L580" s="1" t="s">
        <v>2750</v>
      </c>
      <c r="M580" s="1">
        <v>3</v>
      </c>
      <c r="N580" s="1" t="s">
        <v>24</v>
      </c>
      <c r="O580" s="1" t="str">
        <f ca="1">IFERROR(__xludf.DUMMYFUNCTION("GOOGLETRANSLATE(N580,""pl"",""en"")"),"full ownership")</f>
        <v>full ownership</v>
      </c>
      <c r="P580" s="3" t="s">
        <v>2751</v>
      </c>
      <c r="Q580" s="1" t="b">
        <v>1</v>
      </c>
      <c r="R580" s="1" t="s">
        <v>2752</v>
      </c>
    </row>
    <row r="581" spans="1:18" x14ac:dyDescent="0.25">
      <c r="A581" s="2">
        <v>45173</v>
      </c>
      <c r="B581" s="1" t="s">
        <v>2753</v>
      </c>
      <c r="C581" s="1" t="str">
        <f ca="1">IFERROR(__xludf.DUMMYFUNCTION("GOOGLETRANSLATE(B581,""pl"",""en"")"),"Apartment in Zamość 81.12 m2 !!! Low rent !!!")</f>
        <v>Apartment in Zamość 81.12 m2 !!! Low rent !!!</v>
      </c>
      <c r="D581" s="1">
        <v>389000</v>
      </c>
      <c r="E581" s="1" t="s">
        <v>33</v>
      </c>
      <c r="F581" s="1">
        <v>72.88</v>
      </c>
      <c r="G581" s="1" t="s">
        <v>2754</v>
      </c>
      <c r="H581" s="1" t="str">
        <f ca="1">IFERROR(__xludf.DUMMYFUNCTION("GOOGLETRANSLATE(G581,""pl"",""en"")"),"street. march. Józef Piłsudski, Zamość, Lublin Voivodeship")</f>
        <v>street. march. Józef Piłsudski, Zamość, Lublin Voivodeship</v>
      </c>
      <c r="I581" s="1" t="b">
        <v>1</v>
      </c>
      <c r="J581" s="1" t="s">
        <v>21</v>
      </c>
      <c r="K581" s="1" t="s">
        <v>22</v>
      </c>
      <c r="L581" s="1" t="s">
        <v>2755</v>
      </c>
      <c r="M581" s="1">
        <v>4</v>
      </c>
      <c r="N581" s="1" t="s">
        <v>24</v>
      </c>
      <c r="O581" s="1" t="str">
        <f ca="1">IFERROR(__xludf.DUMMYFUNCTION("GOOGLETRANSLATE(N581,""pl"",""en"")"),"full ownership")</f>
        <v>full ownership</v>
      </c>
      <c r="P581" s="3" t="s">
        <v>2756</v>
      </c>
      <c r="Q581" s="1" t="b">
        <v>1</v>
      </c>
      <c r="R581" s="1" t="s">
        <v>2757</v>
      </c>
    </row>
    <row r="582" spans="1:18" x14ac:dyDescent="0.25">
      <c r="A582" s="2">
        <v>45308</v>
      </c>
      <c r="B582" s="1" t="s">
        <v>2758</v>
      </c>
      <c r="C582" s="1" t="str">
        <f ca="1">IFERROR(__xludf.DUMMYFUNCTION("GOOGLETRANSLATE(B582,""pl"",""en"")"),"3 rooms Bemowo Narewik 61m2, garage, metro, direct")</f>
        <v>3 rooms Bemowo Narewik 61m2, garage, metro, direct</v>
      </c>
      <c r="D582" s="1">
        <v>814000</v>
      </c>
      <c r="E582" s="1" t="s">
        <v>33</v>
      </c>
      <c r="F582" s="1">
        <v>60.7</v>
      </c>
      <c r="G582" s="1" t="s">
        <v>2759</v>
      </c>
      <c r="H582" s="1" t="str">
        <f ca="1">IFERROR(__xludf.DUMMYFUNCTION("GOOGLETRANSLATE(G582,""pl"",""en"")"),"street. Narwik, Górka, Bemowo, Warsaw, Masovian Voivodeship")</f>
        <v>street. Narwik, Górka, Bemowo, Warsaw, Masovian Voivodeship</v>
      </c>
      <c r="I582" s="1" t="s">
        <v>21</v>
      </c>
      <c r="J582" s="1" t="s">
        <v>21</v>
      </c>
      <c r="K582" s="1" t="s">
        <v>45</v>
      </c>
      <c r="L582" s="1" t="s">
        <v>2760</v>
      </c>
      <c r="M582" s="1">
        <v>3</v>
      </c>
      <c r="N582" s="1" t="s">
        <v>85</v>
      </c>
      <c r="O582" s="1" t="str">
        <f ca="1">IFERROR(__xludf.DUMMYFUNCTION("GOOGLETRANSLATE(N582,""pl"",""en"")"),"Cooperative ownership of the right to the premises")</f>
        <v>Cooperative ownership of the right to the premises</v>
      </c>
      <c r="P582" s="3" t="s">
        <v>2761</v>
      </c>
      <c r="Q582" s="1" t="b">
        <v>1</v>
      </c>
      <c r="R582" s="1" t="s">
        <v>2762</v>
      </c>
    </row>
    <row r="583" spans="1:18" x14ac:dyDescent="0.25">
      <c r="A583" s="2">
        <v>45308</v>
      </c>
      <c r="B583" s="1" t="s">
        <v>2763</v>
      </c>
      <c r="C583" s="1" t="str">
        <f ca="1">IFERROR(__xludf.DUMMYFUNCTION("GOOGLETRANSLATE(B583,""pl"",""en"")"),"Villa at the foot of the Beskids.")</f>
        <v>Villa at the foot of the Beskids.</v>
      </c>
      <c r="D583" s="1">
        <v>1390000</v>
      </c>
      <c r="E583" s="1" t="s">
        <v>33</v>
      </c>
      <c r="F583" s="1">
        <v>390</v>
      </c>
      <c r="G583" s="1" t="s">
        <v>2764</v>
      </c>
      <c r="H583" s="1" t="str">
        <f ca="1">IFERROR(__xludf.DUMMYFUNCTION("GOOGLETRANSLATE(G583,""pl"",""en"")"),"Biała Śródmieście, Bielsko-Biała, Silesia")</f>
        <v>Biała Śródmieście, Bielsko-Biała, Silesia</v>
      </c>
      <c r="I583" s="1" t="b">
        <v>1</v>
      </c>
      <c r="J583" s="1" t="s">
        <v>21</v>
      </c>
      <c r="K583" s="1" t="s">
        <v>22</v>
      </c>
      <c r="L583" s="1" t="s">
        <v>2765</v>
      </c>
      <c r="M583" s="1">
        <v>10</v>
      </c>
      <c r="N583" s="1" t="s">
        <v>21</v>
      </c>
      <c r="O583" s="1" t="str">
        <f ca="1">IFERROR(__xludf.DUMMYFUNCTION("GOOGLETRANSLATE(N583,""pl"",""en"")"),"null")</f>
        <v>null</v>
      </c>
      <c r="P583" s="3" t="s">
        <v>2766</v>
      </c>
      <c r="Q583" s="1" t="b">
        <v>1</v>
      </c>
      <c r="R583" s="1" t="s">
        <v>2767</v>
      </c>
    </row>
    <row r="584" spans="1:18" x14ac:dyDescent="0.25">
      <c r="A584" s="2">
        <v>45308</v>
      </c>
      <c r="B584" s="1" t="s">
        <v>2768</v>
      </c>
      <c r="C584" s="1" t="str">
        <f ca="1">IFERROR(__xludf.DUMMYFUNCTION("GOOGLETRANSLATE(B584,""pl"",""en"")"),"A large 2-room apartment with a balcony on Plantowa")</f>
        <v>A large 2-room apartment with a balcony on Plantowa</v>
      </c>
      <c r="D584" s="1">
        <v>370000</v>
      </c>
      <c r="E584" s="1" t="s">
        <v>33</v>
      </c>
      <c r="F584" s="1">
        <v>45.1</v>
      </c>
      <c r="G584" s="1" t="s">
        <v>2769</v>
      </c>
      <c r="H584" s="1" t="str">
        <f ca="1">IFERROR(__xludf.DUMMYFUNCTION("GOOGLETRANSLATE(G584,""pl"",""en"")"),"street. Plantowa, Teofilów, Bałuty, Łódź, Łódź")</f>
        <v>street. Plantowa, Teofilów, Bałuty, Łódź, Łódź</v>
      </c>
      <c r="I584" s="1" t="s">
        <v>21</v>
      </c>
      <c r="J584" s="1" t="s">
        <v>21</v>
      </c>
      <c r="K584" s="1" t="s">
        <v>22</v>
      </c>
      <c r="L584" s="1" t="s">
        <v>2770</v>
      </c>
      <c r="M584" s="1">
        <v>2</v>
      </c>
      <c r="N584" s="1" t="s">
        <v>24</v>
      </c>
      <c r="O584" s="1" t="str">
        <f ca="1">IFERROR(__xludf.DUMMYFUNCTION("GOOGLETRANSLATE(N584,""pl"",""en"")"),"full ownership")</f>
        <v>full ownership</v>
      </c>
      <c r="P584" s="3" t="s">
        <v>2771</v>
      </c>
      <c r="Q584" s="1" t="b">
        <v>1</v>
      </c>
      <c r="R584" s="1" t="s">
        <v>2772</v>
      </c>
    </row>
    <row r="585" spans="1:18" x14ac:dyDescent="0.25">
      <c r="A585" s="2">
        <v>45308</v>
      </c>
      <c r="B585" s="1" t="s">
        <v>2773</v>
      </c>
      <c r="C585" s="1" t="str">
        <f ca="1">IFERROR(__xludf.DUMMYFUNCTION("GOOGLETRANSLATE(B585,""pl"",""en"")"),"Apartment in Szczebrzeszyn")</f>
        <v>Apartment in Szczebrzeszyn</v>
      </c>
      <c r="D585" s="1">
        <v>255000</v>
      </c>
      <c r="E585" s="1" t="s">
        <v>33</v>
      </c>
      <c r="F585" s="1">
        <v>47</v>
      </c>
      <c r="G585" s="1" t="s">
        <v>2774</v>
      </c>
      <c r="H585" s="1" t="str">
        <f ca="1">IFERROR(__xludf.DUMMYFUNCTION("GOOGLETRANSLATE(G585,""pl"",""en"")"),"Szczebrzeszyn, Szczebrzeszyn, Zamojski, Lublin")</f>
        <v>Szczebrzeszyn, Szczebrzeszyn, Zamojski, Lublin</v>
      </c>
      <c r="I585" s="1" t="s">
        <v>21</v>
      </c>
      <c r="J585" s="1" t="s">
        <v>21</v>
      </c>
      <c r="K585" s="1" t="s">
        <v>22</v>
      </c>
      <c r="L585" s="1" t="s">
        <v>2775</v>
      </c>
      <c r="M585" s="1">
        <v>2</v>
      </c>
      <c r="N585" s="1" t="s">
        <v>24</v>
      </c>
      <c r="O585" s="1" t="str">
        <f ca="1">IFERROR(__xludf.DUMMYFUNCTION("GOOGLETRANSLATE(N585,""pl"",""en"")"),"full ownership")</f>
        <v>full ownership</v>
      </c>
      <c r="P585" s="3" t="s">
        <v>2776</v>
      </c>
      <c r="Q585" s="1" t="b">
        <v>1</v>
      </c>
      <c r="R585" s="1" t="s">
        <v>2777</v>
      </c>
    </row>
    <row r="586" spans="1:18" x14ac:dyDescent="0.25">
      <c r="A586" s="2">
        <v>45308</v>
      </c>
      <c r="B586" s="1" t="s">
        <v>2778</v>
      </c>
      <c r="C586" s="1" t="str">
        <f ca="1">IFERROR(__xludf.DUMMYFUNCTION("GOOGLETRANSLATE(B586,""pl"",""en"")"),"House in eyebrow - near Wisła - 9 km to Płock")</f>
        <v>House in eyebrow - near Wisła - 9 km to Płock</v>
      </c>
      <c r="D586" s="1">
        <v>549000</v>
      </c>
      <c r="E586" s="1" t="s">
        <v>33</v>
      </c>
      <c r="F586" s="1">
        <v>360</v>
      </c>
      <c r="G586" s="1" t="s">
        <v>2779</v>
      </c>
      <c r="H586" s="1" t="str">
        <f ca="1">IFERROR(__xludf.DUMMYFUNCTION("GOOGLETRANSLATE(G586,""pl"",""en"")"),"Eyebrow, old white, Płock, Masovian Voivodeship")</f>
        <v>Eyebrow, old white, Płock, Masovian Voivodeship</v>
      </c>
      <c r="I586" s="1" t="b">
        <v>1</v>
      </c>
      <c r="J586" s="1" t="s">
        <v>21</v>
      </c>
      <c r="K586" s="1" t="s">
        <v>22</v>
      </c>
      <c r="L586" s="1" t="s">
        <v>2780</v>
      </c>
      <c r="M586" s="1">
        <v>6</v>
      </c>
      <c r="N586" s="1" t="s">
        <v>21</v>
      </c>
      <c r="O586" s="1" t="str">
        <f ca="1">IFERROR(__xludf.DUMMYFUNCTION("GOOGLETRANSLATE(N586,""pl"",""en"")"),"null")</f>
        <v>null</v>
      </c>
      <c r="P586" s="3" t="s">
        <v>2781</v>
      </c>
      <c r="Q586" s="1" t="b">
        <v>1</v>
      </c>
      <c r="R586" s="1" t="s">
        <v>2782</v>
      </c>
    </row>
    <row r="587" spans="1:18" x14ac:dyDescent="0.25">
      <c r="A587" s="2">
        <v>45173</v>
      </c>
      <c r="B587" s="1" t="s">
        <v>2783</v>
      </c>
      <c r="C587" s="1" t="str">
        <f ca="1">IFERROR(__xludf.DUMMYFUNCTION("GOOGLETRANSLATE(B587,""pl"",""en"")"),"A flat in a block of flats with a large gardening plot.")</f>
        <v>A flat in a block of flats with a large gardening plot.</v>
      </c>
      <c r="D587" s="1">
        <v>175000</v>
      </c>
      <c r="E587" s="1" t="s">
        <v>33</v>
      </c>
      <c r="F587" s="1">
        <v>50</v>
      </c>
      <c r="G587" s="1" t="s">
        <v>2784</v>
      </c>
      <c r="H587" s="1" t="str">
        <f ca="1">IFERROR(__xludf.DUMMYFUNCTION("GOOGLETRANSLATE(G587,""pl"",""en"")"),"Bladowo, Tuchola, Tucholski, Kujawsko-Pomeranian Voivodeship")</f>
        <v>Bladowo, Tuchola, Tucholski, Kujawsko-Pomeranian Voivodeship</v>
      </c>
      <c r="I587" s="1" t="s">
        <v>21</v>
      </c>
      <c r="J587" s="1" t="s">
        <v>21</v>
      </c>
      <c r="K587" s="1" t="s">
        <v>22</v>
      </c>
      <c r="L587" s="1" t="s">
        <v>2785</v>
      </c>
      <c r="M587" s="1">
        <v>2</v>
      </c>
      <c r="N587" s="1" t="s">
        <v>24</v>
      </c>
      <c r="O587" s="1" t="str">
        <f ca="1">IFERROR(__xludf.DUMMYFUNCTION("GOOGLETRANSLATE(N587,""pl"",""en"")"),"full ownership")</f>
        <v>full ownership</v>
      </c>
      <c r="P587" s="3" t="s">
        <v>2786</v>
      </c>
      <c r="Q587" s="1" t="b">
        <v>1</v>
      </c>
      <c r="R587" s="1" t="s">
        <v>2787</v>
      </c>
    </row>
    <row r="588" spans="1:18" x14ac:dyDescent="0.25">
      <c r="A588" s="2">
        <v>45173</v>
      </c>
      <c r="B588" s="1" t="s">
        <v>2788</v>
      </c>
      <c r="C588" s="1" t="str">
        <f ca="1">IFERROR(__xludf.DUMMYFUNCTION("GOOGLETRANSLATE(B588,""pl"",""en"")"),"Apartment after general renovation, 3 rooms, balcony")</f>
        <v>Apartment after general renovation, 3 rooms, balcony</v>
      </c>
      <c r="D588" s="1">
        <v>245000</v>
      </c>
      <c r="E588" s="1" t="s">
        <v>33</v>
      </c>
      <c r="F588" s="1">
        <v>57.15</v>
      </c>
      <c r="G588" s="1" t="s">
        <v>2789</v>
      </c>
      <c r="H588" s="1" t="str">
        <f ca="1">IFERROR(__xludf.DUMMYFUNCTION("GOOGLETRANSLATE(G588,""pl"",""en"")"),"Piława Górna, Dzierżoniowski, DolnoSilesian Voivodeship")</f>
        <v>Piława Górna, Dzierżoniowski, DolnoSilesian Voivodeship</v>
      </c>
      <c r="I588" s="1" t="s">
        <v>21</v>
      </c>
      <c r="J588" s="1" t="s">
        <v>21</v>
      </c>
      <c r="K588" s="1" t="s">
        <v>22</v>
      </c>
      <c r="L588" s="1" t="s">
        <v>2790</v>
      </c>
      <c r="M588" s="1">
        <v>3</v>
      </c>
      <c r="N588" s="1" t="s">
        <v>24</v>
      </c>
      <c r="O588" s="1" t="str">
        <f ca="1">IFERROR(__xludf.DUMMYFUNCTION("GOOGLETRANSLATE(N588,""pl"",""en"")"),"full ownership")</f>
        <v>full ownership</v>
      </c>
      <c r="P588" s="3" t="s">
        <v>2791</v>
      </c>
      <c r="Q588" s="1" t="b">
        <v>1</v>
      </c>
      <c r="R588" s="1" t="s">
        <v>2792</v>
      </c>
    </row>
    <row r="589" spans="1:18" x14ac:dyDescent="0.25">
      <c r="A589" s="2">
        <v>45173</v>
      </c>
      <c r="B589" s="1" t="s">
        <v>2793</v>
      </c>
      <c r="C589" s="1" t="str">
        <f ca="1">IFERROR(__xludf.DUMMYFUNCTION("GOOGLETRANSLATE(B589,""pl"",""en"")"),"Apartment No. 12 - 1 floor - 59.01 m2 - 3 rooms")</f>
        <v>Apartment No. 12 - 1 floor - 59.01 m2 - 3 rooms</v>
      </c>
      <c r="D589" s="1">
        <v>424872</v>
      </c>
      <c r="E589" s="1" t="s">
        <v>19</v>
      </c>
      <c r="F589" s="1">
        <v>59.01</v>
      </c>
      <c r="G589" s="1" t="s">
        <v>2683</v>
      </c>
      <c r="H589" s="1" t="str">
        <f ca="1">IFERROR(__xludf.DUMMYFUNCTION("GOOGLETRANSLATE(G589,""pl"",""en"")"),"street. Konarskiego, Giżycko, Giżycki, Warmian-Masurian Voivodeship")</f>
        <v>street. Konarskiego, Giżycko, Giżycki, Warmian-Masurian Voivodeship</v>
      </c>
      <c r="I589" s="1" t="s">
        <v>21</v>
      </c>
      <c r="J589" s="1" t="s">
        <v>21</v>
      </c>
      <c r="K589" s="1" t="s">
        <v>22</v>
      </c>
      <c r="L589" s="1" t="s">
        <v>2794</v>
      </c>
      <c r="M589" s="1">
        <v>3</v>
      </c>
      <c r="N589" s="1" t="s">
        <v>24</v>
      </c>
      <c r="O589" s="1" t="str">
        <f ca="1">IFERROR(__xludf.DUMMYFUNCTION("GOOGLETRANSLATE(N589,""pl"",""en"")"),"full ownership")</f>
        <v>full ownership</v>
      </c>
      <c r="P589" s="3" t="s">
        <v>2795</v>
      </c>
      <c r="Q589" s="1" t="b">
        <v>1</v>
      </c>
      <c r="R589" s="1" t="s">
        <v>2796</v>
      </c>
    </row>
    <row r="590" spans="1:18" x14ac:dyDescent="0.25">
      <c r="A590" s="2">
        <v>45173</v>
      </c>
      <c r="B590" s="1" t="s">
        <v>2797</v>
      </c>
      <c r="C590" s="1" t="str">
        <f ca="1">IFERROR(__xludf.DUMMYFUNCTION("GOOGLETRANSLATE(B590,""pl"",""en"")"),"M-3/4 Centrum-Ok. W.Młyńska-80.81m2-IIP-449000 PLN")</f>
        <v>M-3/4 Centrum-Ok. W.Młyńska-80.81m2-IIP-449000 PLN</v>
      </c>
      <c r="D590" s="1">
        <v>449000</v>
      </c>
      <c r="E590" s="1" t="s">
        <v>33</v>
      </c>
      <c r="F590" s="1">
        <v>80.81</v>
      </c>
      <c r="G590" s="1" t="s">
        <v>2798</v>
      </c>
      <c r="H590" s="1" t="str">
        <f ca="1">IFERROR(__xludf.DUMMYFUNCTION("GOOGLETRANSLATE(G590,""pl"",""en"")"),"Old Town, Bydgoszcz, Kujawsko-Pomeranian Voivodeship")</f>
        <v>Old Town, Bydgoszcz, Kujawsko-Pomeranian Voivodeship</v>
      </c>
      <c r="I590" s="1" t="s">
        <v>21</v>
      </c>
      <c r="J590" s="1" t="s">
        <v>21</v>
      </c>
      <c r="K590" s="1" t="s">
        <v>22</v>
      </c>
      <c r="L590" s="1" t="s">
        <v>2799</v>
      </c>
      <c r="M590" s="1">
        <v>3</v>
      </c>
      <c r="N590" s="1" t="s">
        <v>24</v>
      </c>
      <c r="O590" s="1" t="str">
        <f ca="1">IFERROR(__xludf.DUMMYFUNCTION("GOOGLETRANSLATE(N590,""pl"",""en"")"),"full ownership")</f>
        <v>full ownership</v>
      </c>
      <c r="P590" s="3" t="s">
        <v>2800</v>
      </c>
      <c r="Q590" s="1" t="b">
        <v>1</v>
      </c>
      <c r="R590" s="1" t="s">
        <v>2801</v>
      </c>
    </row>
    <row r="591" spans="1:18" x14ac:dyDescent="0.25">
      <c r="A591" s="2">
        <v>45173</v>
      </c>
      <c r="B591" s="1" t="s">
        <v>2802</v>
      </c>
      <c r="C591" s="1" t="str">
        <f ca="1">IFERROR(__xludf.DUMMYFUNCTION("GOOGLETRANSLATE(B591,""pl"",""en"")"),"Tychy housing estate in")</f>
        <v>Tychy housing estate in</v>
      </c>
      <c r="D591" s="1">
        <v>249000</v>
      </c>
      <c r="E591" s="1" t="s">
        <v>33</v>
      </c>
      <c r="F591" s="1">
        <v>41.7</v>
      </c>
      <c r="G591" s="1" t="s">
        <v>2803</v>
      </c>
      <c r="H591" s="1" t="str">
        <f ca="1">IFERROR(__xludf.DUMMYFUNCTION("GOOGLETRANSLATE(G591,""pl"",""en"")"),"Tychy, Silesia")</f>
        <v>Tychy, Silesia</v>
      </c>
      <c r="I591" s="1" t="s">
        <v>21</v>
      </c>
      <c r="J591" s="1" t="s">
        <v>21</v>
      </c>
      <c r="K591" s="1" t="s">
        <v>22</v>
      </c>
      <c r="L591" s="1" t="s">
        <v>2804</v>
      </c>
      <c r="M591" s="1">
        <v>1</v>
      </c>
      <c r="N591" s="1" t="s">
        <v>85</v>
      </c>
      <c r="O591" s="1" t="str">
        <f ca="1">IFERROR(__xludf.DUMMYFUNCTION("GOOGLETRANSLATE(N591,""pl"",""en"")"),"Cooperative ownership of the right to the premises")</f>
        <v>Cooperative ownership of the right to the premises</v>
      </c>
      <c r="P591" s="3" t="s">
        <v>2805</v>
      </c>
      <c r="Q591" s="1" t="b">
        <v>1</v>
      </c>
      <c r="R591" s="1" t="s">
        <v>2806</v>
      </c>
    </row>
    <row r="592" spans="1:18" x14ac:dyDescent="0.25">
      <c r="A592" s="2">
        <v>45173</v>
      </c>
      <c r="B592" s="1" t="s">
        <v>2807</v>
      </c>
      <c r="C592" s="1" t="str">
        <f ca="1">IFERROR(__xludf.DUMMYFUNCTION("GOOGLETRANSLATE(B592,""pl"",""en"")"),"A flat in a new one")</f>
        <v>A flat in a new one</v>
      </c>
      <c r="D592" s="1">
        <v>317304</v>
      </c>
      <c r="E592" s="1" t="s">
        <v>19</v>
      </c>
      <c r="F592" s="1">
        <v>44.07</v>
      </c>
      <c r="G592" s="1" t="s">
        <v>2808</v>
      </c>
      <c r="H592" s="1" t="str">
        <f ca="1">IFERROR(__xludf.DUMMYFUNCTION("GOOGLETRANSLATE(G592,""pl"",""en"")"),"street. Stanisława Moniuszko, Kościerzyna, Kościerski, Pomeranian Voivodeship")</f>
        <v>street. Stanisława Moniuszko, Kościerzyna, Kościerski, Pomeranian Voivodeship</v>
      </c>
      <c r="I592" s="1" t="b">
        <v>1</v>
      </c>
      <c r="J592" s="1" t="s">
        <v>21</v>
      </c>
      <c r="K592" s="1" t="s">
        <v>194</v>
      </c>
      <c r="L592" s="1" t="s">
        <v>2809</v>
      </c>
      <c r="M592" s="1">
        <v>2</v>
      </c>
      <c r="N592" s="1" t="s">
        <v>24</v>
      </c>
      <c r="O592" s="1" t="str">
        <f ca="1">IFERROR(__xludf.DUMMYFUNCTION("GOOGLETRANSLATE(N592,""pl"",""en"")"),"full ownership")</f>
        <v>full ownership</v>
      </c>
      <c r="P592" s="3" t="s">
        <v>2810</v>
      </c>
      <c r="Q592" s="1" t="b">
        <v>1</v>
      </c>
      <c r="R592" s="1" t="s">
        <v>2811</v>
      </c>
    </row>
    <row r="593" spans="1:18" x14ac:dyDescent="0.25">
      <c r="A593" s="2">
        <v>45173</v>
      </c>
      <c r="B593" s="1" t="s">
        <v>2812</v>
      </c>
      <c r="C593" s="1" t="str">
        <f ca="1">IFERROR(__xludf.DUMMYFUNCTION("GOOGLETRANSLATE(B593,""pl"",""en"")"),"Apartment in an attractive place")</f>
        <v>Apartment in an attractive place</v>
      </c>
      <c r="D593" s="1">
        <v>125000</v>
      </c>
      <c r="E593" s="1" t="s">
        <v>33</v>
      </c>
      <c r="F593" s="1">
        <v>56.68</v>
      </c>
      <c r="G593" s="1" t="s">
        <v>2813</v>
      </c>
      <c r="H593" s="1" t="str">
        <f ca="1">IFERROR(__xludf.DUMMYFUNCTION("GOOGLETRANSLATE(G593,""pl"",""en"")"),"street. Kościuszki, Pelplin, Pelplin, Tczewski, Pomeranian Voivodeship")</f>
        <v>street. Kościuszki, Pelplin, Pelplin, Tczewski, Pomeranian Voivodeship</v>
      </c>
      <c r="I593" s="1" t="s">
        <v>21</v>
      </c>
      <c r="J593" s="1" t="s">
        <v>21</v>
      </c>
      <c r="K593" s="1" t="s">
        <v>22</v>
      </c>
      <c r="L593" s="1" t="s">
        <v>2814</v>
      </c>
      <c r="M593" s="1">
        <v>2</v>
      </c>
      <c r="N593" s="1" t="s">
        <v>24</v>
      </c>
      <c r="O593" s="1" t="str">
        <f ca="1">IFERROR(__xludf.DUMMYFUNCTION("GOOGLETRANSLATE(N593,""pl"",""en"")"),"full ownership")</f>
        <v>full ownership</v>
      </c>
      <c r="P593" s="3" t="s">
        <v>2815</v>
      </c>
      <c r="Q593" s="1" t="b">
        <v>1</v>
      </c>
      <c r="R593" s="1" t="s">
        <v>2816</v>
      </c>
    </row>
    <row r="594" spans="1:18" x14ac:dyDescent="0.25">
      <c r="A594" s="2">
        <v>45173</v>
      </c>
      <c r="B594" s="1" t="s">
        <v>2817</v>
      </c>
      <c r="C594" s="1" t="str">
        <f ca="1">IFERROR(__xludf.DUMMYFUNCTION("GOOGLETRANSLATE(B594,""pl"",""en"")"),"Apartment about 63m2 ready to live")</f>
        <v>Apartment about 63m2 ready to live</v>
      </c>
      <c r="D594" s="1">
        <v>530000</v>
      </c>
      <c r="E594" s="1" t="s">
        <v>33</v>
      </c>
      <c r="F594" s="1">
        <v>63</v>
      </c>
      <c r="G594" s="1" t="s">
        <v>2460</v>
      </c>
      <c r="H594" s="1" t="str">
        <f ca="1">IFERROR(__xludf.DUMMYFUNCTION("GOOGLETRANSLATE(G594,""pl"",""en"")"),"Grodzisk Mazowiecki, Grodzisk Mazowiecki, Grodziski, Masovian Voivodeship")</f>
        <v>Grodzisk Mazowiecki, Grodzisk Mazowiecki, Grodziski, Masovian Voivodeship</v>
      </c>
      <c r="I594" s="1" t="s">
        <v>21</v>
      </c>
      <c r="J594" s="1" t="s">
        <v>21</v>
      </c>
      <c r="K594" s="1" t="s">
        <v>22</v>
      </c>
      <c r="L594" s="1" t="s">
        <v>2818</v>
      </c>
      <c r="M594" s="1">
        <v>2</v>
      </c>
      <c r="N594" s="1" t="s">
        <v>24</v>
      </c>
      <c r="O594" s="1" t="str">
        <f ca="1">IFERROR(__xludf.DUMMYFUNCTION("GOOGLETRANSLATE(N594,""pl"",""en"")"),"full ownership")</f>
        <v>full ownership</v>
      </c>
      <c r="P594" s="3" t="s">
        <v>2819</v>
      </c>
      <c r="Q594" s="1" t="b">
        <v>1</v>
      </c>
      <c r="R594" s="1" t="s">
        <v>2820</v>
      </c>
    </row>
    <row r="595" spans="1:18" x14ac:dyDescent="0.25">
      <c r="A595" s="2">
        <v>45173</v>
      </c>
      <c r="B595" s="1" t="s">
        <v>2821</v>
      </c>
      <c r="C595" s="1" t="str">
        <f ca="1">IFERROR(__xludf.DUMMYFUNCTION("GOOGLETRANSLATE(B595,""pl"",""en"")"),"Apartment in the center! Special price!")</f>
        <v>Apartment in the center! Special price!</v>
      </c>
      <c r="D595" s="1">
        <v>440000</v>
      </c>
      <c r="E595" s="1" t="s">
        <v>33</v>
      </c>
      <c r="F595" s="1">
        <v>69</v>
      </c>
      <c r="G595" s="1" t="s">
        <v>2822</v>
      </c>
      <c r="H595" s="1" t="str">
        <f ca="1">IFERROR(__xludf.DUMMYFUNCTION("GOOGLETRANSLATE(G595,""pl"",""en"")"),"street. Ignacy Paderewski, Śródmieście, Kielce, Świętokrzyskie")</f>
        <v>street. Ignacy Paderewski, Śródmieście, Kielce, Świętokrzyskie</v>
      </c>
      <c r="I595" s="1" t="s">
        <v>21</v>
      </c>
      <c r="J595" s="1" t="s">
        <v>21</v>
      </c>
      <c r="K595" s="1" t="s">
        <v>22</v>
      </c>
      <c r="L595" s="1" t="s">
        <v>2823</v>
      </c>
      <c r="M595" s="1">
        <v>3</v>
      </c>
      <c r="N595" s="1" t="s">
        <v>24</v>
      </c>
      <c r="O595" s="1" t="str">
        <f ca="1">IFERROR(__xludf.DUMMYFUNCTION("GOOGLETRANSLATE(N595,""pl"",""en"")"),"full ownership")</f>
        <v>full ownership</v>
      </c>
      <c r="P595" s="3" t="s">
        <v>2824</v>
      </c>
      <c r="Q595" s="1" t="b">
        <v>1</v>
      </c>
      <c r="R595" s="1" t="s">
        <v>2825</v>
      </c>
    </row>
    <row r="596" spans="1:18" x14ac:dyDescent="0.25">
      <c r="A596" s="2">
        <v>45173</v>
      </c>
      <c r="B596" s="1" t="s">
        <v>2826</v>
      </c>
      <c r="C596" s="1" t="str">
        <f ca="1">IFERROR(__xludf.DUMMYFUNCTION("GOOGLETRANSLATE(B596,""pl"",""en"")"),"A flat in a two -day house in Racibórz")</f>
        <v>A flat in a two -day house in Racibórz</v>
      </c>
      <c r="D596" s="1">
        <v>550000</v>
      </c>
      <c r="E596" s="1" t="s">
        <v>33</v>
      </c>
      <c r="F596" s="1">
        <v>117.8</v>
      </c>
      <c r="G596" s="1" t="s">
        <v>2827</v>
      </c>
      <c r="H596" s="1" t="str">
        <f ca="1">IFERROR(__xludf.DUMMYFUNCTION("GOOGLETRANSLATE(G596,""pl"",""en"")"),"street. Happy, Racibórz, Raciborski, Silesian Voivodeship")</f>
        <v>street. Happy, Racibórz, Raciborski, Silesian Voivodeship</v>
      </c>
      <c r="I596" s="1" t="s">
        <v>21</v>
      </c>
      <c r="J596" s="1" t="s">
        <v>21</v>
      </c>
      <c r="K596" s="1" t="s">
        <v>45</v>
      </c>
      <c r="L596" s="1" t="s">
        <v>2828</v>
      </c>
      <c r="M596" s="1">
        <v>4</v>
      </c>
      <c r="N596" s="1" t="s">
        <v>24</v>
      </c>
      <c r="O596" s="1" t="str">
        <f ca="1">IFERROR(__xludf.DUMMYFUNCTION("GOOGLETRANSLATE(N596,""pl"",""en"")"),"full ownership")</f>
        <v>full ownership</v>
      </c>
      <c r="P596" s="3" t="s">
        <v>2829</v>
      </c>
      <c r="Q596" s="1" t="b">
        <v>1</v>
      </c>
      <c r="R596" s="1" t="s">
        <v>2830</v>
      </c>
    </row>
    <row r="597" spans="1:18" x14ac:dyDescent="0.25">
      <c r="A597" s="2">
        <v>45308</v>
      </c>
      <c r="B597" s="1" t="s">
        <v>2831</v>
      </c>
      <c r="C597" s="1" t="str">
        <f ca="1">IFERROR(__xludf.DUMMYFUNCTION("GOOGLETRANSLATE(B597,""pl"",""en"")"),"Beautiful two -level - Strzeszyn ul. Tadeusz Mikke")</f>
        <v>Beautiful two -level - Strzeszyn ul. Tadeusz Mikke</v>
      </c>
      <c r="D597" s="1">
        <v>1190000</v>
      </c>
      <c r="E597" s="1" t="s">
        <v>33</v>
      </c>
      <c r="F597" s="1">
        <v>100</v>
      </c>
      <c r="G597" s="1" t="s">
        <v>4783</v>
      </c>
      <c r="H597" s="1" t="str">
        <f ca="1">IFERROR(__xludf.DUMMYFUNCTION("GOOGLETRANSLATE(G597,""pl"",""en"")"),"street. Tadeusz Mikke, Strzeszyn, Jeżyce, Poznań, Greater Poland")</f>
        <v>street. Tadeusz Mikke, Strzeszyn, Jeżyce, Poznań, Greater Poland</v>
      </c>
      <c r="I597" s="1" t="s">
        <v>21</v>
      </c>
      <c r="J597" s="1" t="s">
        <v>21</v>
      </c>
      <c r="K597" s="1" t="s">
        <v>22</v>
      </c>
      <c r="L597" s="1" t="s">
        <v>2832</v>
      </c>
      <c r="M597" s="1">
        <v>5</v>
      </c>
      <c r="N597" s="1" t="s">
        <v>24</v>
      </c>
      <c r="O597" s="1" t="str">
        <f ca="1">IFERROR(__xludf.DUMMYFUNCTION("GOOGLETRANSLATE(N597,""pl"",""en"")"),"full ownership")</f>
        <v>full ownership</v>
      </c>
      <c r="P597" s="3" t="s">
        <v>2833</v>
      </c>
      <c r="Q597" s="1" t="b">
        <v>1</v>
      </c>
      <c r="R597" s="1" t="s">
        <v>2834</v>
      </c>
    </row>
    <row r="598" spans="1:18" x14ac:dyDescent="0.25">
      <c r="A598" s="2">
        <v>45308</v>
      </c>
      <c r="B598" s="1" t="s">
        <v>2835</v>
      </c>
      <c r="C598" s="1" t="str">
        <f ca="1">IFERROR(__xludf.DUMMYFUNCTION("GOOGLETRANSLATE(B598,""pl"",""en"")"),"Apartment with an attic + house great location")</f>
        <v>Apartment with an attic + house great location</v>
      </c>
      <c r="D598" s="1">
        <v>637000</v>
      </c>
      <c r="E598" s="1" t="s">
        <v>33</v>
      </c>
      <c r="F598" s="1">
        <v>74.23</v>
      </c>
      <c r="G598" s="1" t="s">
        <v>2836</v>
      </c>
      <c r="H598" s="1" t="str">
        <f ca="1">IFERROR(__xludf.DUMMYFUNCTION("GOOGLETRANSLATE(G598,""pl"",""en"")"),"Sikornik, Gliwice, Silesian Voivodeship")</f>
        <v>Sikornik, Gliwice, Silesian Voivodeship</v>
      </c>
      <c r="I598" s="1" t="s">
        <v>21</v>
      </c>
      <c r="J598" s="1" t="s">
        <v>21</v>
      </c>
      <c r="K598" s="1" t="s">
        <v>22</v>
      </c>
      <c r="L598" s="1" t="s">
        <v>2837</v>
      </c>
      <c r="M598" s="1">
        <v>4</v>
      </c>
      <c r="N598" s="1" t="s">
        <v>24</v>
      </c>
      <c r="O598" s="1" t="str">
        <f ca="1">IFERROR(__xludf.DUMMYFUNCTION("GOOGLETRANSLATE(N598,""pl"",""en"")"),"full ownership")</f>
        <v>full ownership</v>
      </c>
      <c r="P598" s="3" t="s">
        <v>2838</v>
      </c>
      <c r="Q598" s="1" t="b">
        <v>1</v>
      </c>
      <c r="R598" s="1" t="s">
        <v>2839</v>
      </c>
    </row>
    <row r="599" spans="1:18" x14ac:dyDescent="0.25">
      <c r="A599" s="2">
        <v>45308</v>
      </c>
      <c r="B599" s="1" t="s">
        <v>2840</v>
      </c>
      <c r="C599" s="1" t="str">
        <f ca="1">IFERROR(__xludf.DUMMYFUNCTION("GOOGLETRANSLATE(B599,""pl"",""en"")"),"2 rooms - 55.5 m2 in retkinia development")</f>
        <v>2 rooms - 55.5 m2 in retkinia development</v>
      </c>
      <c r="D599" s="1">
        <v>465000</v>
      </c>
      <c r="E599" s="1" t="s">
        <v>33</v>
      </c>
      <c r="F599" s="1">
        <v>55.41</v>
      </c>
      <c r="G599" s="1" t="s">
        <v>2841</v>
      </c>
      <c r="H599" s="1" t="str">
        <f ca="1">IFERROR(__xludf.DUMMYFUNCTION("GOOGLETRANSLATE(G599,""pl"",""en"")"),"Lublinek, Polesie, Łódź, Łódź")</f>
        <v>Lublinek, Polesie, Łódź, Łódź</v>
      </c>
      <c r="I599" s="1" t="s">
        <v>21</v>
      </c>
      <c r="J599" s="1" t="s">
        <v>21</v>
      </c>
      <c r="K599" s="1" t="s">
        <v>22</v>
      </c>
      <c r="L599" s="1" t="s">
        <v>2842</v>
      </c>
      <c r="M599" s="1">
        <v>2</v>
      </c>
      <c r="N599" s="1" t="s">
        <v>24</v>
      </c>
      <c r="O599" s="1" t="str">
        <f ca="1">IFERROR(__xludf.DUMMYFUNCTION("GOOGLETRANSLATE(N599,""pl"",""en"")"),"full ownership")</f>
        <v>full ownership</v>
      </c>
      <c r="P599" s="3" t="s">
        <v>2843</v>
      </c>
      <c r="Q599" s="1" t="b">
        <v>1</v>
      </c>
      <c r="R599" s="1" t="s">
        <v>2844</v>
      </c>
    </row>
    <row r="600" spans="1:18" x14ac:dyDescent="0.25">
      <c r="A600" s="2">
        <v>45308</v>
      </c>
      <c r="B600" s="1" t="s">
        <v>2845</v>
      </c>
      <c r="C600" s="1" t="str">
        <f ca="1">IFERROR(__xludf.DUMMYFUNCTION("GOOGLETRANSLATE(B600,""pl"",""en"")"),"2 rooms + balcony apartment rent -free apartment! Bezc")</f>
        <v>2 rooms + balcony apartment rent -free apartment! Bezc</v>
      </c>
      <c r="D600" s="1">
        <v>358751</v>
      </c>
      <c r="E600" s="1" t="s">
        <v>19</v>
      </c>
      <c r="F600" s="1">
        <v>34.049999999999997</v>
      </c>
      <c r="G600" s="1" t="s">
        <v>2530</v>
      </c>
      <c r="H600" s="1" t="str">
        <f ca="1">IFERROR(__xludf.DUMMYFUNCTION("GOOGLETRANSLATE(G600,""pl"",""en"")"),"Stare Polesie, Polesie, Łódź, Łódź")</f>
        <v>Stare Polesie, Polesie, Łódź, Łódź</v>
      </c>
      <c r="I600" s="1" t="s">
        <v>21</v>
      </c>
      <c r="J600" s="1" t="s">
        <v>21</v>
      </c>
      <c r="K600" s="1" t="s">
        <v>22</v>
      </c>
      <c r="L600" s="1" t="s">
        <v>2531</v>
      </c>
      <c r="M600" s="1">
        <v>2</v>
      </c>
      <c r="N600" s="1" t="s">
        <v>24</v>
      </c>
      <c r="O600" s="1" t="str">
        <f ca="1">IFERROR(__xludf.DUMMYFUNCTION("GOOGLETRANSLATE(N600,""pl"",""en"")"),"full ownership")</f>
        <v>full ownership</v>
      </c>
      <c r="P600" s="3" t="s">
        <v>2846</v>
      </c>
      <c r="Q600" s="1" t="b">
        <v>1</v>
      </c>
      <c r="R600" s="1" t="s">
        <v>2847</v>
      </c>
    </row>
    <row r="601" spans="1:18" x14ac:dyDescent="0.25">
      <c r="A601" s="2">
        <v>45308</v>
      </c>
      <c r="B601" s="1" t="s">
        <v>2848</v>
      </c>
      <c r="C601" s="1" t="str">
        <f ca="1">IFERROR(__xludf.DUMMYFUNCTION("GOOGLETRANSLATE(B601,""pl"",""en"")"),"Directly, a modern twin, large garden 560")</f>
        <v>Directly, a modern twin, large garden 560</v>
      </c>
      <c r="D601" s="1">
        <v>1790000</v>
      </c>
      <c r="E601" s="1" t="s">
        <v>33</v>
      </c>
      <c r="F601" s="1">
        <v>203</v>
      </c>
      <c r="G601" s="1" t="s">
        <v>2849</v>
      </c>
      <c r="H601" s="1" t="str">
        <f ca="1">IFERROR(__xludf.DUMMYFUNCTION("GOOGLETRANSLATE(G601,""pl"",""en"")"),"street. Avenue of Fryderyk Chopin, Łomianki Dolne, Łomianki, Warsaw West, Masovian Voivodeship")</f>
        <v>street. Avenue of Fryderyk Chopin, Łomianki Dolne, Łomianki, Warsaw West, Masovian Voivodeship</v>
      </c>
      <c r="I601" s="1" t="b">
        <v>1</v>
      </c>
      <c r="J601" s="1" t="s">
        <v>21</v>
      </c>
      <c r="K601" s="1" t="s">
        <v>45</v>
      </c>
      <c r="L601" s="1" t="s">
        <v>2850</v>
      </c>
      <c r="M601" s="1">
        <v>6</v>
      </c>
      <c r="N601" s="1" t="s">
        <v>21</v>
      </c>
      <c r="O601" s="1" t="str">
        <f ca="1">IFERROR(__xludf.DUMMYFUNCTION("GOOGLETRANSLATE(N601,""pl"",""en"")"),"null")</f>
        <v>null</v>
      </c>
      <c r="P601" s="3" t="s">
        <v>2851</v>
      </c>
      <c r="Q601" s="1" t="b">
        <v>1</v>
      </c>
      <c r="R601" s="1" t="s">
        <v>2852</v>
      </c>
    </row>
    <row r="602" spans="1:18" x14ac:dyDescent="0.25">
      <c r="A602" s="2">
        <v>45308</v>
      </c>
      <c r="B602" s="1" t="s">
        <v>2853</v>
      </c>
      <c r="C602" s="1" t="str">
        <f ca="1">IFERROR(__xludf.DUMMYFUNCTION("GOOGLETRANSLATE(B602,""pl"",""en"")"),"3/4 room | 5min from Rosta 10min from the sphere")</f>
        <v>3/4 room | 5min from Rosta 10min from the sphere</v>
      </c>
      <c r="D602" s="1">
        <v>349000</v>
      </c>
      <c r="E602" s="1" t="s">
        <v>19</v>
      </c>
      <c r="F602" s="1">
        <v>79.2</v>
      </c>
      <c r="G602" s="1" t="s">
        <v>2854</v>
      </c>
      <c r="H602" s="1" t="str">
        <f ca="1">IFERROR(__xludf.DUMMYFUNCTION("GOOGLETRANSLATE(G602,""pl"",""en"")"),"street. Grody, Hałcnów, Bielsko-Biała, Silesian Voivodeship")</f>
        <v>street. Grody, Hałcnów, Bielsko-Biała, Silesian Voivodeship</v>
      </c>
      <c r="I602" s="1" t="s">
        <v>21</v>
      </c>
      <c r="J602" s="1" t="s">
        <v>21</v>
      </c>
      <c r="K602" s="1" t="s">
        <v>22</v>
      </c>
      <c r="L602" s="1" t="s">
        <v>2855</v>
      </c>
      <c r="M602" s="1">
        <v>3</v>
      </c>
      <c r="N602" s="1" t="s">
        <v>24</v>
      </c>
      <c r="O602" s="1" t="str">
        <f ca="1">IFERROR(__xludf.DUMMYFUNCTION("GOOGLETRANSLATE(N602,""pl"",""en"")"),"full ownership")</f>
        <v>full ownership</v>
      </c>
      <c r="P602" s="3" t="s">
        <v>2856</v>
      </c>
      <c r="Q602" s="1" t="b">
        <v>1</v>
      </c>
      <c r="R602" s="1" t="s">
        <v>2857</v>
      </c>
    </row>
    <row r="603" spans="1:18" x14ac:dyDescent="0.25">
      <c r="A603" s="2">
        <v>45308</v>
      </c>
      <c r="B603" s="1" t="s">
        <v>2858</v>
      </c>
      <c r="C603" s="1" t="str">
        <f ca="1">IFERROR(__xludf.DUMMYFUNCTION("GOOGLETRANSLATE(B603,""pl"",""en"")"),"Great for the apartment and for investment")</f>
        <v>Great for the apartment and for investment</v>
      </c>
      <c r="D603" s="1">
        <v>920000</v>
      </c>
      <c r="E603" s="1" t="s">
        <v>33</v>
      </c>
      <c r="F603" s="1">
        <v>48.43</v>
      </c>
      <c r="G603" s="1" t="s">
        <v>2859</v>
      </c>
      <c r="H603" s="1" t="str">
        <f ca="1">IFERROR(__xludf.DUMMYFUNCTION("GOOGLETRANSLATE(G603,""pl"",""en"")"),"street. Górska, Sielce, Mokotów, Warsaw, Masovian Voivodeship")</f>
        <v>street. Górska, Sielce, Mokotów, Warsaw, Masovian Voivodeship</v>
      </c>
      <c r="I603" s="1" t="s">
        <v>21</v>
      </c>
      <c r="J603" s="1" t="s">
        <v>21</v>
      </c>
      <c r="K603" s="1" t="s">
        <v>22</v>
      </c>
      <c r="L603" s="1" t="s">
        <v>2860</v>
      </c>
      <c r="M603" s="1">
        <v>2</v>
      </c>
      <c r="N603" s="1" t="s">
        <v>24</v>
      </c>
      <c r="O603" s="1" t="str">
        <f ca="1">IFERROR(__xludf.DUMMYFUNCTION("GOOGLETRANSLATE(N603,""pl"",""en"")"),"full ownership")</f>
        <v>full ownership</v>
      </c>
      <c r="P603" s="3" t="s">
        <v>2861</v>
      </c>
      <c r="Q603" s="1" t="b">
        <v>1</v>
      </c>
      <c r="R603" s="1" t="s">
        <v>2862</v>
      </c>
    </row>
    <row r="604" spans="1:18" x14ac:dyDescent="0.25">
      <c r="A604" s="2">
        <v>45173</v>
      </c>
      <c r="B604" s="1" t="s">
        <v>2863</v>
      </c>
      <c r="C604" s="1" t="str">
        <f ca="1">IFERROR(__xludf.DUMMYFUNCTION("GOOGLETRANSLATE(B604,""pl"",""en"")"),"Apartment three rooms 48 m2 at the Mokre estate")</f>
        <v>Apartment three rooms 48 m2 at the Mokre estate</v>
      </c>
      <c r="D604" s="1">
        <v>340000</v>
      </c>
      <c r="E604" s="1" t="s">
        <v>33</v>
      </c>
      <c r="F604" s="1">
        <v>51</v>
      </c>
      <c r="G604" s="1" t="s">
        <v>2864</v>
      </c>
      <c r="H604" s="1" t="str">
        <f ca="1">IFERROR(__xludf.DUMMYFUNCTION("GOOGLETRANSLATE(G604,""pl"",""en"")"),"street. Leona Jeśmanowicz, Mokre, Toruń, Kujawsko-Pomeranian Voivodeship")</f>
        <v>street. Leona Jeśmanowicz, Mokre, Toruń, Kujawsko-Pomeranian Voivodeship</v>
      </c>
      <c r="I604" s="1" t="s">
        <v>21</v>
      </c>
      <c r="J604" s="1" t="s">
        <v>21</v>
      </c>
      <c r="K604" s="1" t="s">
        <v>22</v>
      </c>
      <c r="L604" s="1" t="s">
        <v>2865</v>
      </c>
      <c r="M604" s="1">
        <v>3</v>
      </c>
      <c r="N604" s="1" t="s">
        <v>24</v>
      </c>
      <c r="O604" s="1" t="str">
        <f ca="1">IFERROR(__xludf.DUMMYFUNCTION("GOOGLETRANSLATE(N604,""pl"",""en"")"),"full ownership")</f>
        <v>full ownership</v>
      </c>
      <c r="P604" s="3" t="s">
        <v>2866</v>
      </c>
      <c r="Q604" s="1" t="b">
        <v>1</v>
      </c>
      <c r="R604" s="1" t="s">
        <v>2867</v>
      </c>
    </row>
    <row r="605" spans="1:18" x14ac:dyDescent="0.25">
      <c r="A605" s="2">
        <v>45173</v>
      </c>
      <c r="B605" s="1" t="s">
        <v>2868</v>
      </c>
      <c r="C605" s="1" t="str">
        <f ca="1">IFERROR(__xludf.DUMMYFUNCTION("GOOGLETRANSLATE(B605,""pl"",""en"")"),"Apartment/ half of the house with a beautiful garden!")</f>
        <v>Apartment/ half of the house with a beautiful garden!</v>
      </c>
      <c r="D605" s="1">
        <v>660000</v>
      </c>
      <c r="E605" s="1" t="s">
        <v>33</v>
      </c>
      <c r="F605" s="1">
        <v>76.900000000000006</v>
      </c>
      <c r="G605" s="1" t="s">
        <v>2869</v>
      </c>
      <c r="H605" s="1" t="str">
        <f ca="1">IFERROR(__xludf.DUMMYFUNCTION("GOOGLETRANSLATE(G605,""pl"",""en"")"),"street. Juranda from Spychów, Grunwaldzkie housing estate, Olsztyn, Warmian-Masurian Voivodeship")</f>
        <v>street. Juranda from Spychów, Grunwaldzkie housing estate, Olsztyn, Warmian-Masurian Voivodeship</v>
      </c>
      <c r="I605" s="1" t="s">
        <v>21</v>
      </c>
      <c r="J605" s="1" t="s">
        <v>21</v>
      </c>
      <c r="K605" s="1" t="s">
        <v>22</v>
      </c>
      <c r="L605" s="1" t="s">
        <v>2870</v>
      </c>
      <c r="M605" s="1">
        <v>3</v>
      </c>
      <c r="N605" s="1" t="s">
        <v>24</v>
      </c>
      <c r="O605" s="1" t="str">
        <f ca="1">IFERROR(__xludf.DUMMYFUNCTION("GOOGLETRANSLATE(N605,""pl"",""en"")"),"full ownership")</f>
        <v>full ownership</v>
      </c>
      <c r="P605" s="3" t="s">
        <v>2871</v>
      </c>
      <c r="Q605" s="1" t="b">
        <v>1</v>
      </c>
      <c r="R605" s="1" t="s">
        <v>2872</v>
      </c>
    </row>
    <row r="606" spans="1:18" x14ac:dyDescent="0.25">
      <c r="A606" s="2">
        <v>45173</v>
      </c>
      <c r="B606" s="1" t="s">
        <v>2873</v>
      </c>
      <c r="C606" s="1" t="str">
        <f ca="1">IFERROR(__xludf.DUMMYFUNCTION("GOOGLETRANSLATE(B606,""pl"",""en"")"),"Attic apartment, cheap to maintain.")</f>
        <v>Attic apartment, cheap to maintain.</v>
      </c>
      <c r="D606" s="1">
        <v>235000</v>
      </c>
      <c r="E606" s="1" t="s">
        <v>33</v>
      </c>
      <c r="F606" s="1">
        <v>40.869999999999997</v>
      </c>
      <c r="G606" s="1" t="s">
        <v>2874</v>
      </c>
      <c r="H606" s="1" t="str">
        <f ca="1">IFERROR(__xludf.DUMMYFUNCTION("GOOGLETRANSLATE(G606,""pl"",""en"")"),"street. Mikołaj Reja 1, Borne Sstreetinowo, Borne Sstreetinowo, Szczecin, West Pomeranian Voivodeship")</f>
        <v>street. Mikołaj Reja 1, Borne Sstreetinowo, Borne Sstreetinowo, Szczecin, West Pomeranian Voivodeship</v>
      </c>
      <c r="I606" s="1" t="b">
        <v>1</v>
      </c>
      <c r="J606" s="1" t="s">
        <v>21</v>
      </c>
      <c r="K606" s="1" t="s">
        <v>22</v>
      </c>
      <c r="L606" s="1" t="s">
        <v>2875</v>
      </c>
      <c r="M606" s="1">
        <v>3</v>
      </c>
      <c r="N606" s="1" t="s">
        <v>24</v>
      </c>
      <c r="O606" s="1" t="str">
        <f ca="1">IFERROR(__xludf.DUMMYFUNCTION("GOOGLETRANSLATE(N606,""pl"",""en"")"),"full ownership")</f>
        <v>full ownership</v>
      </c>
      <c r="P606" s="3" t="s">
        <v>2876</v>
      </c>
      <c r="Q606" s="1" t="b">
        <v>1</v>
      </c>
      <c r="R606" s="1" t="s">
        <v>2877</v>
      </c>
    </row>
    <row r="607" spans="1:18" x14ac:dyDescent="0.25">
      <c r="A607" s="2">
        <v>45173</v>
      </c>
      <c r="B607" s="1" t="s">
        <v>2878</v>
      </c>
      <c r="C607" s="1" t="str">
        <f ca="1">IFERROR(__xludf.DUMMYFUNCTION("GOOGLETRANSLATE(B607,""pl"",""en"")"),"Apartment with an area 77.58m2 with a spacious balcony,")</f>
        <v>Apartment with an area 77.58m2 with a spacious balcony,</v>
      </c>
      <c r="D607" s="1">
        <v>599000</v>
      </c>
      <c r="E607" s="1" t="s">
        <v>19</v>
      </c>
      <c r="F607" s="1">
        <v>77.58</v>
      </c>
      <c r="G607" s="1" t="s">
        <v>2879</v>
      </c>
      <c r="H607" s="1" t="str">
        <f ca="1">IFERROR(__xludf.DUMMYFUNCTION("GOOGLETRANSLATE(G607,""pl"",""en"")"),"street. Piastowska, Piastów, Pruszkowski, Masovian Voivodeship")</f>
        <v>street. Piastowska, Piastów, Pruszkowski, Masovian Voivodeship</v>
      </c>
      <c r="I607" s="1" t="s">
        <v>21</v>
      </c>
      <c r="J607" s="1" t="s">
        <v>21</v>
      </c>
      <c r="K607" s="1" t="s">
        <v>22</v>
      </c>
      <c r="L607" s="1" t="s">
        <v>2880</v>
      </c>
      <c r="M607" s="1">
        <v>3</v>
      </c>
      <c r="N607" s="1" t="s">
        <v>24</v>
      </c>
      <c r="O607" s="1" t="str">
        <f ca="1">IFERROR(__xludf.DUMMYFUNCTION("GOOGLETRANSLATE(N607,""pl"",""en"")"),"full ownership")</f>
        <v>full ownership</v>
      </c>
      <c r="P607" s="3" t="s">
        <v>2881</v>
      </c>
      <c r="Q607" s="1" t="b">
        <v>1</v>
      </c>
      <c r="R607" s="1" t="s">
        <v>2882</v>
      </c>
    </row>
    <row r="608" spans="1:18" x14ac:dyDescent="0.25">
      <c r="A608" s="2">
        <v>45173</v>
      </c>
      <c r="B608" s="1" t="s">
        <v>2883</v>
      </c>
      <c r="C608" s="1" t="str">
        <f ca="1">IFERROR(__xludf.DUMMYFUNCTION("GOOGLETRANSLATE(B608,""pl"",""en"")"),"Apartment in the Arka Nova investment")</f>
        <v>Apartment in the Arka Nova investment</v>
      </c>
      <c r="D608" s="1">
        <v>438236</v>
      </c>
      <c r="E608" s="1" t="s">
        <v>19</v>
      </c>
      <c r="F608" s="1">
        <v>49.24</v>
      </c>
      <c r="G608" s="1" t="s">
        <v>4697</v>
      </c>
      <c r="H608" s="1" t="str">
        <f ca="1">IFERROR(__xludf.DUMMYFUNCTION("GOOGLETRANSLATE(G608,""pl"",""en"")"),"street. Graniczna, Skawina, Skawina, Kraków, Lesser Poland")</f>
        <v>street. Graniczna, Skawina, Skawina, Kraków, Lesser Poland</v>
      </c>
      <c r="I608" s="1" t="s">
        <v>21</v>
      </c>
      <c r="J608" s="1" t="s">
        <v>21</v>
      </c>
      <c r="K608" s="1" t="s">
        <v>22</v>
      </c>
      <c r="L608" s="1" t="s">
        <v>2884</v>
      </c>
      <c r="M608" s="1">
        <v>2</v>
      </c>
      <c r="N608" s="1" t="s">
        <v>24</v>
      </c>
      <c r="O608" s="1" t="str">
        <f ca="1">IFERROR(__xludf.DUMMYFUNCTION("GOOGLETRANSLATE(N608,""pl"",""en"")"),"full ownership")</f>
        <v>full ownership</v>
      </c>
      <c r="P608" s="3" t="s">
        <v>2885</v>
      </c>
      <c r="Q608" s="1" t="b">
        <v>1</v>
      </c>
      <c r="R608" s="1" t="s">
        <v>2886</v>
      </c>
    </row>
    <row r="609" spans="1:18" x14ac:dyDescent="0.25">
      <c r="A609" s="2">
        <v>45308</v>
      </c>
      <c r="B609" s="1" t="s">
        <v>2887</v>
      </c>
      <c r="C609" s="1" t="str">
        <f ca="1">IFERROR(__xludf.DUMMYFUNCTION("GOOGLETRANSLATE(B609,""pl"",""en"")"),"Centrum-2-Pokojo-Gnener-Zamiana")</f>
        <v>Centrum-2-Pokojo-Gnener-Zamiana</v>
      </c>
      <c r="D609" s="1">
        <v>384000</v>
      </c>
      <c r="E609" s="1" t="s">
        <v>33</v>
      </c>
      <c r="F609" s="1">
        <v>35.24</v>
      </c>
      <c r="G609" s="1" t="s">
        <v>2888</v>
      </c>
      <c r="H609" s="1" t="str">
        <f ca="1">IFERROR(__xludf.DUMMYFUNCTION("GOOGLETRANSLATE(G609,""pl"",""en"")"),"street. Karol Miarki, Oława, Oławski, DolnoSilesian Voivodeship")</f>
        <v>street. Karol Miarki, Oława, Oławski, DolnoSilesian Voivodeship</v>
      </c>
      <c r="I609" s="1" t="s">
        <v>21</v>
      </c>
      <c r="J609" s="1" t="s">
        <v>21</v>
      </c>
      <c r="K609" s="1" t="s">
        <v>22</v>
      </c>
      <c r="L609" s="1" t="s">
        <v>2889</v>
      </c>
      <c r="M609" s="1">
        <v>2</v>
      </c>
      <c r="N609" s="1" t="s">
        <v>24</v>
      </c>
      <c r="O609" s="1" t="str">
        <f ca="1">IFERROR(__xludf.DUMMYFUNCTION("GOOGLETRANSLATE(N609,""pl"",""en"")"),"full ownership")</f>
        <v>full ownership</v>
      </c>
      <c r="P609" s="3" t="s">
        <v>2890</v>
      </c>
      <c r="Q609" s="1" t="b">
        <v>1</v>
      </c>
      <c r="R609" s="1" t="s">
        <v>2891</v>
      </c>
    </row>
    <row r="610" spans="1:18" x14ac:dyDescent="0.25">
      <c r="A610" s="2">
        <v>45308</v>
      </c>
      <c r="B610" s="1" t="s">
        <v>2892</v>
      </c>
      <c r="C610" s="1" t="str">
        <f ca="1">IFERROR(__xludf.DUMMYFUNCTION("GOOGLETRANSLATE(B610,""pl"",""en"")"),"No commission, no PCC")</f>
        <v>No commission, no PCC</v>
      </c>
      <c r="D610" s="1">
        <v>648888</v>
      </c>
      <c r="E610" s="1" t="s">
        <v>33</v>
      </c>
      <c r="F610" s="1">
        <v>56.92</v>
      </c>
      <c r="G610" s="1" t="s">
        <v>2893</v>
      </c>
      <c r="H610" s="1" t="str">
        <f ca="1">IFERROR(__xludf.DUMMYFUNCTION("GOOGLETRANSLATE(G610,""pl"",""en"")"),"street. Czajcza, Kowale, Psie Pole, Wrocław, DolnoSilesian Voivodeship")</f>
        <v>street. Czajcza, Kowale, Psie Pole, Wrocław, DolnoSilesian Voivodeship</v>
      </c>
      <c r="I610" s="1" t="s">
        <v>21</v>
      </c>
      <c r="J610" s="1" t="s">
        <v>21</v>
      </c>
      <c r="K610" s="1" t="s">
        <v>22</v>
      </c>
      <c r="L610" s="1" t="s">
        <v>2894</v>
      </c>
      <c r="M610" s="1">
        <v>3</v>
      </c>
      <c r="N610" s="1" t="s">
        <v>24</v>
      </c>
      <c r="O610" s="1" t="str">
        <f ca="1">IFERROR(__xludf.DUMMYFUNCTION("GOOGLETRANSLATE(N610,""pl"",""en"")"),"full ownership")</f>
        <v>full ownership</v>
      </c>
      <c r="P610" s="3" t="s">
        <v>2895</v>
      </c>
      <c r="Q610" s="1" t="b">
        <v>1</v>
      </c>
      <c r="R610" s="1" t="s">
        <v>2896</v>
      </c>
    </row>
    <row r="611" spans="1:18" x14ac:dyDescent="0.25">
      <c r="A611" s="2">
        <v>45308</v>
      </c>
      <c r="B611" s="1" t="s">
        <v>2897</v>
      </c>
      <c r="C611" s="1" t="str">
        <f ca="1">IFERROR(__xludf.DUMMYFUNCTION("GOOGLETRANSLATE(B611,""pl"",""en"")"),"After renovation. Two balconies.")</f>
        <v>After renovation. Two balconies.</v>
      </c>
      <c r="D611" s="1">
        <v>348000</v>
      </c>
      <c r="E611" s="1" t="s">
        <v>33</v>
      </c>
      <c r="F611" s="1">
        <v>60</v>
      </c>
      <c r="G611" s="1" t="s">
        <v>2898</v>
      </c>
      <c r="H611" s="1" t="str">
        <f ca="1">IFERROR(__xludf.DUMMYFUNCTION("GOOGLETRANSLATE(G611,""pl"",""en"")"),"street. Władysława Broniewski, Kazimierz Górniczy, Sosnowiec, Silesian Voivodeship")</f>
        <v>street. Władysława Broniewski, Kazimierz Górniczy, Sosnowiec, Silesian Voivodeship</v>
      </c>
      <c r="I611" s="1" t="s">
        <v>21</v>
      </c>
      <c r="J611" s="1" t="s">
        <v>21</v>
      </c>
      <c r="K611" s="1" t="s">
        <v>22</v>
      </c>
      <c r="L611" s="1" t="s">
        <v>2899</v>
      </c>
      <c r="M611" s="1">
        <v>2</v>
      </c>
      <c r="N611" s="1" t="s">
        <v>24</v>
      </c>
      <c r="O611" s="1" t="str">
        <f ca="1">IFERROR(__xludf.DUMMYFUNCTION("GOOGLETRANSLATE(N611,""pl"",""en"")"),"full ownership")</f>
        <v>full ownership</v>
      </c>
      <c r="P611" s="3" t="s">
        <v>2900</v>
      </c>
      <c r="Q611" s="1" t="b">
        <v>1</v>
      </c>
      <c r="R611" s="1" t="s">
        <v>2901</v>
      </c>
    </row>
    <row r="612" spans="1:18" x14ac:dyDescent="0.25">
      <c r="A612" s="2">
        <v>45308</v>
      </c>
      <c r="B612" s="1" t="s">
        <v>2902</v>
      </c>
      <c r="C612" s="1" t="str">
        <f ca="1">IFERROR(__xludf.DUMMYFUNCTION("GOOGLETRANSLATE(B612,""pl"",""en"")"),"House 126m2 with a view of the Tatra Mountains Zakopane Alder")</f>
        <v>House 126m2 with a view of the Tatra Mountains Zakopane Alder</v>
      </c>
      <c r="D612" s="1">
        <v>2350000</v>
      </c>
      <c r="E612" s="1" t="s">
        <v>33</v>
      </c>
      <c r="F612" s="1">
        <v>109</v>
      </c>
      <c r="G612" s="1" t="s">
        <v>4784</v>
      </c>
      <c r="H612" s="1" t="str">
        <f ca="1">IFERROR(__xludf.DUMMYFUNCTION("GOOGLETRANSLATE(G612,""pl"",""en"")"),"street. Gawlaki, Zakopane, Tatrzański, Lesser Poland")</f>
        <v>street. Gawlaki, Zakopane, Tatrzański, Lesser Poland</v>
      </c>
      <c r="I612" s="1" t="b">
        <v>1</v>
      </c>
      <c r="J612" s="1" t="s">
        <v>21</v>
      </c>
      <c r="K612" s="1" t="s">
        <v>22</v>
      </c>
      <c r="L612" s="1" t="s">
        <v>2903</v>
      </c>
      <c r="M612" s="1">
        <v>5</v>
      </c>
      <c r="N612" s="1" t="s">
        <v>21</v>
      </c>
      <c r="O612" s="1" t="str">
        <f ca="1">IFERROR(__xludf.DUMMYFUNCTION("GOOGLETRANSLATE(N612,""pl"",""en"")"),"null")</f>
        <v>null</v>
      </c>
      <c r="P612" s="3" t="s">
        <v>2904</v>
      </c>
      <c r="Q612" s="1" t="b">
        <v>1</v>
      </c>
      <c r="R612" s="1" t="s">
        <v>2905</v>
      </c>
    </row>
    <row r="613" spans="1:18" x14ac:dyDescent="0.25">
      <c r="A613" s="2">
        <v>45308</v>
      </c>
      <c r="B613" s="1" t="s">
        <v>2906</v>
      </c>
      <c r="C613" s="1" t="str">
        <f ca="1">IFERROR(__xludf.DUMMYFUNCTION("GOOGLETRANSLATE(B613,""pl"",""en"")"),"2 - peaceful Nowe Miasto")</f>
        <v>2 - peaceful Nowe Miasto</v>
      </c>
      <c r="D613" s="1">
        <v>563500</v>
      </c>
      <c r="E613" s="1" t="s">
        <v>33</v>
      </c>
      <c r="F613" s="1">
        <v>49</v>
      </c>
      <c r="G613" s="1" t="s">
        <v>2907</v>
      </c>
      <c r="H613" s="1" t="str">
        <f ca="1">IFERROR(__xludf.DUMMYFUNCTION("GOOGLETRANSLATE(G613,""pl"",""en"")"),"Centrum, Białystok, Podlasie")</f>
        <v>Centrum, Białystok, Podlasie</v>
      </c>
      <c r="I613" s="1" t="s">
        <v>21</v>
      </c>
      <c r="J613" s="1" t="s">
        <v>21</v>
      </c>
      <c r="K613" s="1" t="s">
        <v>22</v>
      </c>
      <c r="L613" s="1" t="s">
        <v>2908</v>
      </c>
      <c r="M613" s="1">
        <v>2</v>
      </c>
      <c r="N613" s="1" t="s">
        <v>24</v>
      </c>
      <c r="O613" s="1" t="str">
        <f ca="1">IFERROR(__xludf.DUMMYFUNCTION("GOOGLETRANSLATE(N613,""pl"",""en"")"),"full ownership")</f>
        <v>full ownership</v>
      </c>
      <c r="P613" s="3" t="s">
        <v>2909</v>
      </c>
      <c r="Q613" s="1" t="b">
        <v>1</v>
      </c>
      <c r="R613" s="1" t="s">
        <v>2910</v>
      </c>
    </row>
    <row r="614" spans="1:18" x14ac:dyDescent="0.25">
      <c r="A614" s="2">
        <v>45308</v>
      </c>
      <c r="B614" s="1" t="s">
        <v>2911</v>
      </c>
      <c r="C614" s="1" t="str">
        <f ca="1">IFERROR(__xludf.DUMMYFUNCTION("GOOGLETRANSLATE(B614,""pl"",""en"")"),"Studio/1-room/Wojszyce/ground floor/opportunity")</f>
        <v>Studio/1-room/Wojszyce/ground floor/opportunity</v>
      </c>
      <c r="D614" s="1">
        <v>425000</v>
      </c>
      <c r="E614" s="1" t="s">
        <v>33</v>
      </c>
      <c r="F614" s="1">
        <v>32.5</v>
      </c>
      <c r="G614" s="1" t="s">
        <v>2912</v>
      </c>
      <c r="H614" s="1" t="str">
        <f ca="1">IFERROR(__xludf.DUMMYFUNCTION("GOOGLETRANSLATE(G614,""pl"",""en"")"),"street. Asphalt, Wojszyce, Krzyki, Wrocław, DolnoSilesian Voivodeship")</f>
        <v>street. Asphalt, Wojszyce, Krzyki, Wrocław, DolnoSilesian Voivodeship</v>
      </c>
      <c r="I614" s="1" t="s">
        <v>21</v>
      </c>
      <c r="J614" s="1" t="s">
        <v>21</v>
      </c>
      <c r="K614" s="1" t="s">
        <v>22</v>
      </c>
      <c r="L614" s="1" t="s">
        <v>2913</v>
      </c>
      <c r="M614" s="1">
        <v>1</v>
      </c>
      <c r="N614" s="1" t="s">
        <v>24</v>
      </c>
      <c r="O614" s="1" t="str">
        <f ca="1">IFERROR(__xludf.DUMMYFUNCTION("GOOGLETRANSLATE(N614,""pl"",""en"")"),"full ownership")</f>
        <v>full ownership</v>
      </c>
      <c r="P614" s="3" t="s">
        <v>2914</v>
      </c>
      <c r="Q614" s="1" t="b">
        <v>1</v>
      </c>
      <c r="R614" s="1" t="s">
        <v>2915</v>
      </c>
    </row>
    <row r="615" spans="1:18" x14ac:dyDescent="0.25">
      <c r="A615" s="2">
        <v>45173</v>
      </c>
      <c r="B615" s="1" t="s">
        <v>2916</v>
      </c>
      <c r="C615" s="1" t="str">
        <f ca="1">IFERROR(__xludf.DUMMYFUNCTION("GOOGLETRANSLATE(B615,""pl"",""en"")"),"Apartment in Wojciechów")</f>
        <v>Apartment in Wojciechów</v>
      </c>
      <c r="D615" s="1">
        <v>180000</v>
      </c>
      <c r="E615" s="1" t="s">
        <v>33</v>
      </c>
      <c r="F615" s="1">
        <v>49.88</v>
      </c>
      <c r="G615" s="1" t="s">
        <v>2917</v>
      </c>
      <c r="H615" s="1" t="str">
        <f ca="1">IFERROR(__xludf.DUMMYFUNCTION("GOOGLETRANSLATE(G615,""pl"",""en"")"),"Wojciechów, Lubomierz, Lwówecki, DolnoSilesian Voivodeship")</f>
        <v>Wojciechów, Lubomierz, Lwówecki, DolnoSilesian Voivodeship</v>
      </c>
      <c r="I615" s="1" t="s">
        <v>21</v>
      </c>
      <c r="J615" s="1" t="s">
        <v>21</v>
      </c>
      <c r="K615" s="1" t="s">
        <v>22</v>
      </c>
      <c r="L615" s="1" t="s">
        <v>2918</v>
      </c>
      <c r="M615" s="1">
        <v>2</v>
      </c>
      <c r="N615" s="1" t="s">
        <v>24</v>
      </c>
      <c r="O615" s="1" t="str">
        <f ca="1">IFERROR(__xludf.DUMMYFUNCTION("GOOGLETRANSLATE(N615,""pl"",""en"")"),"full ownership")</f>
        <v>full ownership</v>
      </c>
      <c r="P615" s="3" t="s">
        <v>2919</v>
      </c>
      <c r="Q615" s="1" t="b">
        <v>1</v>
      </c>
      <c r="R615" s="1" t="s">
        <v>2920</v>
      </c>
    </row>
    <row r="616" spans="1:18" x14ac:dyDescent="0.25">
      <c r="A616" s="2">
        <v>45173</v>
      </c>
      <c r="B616" s="1" t="s">
        <v>2921</v>
      </c>
      <c r="C616" s="1" t="str">
        <f ca="1">IFERROR(__xludf.DUMMYFUNCTION("GOOGLETRANSLATE(B616,""pl"",""en"")"),"Apartment in the center, 37m2, 288,000")</f>
        <v>Apartment in the center, 37m2, 288,000</v>
      </c>
      <c r="D616" s="1">
        <v>288000</v>
      </c>
      <c r="E616" s="1" t="s">
        <v>33</v>
      </c>
      <c r="F616" s="1">
        <v>37</v>
      </c>
      <c r="G616" s="1" t="s">
        <v>2922</v>
      </c>
      <c r="H616" s="1" t="str">
        <f ca="1">IFERROR(__xludf.DUMMYFUNCTION("GOOGLETRANSLATE(G616,""pl"",""en"")"),"Giżycko, Giżycki, Warmian-Masurian Voivodeship")</f>
        <v>Giżycko, Giżycki, Warmian-Masurian Voivodeship</v>
      </c>
      <c r="I616" s="1" t="s">
        <v>21</v>
      </c>
      <c r="J616" s="1" t="s">
        <v>21</v>
      </c>
      <c r="K616" s="1" t="s">
        <v>22</v>
      </c>
      <c r="L616" s="1" t="s">
        <v>2923</v>
      </c>
      <c r="M616" s="1">
        <v>2</v>
      </c>
      <c r="N616" s="1" t="s">
        <v>85</v>
      </c>
      <c r="O616" s="1" t="str">
        <f ca="1">IFERROR(__xludf.DUMMYFUNCTION("GOOGLETRANSLATE(N616,""pl"",""en"")"),"Cooperative ownership of the right to the premises")</f>
        <v>Cooperative ownership of the right to the premises</v>
      </c>
      <c r="P616" s="3" t="s">
        <v>2924</v>
      </c>
      <c r="Q616" s="1" t="b">
        <v>1</v>
      </c>
      <c r="R616" s="1" t="s">
        <v>2925</v>
      </c>
    </row>
    <row r="617" spans="1:18" x14ac:dyDescent="0.25">
      <c r="A617" s="2">
        <v>45173</v>
      </c>
      <c r="B617" s="1" t="s">
        <v>2926</v>
      </c>
      <c r="C617" s="1" t="str">
        <f ca="1">IFERROR(__xludf.DUMMYFUNCTION("GOOGLETRANSLATE(B617,""pl"",""en"")"),"Ownership apartment Szczecinek Soft Loft")</f>
        <v>Ownership apartment Szczecinek Soft Loft</v>
      </c>
      <c r="D617" s="1">
        <v>448812</v>
      </c>
      <c r="E617" s="1" t="s">
        <v>19</v>
      </c>
      <c r="F617" s="1">
        <v>71.239999999999995</v>
      </c>
      <c r="G617" s="1" t="s">
        <v>2927</v>
      </c>
      <c r="H617" s="1" t="str">
        <f ca="1">IFERROR(__xludf.DUMMYFUNCTION("GOOGLETRANSLATE(G617,""pl"",""en"")"),"street. Gabriela Narutowicz, Szczecinek, Szczecin, West Pomeranian Voivodeship")</f>
        <v>street. Gabriela Narutowicz, Szczecinek, Szczecin, West Pomeranian Voivodeship</v>
      </c>
      <c r="I617" s="1" t="s">
        <v>21</v>
      </c>
      <c r="J617" s="1" t="s">
        <v>21</v>
      </c>
      <c r="K617" s="1" t="s">
        <v>22</v>
      </c>
      <c r="L617" s="1" t="s">
        <v>2928</v>
      </c>
      <c r="M617" s="1">
        <v>3</v>
      </c>
      <c r="N617" s="1" t="s">
        <v>24</v>
      </c>
      <c r="O617" s="1" t="str">
        <f ca="1">IFERROR(__xludf.DUMMYFUNCTION("GOOGLETRANSLATE(N617,""pl"",""en"")"),"full ownership")</f>
        <v>full ownership</v>
      </c>
      <c r="P617" s="3" t="s">
        <v>2929</v>
      </c>
      <c r="Q617" s="1" t="b">
        <v>1</v>
      </c>
      <c r="R617" s="1" t="s">
        <v>2930</v>
      </c>
    </row>
    <row r="618" spans="1:18" x14ac:dyDescent="0.25">
      <c r="A618" s="2">
        <v>45173</v>
      </c>
      <c r="B618" s="1" t="s">
        <v>2931</v>
      </c>
      <c r="C618" s="1" t="str">
        <f ca="1">IFERROR(__xludf.DUMMYFUNCTION("GOOGLETRANSLATE(B618,""pl"",""en"")"),"Apartment room with kitchen 27m2, garden, new")</f>
        <v>Apartment room with kitchen 27m2, garden, new</v>
      </c>
      <c r="D618" s="1">
        <v>139000</v>
      </c>
      <c r="E618" s="1" t="s">
        <v>33</v>
      </c>
      <c r="F618" s="1">
        <v>27</v>
      </c>
      <c r="G618" s="1" t="s">
        <v>2932</v>
      </c>
      <c r="H618" s="1" t="str">
        <f ca="1">IFERROR(__xludf.DUMMYFUNCTION("GOOGLETRANSLATE(G618,""pl"",""en"")"),"Przewczyn-Zdrój, Niemcza, Dzierżoniowski, DolnoSilesian Voivodeship")</f>
        <v>Przewczyn-Zdrój, Niemcza, Dzierżoniowski, DolnoSilesian Voivodeship</v>
      </c>
      <c r="I618" s="1" t="s">
        <v>21</v>
      </c>
      <c r="J618" s="1" t="s">
        <v>21</v>
      </c>
      <c r="K618" s="1" t="s">
        <v>22</v>
      </c>
      <c r="L618" s="1" t="s">
        <v>2933</v>
      </c>
      <c r="M618" s="1">
        <v>1</v>
      </c>
      <c r="N618" s="1" t="s">
        <v>24</v>
      </c>
      <c r="O618" s="1" t="str">
        <f ca="1">IFERROR(__xludf.DUMMYFUNCTION("GOOGLETRANSLATE(N618,""pl"",""en"")"),"full ownership")</f>
        <v>full ownership</v>
      </c>
      <c r="P618" s="3" t="s">
        <v>2934</v>
      </c>
      <c r="Q618" s="1" t="b">
        <v>1</v>
      </c>
      <c r="R618" s="1" t="s">
        <v>2935</v>
      </c>
    </row>
    <row r="619" spans="1:18" x14ac:dyDescent="0.25">
      <c r="A619" s="2">
        <v>45173</v>
      </c>
      <c r="B619" s="1" t="s">
        <v>2936</v>
      </c>
      <c r="C619" s="1" t="str">
        <f ca="1">IFERROR(__xludf.DUMMYFUNCTION("GOOGLETRANSLATE(B619,""pl"",""en"")"),"Flat - Warszawa Mokotów Służewiec")</f>
        <v>Flat - Warszawa Mokotów Służewiec</v>
      </c>
      <c r="D619" s="1">
        <v>535200</v>
      </c>
      <c r="E619" s="1" t="s">
        <v>33</v>
      </c>
      <c r="F619" s="1">
        <v>35.68</v>
      </c>
      <c r="G619" s="1" t="s">
        <v>2937</v>
      </c>
      <c r="H619" s="1" t="str">
        <f ca="1">IFERROR(__xludf.DUMMYFUNCTION("GOOGLETRANSLATE(G619,""pl"",""en"")"),"street. Domaniewska, Służewiec, Mokotów, Warsaw, Masovian Voivodeship")</f>
        <v>street. Domaniewska, Służewiec, Mokotów, Warsaw, Masovian Voivodeship</v>
      </c>
      <c r="I619" s="1" t="s">
        <v>21</v>
      </c>
      <c r="J619" s="1" t="s">
        <v>21</v>
      </c>
      <c r="K619" s="1" t="s">
        <v>22</v>
      </c>
      <c r="L619" s="1" t="s">
        <v>2938</v>
      </c>
      <c r="M619" s="1">
        <v>2</v>
      </c>
      <c r="N619" s="1" t="s">
        <v>24</v>
      </c>
      <c r="O619" s="1" t="str">
        <f ca="1">IFERROR(__xludf.DUMMYFUNCTION("GOOGLETRANSLATE(N619,""pl"",""en"")"),"full ownership")</f>
        <v>full ownership</v>
      </c>
      <c r="P619" s="3" t="s">
        <v>2939</v>
      </c>
      <c r="Q619" s="1" t="b">
        <v>1</v>
      </c>
      <c r="R619" s="1" t="s">
        <v>2940</v>
      </c>
    </row>
    <row r="620" spans="1:18" x14ac:dyDescent="0.25">
      <c r="A620" s="2">
        <v>45132</v>
      </c>
      <c r="B620" s="1" t="s">
        <v>2941</v>
      </c>
      <c r="C620" s="1" t="str">
        <f ca="1">IFERROR(__xludf.DUMMYFUNCTION("GOOGLETRANSLATE(B620,""pl"",""en"")"),"*** Apartment for introduction- Gołonóg ****")</f>
        <v>*** Apartment for introduction- Gołonóg ****</v>
      </c>
      <c r="D620" s="1">
        <v>869999</v>
      </c>
      <c r="E620" s="1" t="s">
        <v>33</v>
      </c>
      <c r="F620" s="1" t="s">
        <v>2942</v>
      </c>
      <c r="G620" s="1" t="s">
        <v>2943</v>
      </c>
      <c r="H620" s="1" t="str">
        <f ca="1">IFERROR(__xludf.DUMMYFUNCTION("GOOGLETRANSLATE(G620,""pl"",""en"")"),"Longitude: 19.23344 | Latitude: 50.3334")</f>
        <v>Longitude: 19.23344 | Latitude: 50.3334</v>
      </c>
      <c r="I620" s="1" t="s">
        <v>2590</v>
      </c>
      <c r="J620" s="1" t="s">
        <v>21</v>
      </c>
      <c r="K620" s="1" t="s">
        <v>22</v>
      </c>
      <c r="L620" s="1" t="s">
        <v>2944</v>
      </c>
      <c r="M620" s="1">
        <v>5</v>
      </c>
      <c r="N620" s="1" t="s">
        <v>21</v>
      </c>
      <c r="O620" s="1" t="str">
        <f ca="1">IFERROR(__xludf.DUMMYFUNCTION("GOOGLETRANSLATE(N620,""pl"",""en"")"),"null")</f>
        <v>null</v>
      </c>
      <c r="P620" s="3" t="s">
        <v>2945</v>
      </c>
      <c r="Q620" s="1" t="b">
        <v>1</v>
      </c>
      <c r="R620" s="1" t="s">
        <v>21</v>
      </c>
    </row>
    <row r="621" spans="1:18" x14ac:dyDescent="0.25">
      <c r="A621" s="2">
        <v>45133</v>
      </c>
      <c r="B621" s="1" t="s">
        <v>2946</v>
      </c>
      <c r="C621" s="1" t="str">
        <f ca="1">IFERROR(__xludf.DUMMYFUNCTION("GOOGLETRANSLATE(B621,""pl"",""en"")"),"Syców Flats - Super Location")</f>
        <v>Syców Flats - Super Location</v>
      </c>
      <c r="D621" s="1">
        <v>324950</v>
      </c>
      <c r="E621" s="1" t="s">
        <v>19</v>
      </c>
      <c r="F621" s="1" t="s">
        <v>2947</v>
      </c>
      <c r="G621" s="1" t="s">
        <v>2948</v>
      </c>
      <c r="H621" s="1" t="str">
        <f ca="1">IFERROR(__xludf.DUMMYFUNCTION("GOOGLETRANSLATE(G621,""pl"",""en"")"),"Longitude: 17.70494 | Latitude: 51.31047")</f>
        <v>Longitude: 17.70494 | Latitude: 51.31047</v>
      </c>
      <c r="I621" s="1" t="s">
        <v>2590</v>
      </c>
      <c r="J621" s="1" t="s">
        <v>21</v>
      </c>
      <c r="K621" s="1" t="s">
        <v>22</v>
      </c>
      <c r="L621" s="1" t="s">
        <v>2949</v>
      </c>
      <c r="M621" s="1">
        <v>3</v>
      </c>
      <c r="N621" s="1" t="s">
        <v>21</v>
      </c>
      <c r="O621" s="1" t="str">
        <f ca="1">IFERROR(__xludf.DUMMYFUNCTION("GOOGLETRANSLATE(N621,""pl"",""en"")"),"null")</f>
        <v>null</v>
      </c>
      <c r="P621" s="3" t="s">
        <v>2950</v>
      </c>
      <c r="Q621" s="1" t="b">
        <v>1</v>
      </c>
      <c r="R621" s="1" t="s">
        <v>21</v>
      </c>
    </row>
    <row r="622" spans="1:18" x14ac:dyDescent="0.25">
      <c r="A622" s="2">
        <v>45173</v>
      </c>
      <c r="B622" s="1" t="s">
        <v>2951</v>
      </c>
      <c r="C622" s="1" t="str">
        <f ca="1">IFERROR(__xludf.DUMMYFUNCTION("GOOGLETRANSLATE(B622,""pl"",""en"")"),"Two rooms at the price of a studio!")</f>
        <v>Two rooms at the price of a studio!</v>
      </c>
      <c r="D622" s="1">
        <v>314500</v>
      </c>
      <c r="E622" s="1" t="s">
        <v>19</v>
      </c>
      <c r="F622" s="1">
        <v>34</v>
      </c>
      <c r="G622" s="1" t="s">
        <v>548</v>
      </c>
      <c r="H622" s="1" t="str">
        <f ca="1">IFERROR(__xludf.DUMMYFUNCTION("GOOGLETRANSLATE(G622,""pl"",""en"")"),"Centrum, Śródmieście, Szczecin, ZachodnioPomeranian Voivodeship")</f>
        <v>Centrum, Śródmieście, Szczecin, ZachodnioPomeranian Voivodeship</v>
      </c>
      <c r="I622" s="1" t="s">
        <v>21</v>
      </c>
      <c r="J622" s="1" t="s">
        <v>21</v>
      </c>
      <c r="K622" s="1" t="s">
        <v>22</v>
      </c>
      <c r="L622" s="1" t="s">
        <v>2952</v>
      </c>
      <c r="M622" s="1">
        <v>2</v>
      </c>
      <c r="N622" s="1" t="s">
        <v>24</v>
      </c>
      <c r="O622" s="1" t="str">
        <f ca="1">IFERROR(__xludf.DUMMYFUNCTION("GOOGLETRANSLATE(N622,""pl"",""en"")"),"full ownership")</f>
        <v>full ownership</v>
      </c>
      <c r="P622" s="3" t="s">
        <v>2953</v>
      </c>
      <c r="Q622" s="1" t="b">
        <v>1</v>
      </c>
      <c r="R622" s="1" t="s">
        <v>2954</v>
      </c>
    </row>
    <row r="623" spans="1:18" x14ac:dyDescent="0.25">
      <c r="A623" s="2">
        <v>45308</v>
      </c>
      <c r="B623" s="1" t="s">
        <v>2955</v>
      </c>
      <c r="C623" s="1" t="str">
        <f ca="1">IFERROR(__xludf.DUMMYFUNCTION("GOOGLETRANSLATE(B623,""pl"",""en"")"),"A two -room apartment for your own arrangement")</f>
        <v>A two -room apartment for your own arrangement</v>
      </c>
      <c r="D623" s="1">
        <v>300000</v>
      </c>
      <c r="E623" s="1" t="s">
        <v>33</v>
      </c>
      <c r="F623" s="1">
        <v>37.9</v>
      </c>
      <c r="G623" s="1" t="s">
        <v>2956</v>
      </c>
      <c r="H623" s="1" t="str">
        <f ca="1">IFERROR(__xludf.DUMMYFUNCTION("GOOGLETRANSLATE(G623,""pl"",""en"")"),"street. Strzelecka, Śródmieście, Katowice, Silesian Voivodeship")</f>
        <v>street. Strzelecka, Śródmieście, Katowice, Silesian Voivodeship</v>
      </c>
      <c r="I623" s="1" t="b">
        <v>1</v>
      </c>
      <c r="J623" s="1" t="s">
        <v>21</v>
      </c>
      <c r="K623" s="1" t="s">
        <v>22</v>
      </c>
      <c r="L623" s="1" t="s">
        <v>2957</v>
      </c>
      <c r="M623" s="1">
        <v>2</v>
      </c>
      <c r="N623" s="1" t="s">
        <v>24</v>
      </c>
      <c r="O623" s="1" t="str">
        <f ca="1">IFERROR(__xludf.DUMMYFUNCTION("GOOGLETRANSLATE(N623,""pl"",""en"")"),"full ownership")</f>
        <v>full ownership</v>
      </c>
      <c r="P623" s="3" t="s">
        <v>2958</v>
      </c>
      <c r="Q623" s="1" t="b">
        <v>1</v>
      </c>
      <c r="R623" s="1" t="s">
        <v>2959</v>
      </c>
    </row>
    <row r="624" spans="1:18" x14ac:dyDescent="0.25">
      <c r="A624" s="2">
        <v>45308</v>
      </c>
      <c r="B624" s="1" t="s">
        <v>2960</v>
      </c>
      <c r="C624" s="1" t="str">
        <f ca="1">IFERROR(__xludf.DUMMYFUNCTION("GOOGLETRANSLATE(B624,""pl"",""en"")"),"New apartment Łódź, ul. Pienista, 2 rooms, 3p")</f>
        <v>New apartment Łódź, ul. Pienista, 2 rooms, 3p</v>
      </c>
      <c r="D624" s="1">
        <v>353000</v>
      </c>
      <c r="E624" s="1" t="s">
        <v>33</v>
      </c>
      <c r="F624" s="1">
        <v>38.74</v>
      </c>
      <c r="G624" s="1" t="s">
        <v>2961</v>
      </c>
      <c r="H624" s="1" t="str">
        <f ca="1">IFERROR(__xludf.DUMMYFUNCTION("GOOGLETRANSLATE(G624,""pl"",""en"")"),"Retkinia, Polesie, Łódź, Łódź")</f>
        <v>Retkinia, Polesie, Łódź, Łódź</v>
      </c>
      <c r="I624" s="1" t="s">
        <v>21</v>
      </c>
      <c r="J624" s="1" t="s">
        <v>21</v>
      </c>
      <c r="K624" s="1" t="s">
        <v>45</v>
      </c>
      <c r="L624" s="1" t="s">
        <v>2962</v>
      </c>
      <c r="M624" s="1">
        <v>2</v>
      </c>
      <c r="N624" s="1" t="s">
        <v>24</v>
      </c>
      <c r="O624" s="1" t="str">
        <f ca="1">IFERROR(__xludf.DUMMYFUNCTION("GOOGLETRANSLATE(N624,""pl"",""en"")"),"full ownership")</f>
        <v>full ownership</v>
      </c>
      <c r="P624" s="3" t="s">
        <v>2963</v>
      </c>
      <c r="Q624" s="1" t="b">
        <v>1</v>
      </c>
      <c r="R624" s="1" t="s">
        <v>2964</v>
      </c>
    </row>
    <row r="625" spans="1:18" x14ac:dyDescent="0.25">
      <c r="A625" s="2">
        <v>45308</v>
      </c>
      <c r="B625" s="1" t="s">
        <v>2965</v>
      </c>
      <c r="C625" s="1" t="str">
        <f ca="1">IFERROR(__xludf.DUMMYFUNCTION("GOOGLETRANSLATE(B625,""pl"",""en"")"),"Two rooms with a balcony and a view of Malbork")</f>
        <v>Two rooms with a balcony and a view of Malbork</v>
      </c>
      <c r="D625" s="1">
        <v>250000</v>
      </c>
      <c r="E625" s="1" t="s">
        <v>33</v>
      </c>
      <c r="F625" s="1">
        <v>40</v>
      </c>
      <c r="G625" s="1" t="s">
        <v>2966</v>
      </c>
      <c r="H625" s="1" t="str">
        <f ca="1">IFERROR(__xludf.DUMMYFUNCTION("GOOGLETRANSLATE(G625,""pl"",""en"")"),"street. Jasna, Malbork, Malborski, Pomeranian")</f>
        <v>street. Jasna, Malbork, Malborski, Pomeranian</v>
      </c>
      <c r="I625" s="1" t="s">
        <v>21</v>
      </c>
      <c r="J625" s="1" t="s">
        <v>21</v>
      </c>
      <c r="K625" s="1" t="s">
        <v>22</v>
      </c>
      <c r="L625" s="1" t="s">
        <v>2967</v>
      </c>
      <c r="M625" s="1">
        <v>2</v>
      </c>
      <c r="N625" s="1" t="s">
        <v>24</v>
      </c>
      <c r="O625" s="1" t="str">
        <f ca="1">IFERROR(__xludf.DUMMYFUNCTION("GOOGLETRANSLATE(N625,""pl"",""en"")"),"full ownership")</f>
        <v>full ownership</v>
      </c>
      <c r="P625" s="3" t="s">
        <v>2968</v>
      </c>
      <c r="Q625" s="1" t="b">
        <v>1</v>
      </c>
      <c r="R625" s="1" t="s">
        <v>2969</v>
      </c>
    </row>
    <row r="626" spans="1:18" x14ac:dyDescent="0.25">
      <c r="A626" s="2">
        <v>45308</v>
      </c>
      <c r="B626" s="1" t="s">
        <v>2970</v>
      </c>
      <c r="C626" s="1" t="str">
        <f ca="1">IFERROR(__xludf.DUMMYFUNCTION("GOOGLETRANSLATE(B626,""pl"",""en"")"),"Niegodnity 47.2m")</f>
        <v>Niegodnity 47.2m</v>
      </c>
      <c r="D626" s="1">
        <v>355000</v>
      </c>
      <c r="E626" s="1" t="s">
        <v>33</v>
      </c>
      <c r="F626" s="1">
        <v>47.2</v>
      </c>
      <c r="G626" s="1" t="s">
        <v>2971</v>
      </c>
      <c r="H626" s="1" t="str">
        <f ca="1">IFERROR(__xludf.DUMMYFUNCTION("GOOGLETRANSLATE(G626,""pl"",""en"")"),"street. Niepodległości, Kalinowszczyzna, Lublin, Lublin")</f>
        <v>street. Niepodległości, Kalinowszczyzna, Lublin, Lublin</v>
      </c>
      <c r="I626" s="1" t="b">
        <v>1</v>
      </c>
      <c r="J626" s="1" t="s">
        <v>21</v>
      </c>
      <c r="K626" s="1" t="s">
        <v>22</v>
      </c>
      <c r="L626" s="1" t="s">
        <v>2972</v>
      </c>
      <c r="M626" s="1">
        <v>2</v>
      </c>
      <c r="N626" s="1" t="s">
        <v>21</v>
      </c>
      <c r="O626" s="1" t="str">
        <f ca="1">IFERROR(__xludf.DUMMYFUNCTION("GOOGLETRANSLATE(N626,""pl"",""en"")"),"null")</f>
        <v>null</v>
      </c>
      <c r="P626" s="3" t="s">
        <v>2973</v>
      </c>
      <c r="Q626" s="1" t="b">
        <v>1</v>
      </c>
      <c r="R626" s="1" t="s">
        <v>2974</v>
      </c>
    </row>
    <row r="627" spans="1:18" x14ac:dyDescent="0.25">
      <c r="A627" s="2">
        <v>45308</v>
      </c>
      <c r="B627" s="1" t="s">
        <v>2975</v>
      </c>
      <c r="C627" s="1" t="str">
        <f ca="1">IFERROR(__xludf.DUMMYFUNCTION("GOOGLETRANSLATE(B627,""pl"",""en"")"),"4 room 100 sq m Quiet neighborhood in the heart of Szczecin")</f>
        <v>4 room 100 sq m Quiet neighborhood in the heart of Szczecin</v>
      </c>
      <c r="D627" s="1">
        <v>475000</v>
      </c>
      <c r="E627" s="1" t="s">
        <v>33</v>
      </c>
      <c r="F627" s="1">
        <v>100.29</v>
      </c>
      <c r="G627" s="1" t="s">
        <v>2976</v>
      </c>
      <c r="H627" s="1" t="str">
        <f ca="1">IFERROR(__xludf.DUMMYFUNCTION("GOOGLETRANSLATE(G627,""pl"",""en"")"),"Międzyodrze-Wyspa Pucka, Śródmieście, Szczecin, West Pomeranian Voivodeship")</f>
        <v>Międzyodrze-Wyspa Pucka, Śródmieście, Szczecin, West Pomeranian Voivodeship</v>
      </c>
      <c r="I627" s="1" t="s">
        <v>21</v>
      </c>
      <c r="J627" s="1" t="s">
        <v>21</v>
      </c>
      <c r="K627" s="1" t="s">
        <v>22</v>
      </c>
      <c r="L627" s="1" t="s">
        <v>2977</v>
      </c>
      <c r="M627" s="1">
        <v>4</v>
      </c>
      <c r="N627" s="1" t="s">
        <v>24</v>
      </c>
      <c r="O627" s="1" t="str">
        <f ca="1">IFERROR(__xludf.DUMMYFUNCTION("GOOGLETRANSLATE(N627,""pl"",""en"")"),"full ownership")</f>
        <v>full ownership</v>
      </c>
      <c r="P627" s="3" t="s">
        <v>2978</v>
      </c>
      <c r="Q627" s="1" t="b">
        <v>1</v>
      </c>
      <c r="R627" s="1" t="s">
        <v>2979</v>
      </c>
    </row>
    <row r="628" spans="1:18" x14ac:dyDescent="0.25">
      <c r="A628" s="2">
        <v>45308</v>
      </c>
      <c r="B628" s="1" t="s">
        <v>2980</v>
      </c>
      <c r="C628" s="1" t="str">
        <f ca="1">IFERROR(__xludf.DUMMYFUNCTION("GOOGLETRANSLATE(B628,""pl"",""en"")"),"Krakow estate fi 50m2 Stare Podgórze without commission")</f>
        <v>Krakow estate fi 50m2 Stare Podgórze without commission</v>
      </c>
      <c r="D628" s="1">
        <v>889000</v>
      </c>
      <c r="E628" s="1" t="s">
        <v>33</v>
      </c>
      <c r="F628" s="1">
        <v>50</v>
      </c>
      <c r="G628" s="1" t="s">
        <v>4785</v>
      </c>
      <c r="H628" s="1" t="str">
        <f ca="1">IFERROR(__xludf.DUMMYFUNCTION("GOOGLETRANSLATE(G628,""pl"",""en"")"),"street. Tadeusz Szafran, Stare Podgórze, Podgórze, Kraków, Lesser Poland")</f>
        <v>street. Tadeusz Szafran, Stare Podgórze, Podgórze, Kraków, Lesser Poland</v>
      </c>
      <c r="I628" s="1" t="s">
        <v>21</v>
      </c>
      <c r="J628" s="1" t="s">
        <v>21</v>
      </c>
      <c r="K628" s="1" t="s">
        <v>45</v>
      </c>
      <c r="L628" s="1" t="s">
        <v>2981</v>
      </c>
      <c r="M628" s="1">
        <v>2</v>
      </c>
      <c r="N628" s="1" t="s">
        <v>24</v>
      </c>
      <c r="O628" s="1" t="str">
        <f ca="1">IFERROR(__xludf.DUMMYFUNCTION("GOOGLETRANSLATE(N628,""pl"",""en"")"),"full ownership")</f>
        <v>full ownership</v>
      </c>
      <c r="P628" s="3" t="s">
        <v>2982</v>
      </c>
      <c r="Q628" s="1" t="b">
        <v>1</v>
      </c>
      <c r="R628" s="1" t="s">
        <v>2983</v>
      </c>
    </row>
    <row r="629" spans="1:18" x14ac:dyDescent="0.25">
      <c r="A629" s="2">
        <v>45308</v>
      </c>
      <c r="B629" s="1" t="s">
        <v>2984</v>
      </c>
      <c r="C629" s="1" t="str">
        <f ca="1">IFERROR(__xludf.DUMMYFUNCTION("GOOGLETRANSLATE(B629,""pl"",""en"")"),"Nice 4 -room, 2 loggia, 2nd floor of os. Venedów")</f>
        <v>Nice 4 -room, 2 loggia, 2nd floor of os. Venedów</v>
      </c>
      <c r="D629" s="1">
        <v>475000</v>
      </c>
      <c r="E629" s="1" t="s">
        <v>33</v>
      </c>
      <c r="F629" s="1">
        <v>85.2</v>
      </c>
      <c r="G629" s="1" t="s">
        <v>263</v>
      </c>
      <c r="H629" s="1" t="str">
        <f ca="1">IFERROR(__xludf.DUMMYFUNCTION("GOOGLETRANSLATE(G629,""pl"",""en"")"),"Koszalin, West Pomeranian Voivodeship")</f>
        <v>Koszalin, West Pomeranian Voivodeship</v>
      </c>
      <c r="I629" s="1" t="b">
        <v>1</v>
      </c>
      <c r="J629" s="1" t="s">
        <v>21</v>
      </c>
      <c r="K629" s="1" t="s">
        <v>22</v>
      </c>
      <c r="L629" s="1" t="s">
        <v>2985</v>
      </c>
      <c r="M629" s="1">
        <v>4</v>
      </c>
      <c r="N629" s="1" t="s">
        <v>24</v>
      </c>
      <c r="O629" s="1" t="str">
        <f ca="1">IFERROR(__xludf.DUMMYFUNCTION("GOOGLETRANSLATE(N629,""pl"",""en"")"),"full ownership")</f>
        <v>full ownership</v>
      </c>
      <c r="P629" s="3" t="s">
        <v>2986</v>
      </c>
      <c r="Q629" s="1" t="b">
        <v>1</v>
      </c>
      <c r="R629" s="1" t="s">
        <v>2987</v>
      </c>
    </row>
    <row r="630" spans="1:18" x14ac:dyDescent="0.25">
      <c r="A630" s="2">
        <v>45173</v>
      </c>
      <c r="B630" s="1" t="s">
        <v>2988</v>
      </c>
      <c r="C630" s="1" t="str">
        <f ca="1">IFERROR(__xludf.DUMMYFUNCTION("GOOGLETRANSLATE(B630,""pl"",""en"")"),"A two -room apartment in a newly created block!")</f>
        <v>A two -room apartment in a newly created block!</v>
      </c>
      <c r="D630" s="1">
        <v>418593</v>
      </c>
      <c r="E630" s="1" t="s">
        <v>19</v>
      </c>
      <c r="F630" s="1">
        <v>45.01</v>
      </c>
      <c r="G630" s="1" t="s">
        <v>2989</v>
      </c>
      <c r="H630" s="1" t="str">
        <f ca="1">IFERROR(__xludf.DUMMYFUNCTION("GOOGLETRANSLATE(G630,""pl"",""en"")"),"street. Młądzki, South Węglin, Lublin, Lublin Voivodeship")</f>
        <v>street. Młądzki, South Węglin, Lublin, Lublin Voivodeship</v>
      </c>
      <c r="I630" s="1" t="s">
        <v>21</v>
      </c>
      <c r="J630" s="1" t="s">
        <v>21</v>
      </c>
      <c r="K630" s="1" t="s">
        <v>22</v>
      </c>
      <c r="L630" s="1" t="s">
        <v>2990</v>
      </c>
      <c r="M630" s="1">
        <v>2</v>
      </c>
      <c r="N630" s="1" t="s">
        <v>24</v>
      </c>
      <c r="O630" s="1" t="str">
        <f ca="1">IFERROR(__xludf.DUMMYFUNCTION("GOOGLETRANSLATE(N630,""pl"",""en"")"),"full ownership")</f>
        <v>full ownership</v>
      </c>
      <c r="P630" s="3" t="s">
        <v>2991</v>
      </c>
      <c r="Q630" s="1" t="b">
        <v>1</v>
      </c>
      <c r="R630" s="1" t="s">
        <v>2992</v>
      </c>
    </row>
    <row r="631" spans="1:18" x14ac:dyDescent="0.25">
      <c r="A631" s="2">
        <v>45173</v>
      </c>
      <c r="B631" s="1" t="s">
        <v>2993</v>
      </c>
      <c r="C631" s="1" t="str">
        <f ca="1">IFERROR(__xludf.DUMMYFUNCTION("GOOGLETRANSLATE(B631,""pl"",""en"")"),"A two -story apartment in Zielony Ursynów")</f>
        <v>A two -story apartment in Zielony Ursynów</v>
      </c>
      <c r="D631" s="1">
        <v>1150000</v>
      </c>
      <c r="E631" s="1" t="s">
        <v>33</v>
      </c>
      <c r="F631" s="1">
        <v>126.91</v>
      </c>
      <c r="G631" s="1" t="s">
        <v>2994</v>
      </c>
      <c r="H631" s="1" t="str">
        <f ca="1">IFERROR(__xludf.DUMMYFUNCTION("GOOGLETRANSLATE(G631,""pl"",""en"")"),"street. Sarabandy, South Jeziorki, Ursynów, Warsaw, Masovian Voivodeship")</f>
        <v>street. Sarabandy, South Jeziorki, Ursynów, Warsaw, Masovian Voivodeship</v>
      </c>
      <c r="I631" s="1" t="s">
        <v>21</v>
      </c>
      <c r="J631" s="1" t="s">
        <v>21</v>
      </c>
      <c r="K631" s="1" t="s">
        <v>22</v>
      </c>
      <c r="L631" s="1" t="s">
        <v>2995</v>
      </c>
      <c r="M631" s="1">
        <v>5</v>
      </c>
      <c r="N631" s="1" t="s">
        <v>24</v>
      </c>
      <c r="O631" s="1" t="str">
        <f ca="1">IFERROR(__xludf.DUMMYFUNCTION("GOOGLETRANSLATE(N631,""pl"",""en"")"),"full ownership")</f>
        <v>full ownership</v>
      </c>
      <c r="P631" s="3" t="s">
        <v>2996</v>
      </c>
      <c r="Q631" s="1" t="b">
        <v>1</v>
      </c>
      <c r="R631" s="1" t="s">
        <v>2997</v>
      </c>
    </row>
    <row r="632" spans="1:18" x14ac:dyDescent="0.25">
      <c r="A632" s="2">
        <v>45173</v>
      </c>
      <c r="B632" s="1" t="s">
        <v>2998</v>
      </c>
      <c r="C632" s="1" t="str">
        <f ca="1">IFERROR(__xludf.DUMMYFUNCTION("GOOGLETRANSLATE(B632,""pl"",""en"")"),"A two -room apartment in a newly built block!")</f>
        <v>A two -room apartment in a newly built block!</v>
      </c>
      <c r="D632" s="1">
        <v>475180</v>
      </c>
      <c r="E632" s="1" t="s">
        <v>19</v>
      </c>
      <c r="F632" s="1">
        <v>41.32</v>
      </c>
      <c r="G632" s="1" t="s">
        <v>2999</v>
      </c>
      <c r="H632" s="1" t="str">
        <f ca="1">IFERROR(__xludf.DUMMYFUNCTION("GOOGLETRANSLATE(G632,""pl"",""en"")"),"street. Lesława Pagi, Wieniawa, Lublin, Lublin Voivodeship")</f>
        <v>street. Lesława Pagi, Wieniawa, Lublin, Lublin Voivodeship</v>
      </c>
      <c r="I632" s="1" t="s">
        <v>21</v>
      </c>
      <c r="J632" s="1" t="s">
        <v>21</v>
      </c>
      <c r="K632" s="1" t="s">
        <v>22</v>
      </c>
      <c r="L632" s="1" t="s">
        <v>3000</v>
      </c>
      <c r="M632" s="1">
        <v>2</v>
      </c>
      <c r="N632" s="1" t="s">
        <v>24</v>
      </c>
      <c r="O632" s="1" t="str">
        <f ca="1">IFERROR(__xludf.DUMMYFUNCTION("GOOGLETRANSLATE(N632,""pl"",""en"")"),"full ownership")</f>
        <v>full ownership</v>
      </c>
      <c r="P632" s="3" t="s">
        <v>3001</v>
      </c>
      <c r="Q632" s="1" t="b">
        <v>1</v>
      </c>
      <c r="R632" s="1" t="s">
        <v>3002</v>
      </c>
    </row>
    <row r="633" spans="1:18" x14ac:dyDescent="0.25">
      <c r="A633" s="2">
        <v>45173</v>
      </c>
      <c r="B633" s="1" t="s">
        <v>3003</v>
      </c>
      <c r="C633" s="1" t="str">
        <f ca="1">IFERROR(__xludf.DUMMYFUNCTION("GOOGLETRANSLATE(B633,""pl"",""en"")"),"Large apartment in Oksywie, 92 m2")</f>
        <v>Large apartment in Oksywie, 92 m2</v>
      </c>
      <c r="D633" s="1">
        <v>1122000</v>
      </c>
      <c r="E633" s="1" t="s">
        <v>33</v>
      </c>
      <c r="F633" s="1">
        <v>92</v>
      </c>
      <c r="G633" s="1" t="s">
        <v>3004</v>
      </c>
      <c r="H633" s="1" t="str">
        <f ca="1">IFERROR(__xludf.DUMMYFUNCTION("GOOGLETRANSLATE(G633,""pl"",""en"")"),"street. Bosmańska, Oksywie, Gdynia, Pomeranian")</f>
        <v>street. Bosmańska, Oksywie, Gdynia, Pomeranian</v>
      </c>
      <c r="I633" s="1" t="s">
        <v>21</v>
      </c>
      <c r="J633" s="1" t="s">
        <v>21</v>
      </c>
      <c r="K633" s="1" t="s">
        <v>22</v>
      </c>
      <c r="L633" s="1" t="s">
        <v>3005</v>
      </c>
      <c r="M633" s="1">
        <v>5</v>
      </c>
      <c r="N633" s="1" t="s">
        <v>24</v>
      </c>
      <c r="O633" s="1" t="str">
        <f ca="1">IFERROR(__xludf.DUMMYFUNCTION("GOOGLETRANSLATE(N633,""pl"",""en"")"),"full ownership")</f>
        <v>full ownership</v>
      </c>
      <c r="P633" s="3" t="s">
        <v>3006</v>
      </c>
      <c r="Q633" s="1" t="b">
        <v>1</v>
      </c>
      <c r="R633" s="1" t="s">
        <v>3007</v>
      </c>
    </row>
    <row r="634" spans="1:18" x14ac:dyDescent="0.25">
      <c r="A634" s="2">
        <v>45173</v>
      </c>
      <c r="B634" s="1" t="s">
        <v>3008</v>
      </c>
      <c r="C634" s="1" t="str">
        <f ca="1">IFERROR(__xludf.DUMMYFUNCTION("GOOGLETRANSLATE(B634,""pl"",""en"")"),"A two -room apartment in the channel and center")</f>
        <v>A two -room apartment in the channel and center</v>
      </c>
      <c r="D634" s="1">
        <v>285000</v>
      </c>
      <c r="E634" s="1" t="s">
        <v>33</v>
      </c>
      <c r="F634" s="1">
        <v>46</v>
      </c>
      <c r="G634" s="1" t="s">
        <v>3009</v>
      </c>
      <c r="H634" s="1" t="str">
        <f ca="1">IFERROR(__xludf.DUMMYFUNCTION("GOOGLETRANSLATE(G634,""pl"",""en"")"),"street. Olsztyńska, Giżycko, Giżycki, Warmian-Masurian Voivodeship")</f>
        <v>street. Olsztyńska, Giżycko, Giżycki, Warmian-Masurian Voivodeship</v>
      </c>
      <c r="I634" s="1" t="s">
        <v>21</v>
      </c>
      <c r="J634" s="1" t="s">
        <v>21</v>
      </c>
      <c r="K634" s="1" t="s">
        <v>22</v>
      </c>
      <c r="L634" s="1" t="s">
        <v>3010</v>
      </c>
      <c r="M634" s="1">
        <v>2</v>
      </c>
      <c r="N634" s="1" t="s">
        <v>85</v>
      </c>
      <c r="O634" s="1" t="str">
        <f ca="1">IFERROR(__xludf.DUMMYFUNCTION("GOOGLETRANSLATE(N634,""pl"",""en"")"),"Cooperative ownership of the right to the premises")</f>
        <v>Cooperative ownership of the right to the premises</v>
      </c>
      <c r="P634" s="3" t="s">
        <v>3011</v>
      </c>
      <c r="Q634" s="1" t="b">
        <v>1</v>
      </c>
      <c r="R634" s="1" t="s">
        <v>3012</v>
      </c>
    </row>
    <row r="635" spans="1:18" x14ac:dyDescent="0.25">
      <c r="A635" s="2">
        <v>45173</v>
      </c>
      <c r="B635" s="1" t="s">
        <v>3013</v>
      </c>
      <c r="C635" s="1" t="str">
        <f ca="1">IFERROR(__xludf.DUMMYFUNCTION("GOOGLETRANSLATE(B635,""pl"",""en"")"),"New apartment in Myszków, without commission !!!")</f>
        <v>New apartment in Myszków, without commission !!!</v>
      </c>
      <c r="D635" s="1">
        <v>458200</v>
      </c>
      <c r="E635" s="1" t="s">
        <v>19</v>
      </c>
      <c r="F635" s="1">
        <v>71</v>
      </c>
      <c r="G635" s="1" t="s">
        <v>3014</v>
      </c>
      <c r="H635" s="1" t="str">
        <f ca="1">IFERROR(__xludf.DUMMYFUNCTION("GOOGLETRANSLATE(G635,""pl"",""en"")"),"Myszków, Myszkowski, Silesian Voivodeship")</f>
        <v>Myszków, Myszkowski, Silesian Voivodeship</v>
      </c>
      <c r="I635" s="1" t="s">
        <v>21</v>
      </c>
      <c r="J635" s="1" t="s">
        <v>21</v>
      </c>
      <c r="K635" s="1" t="s">
        <v>22</v>
      </c>
      <c r="L635" s="1" t="s">
        <v>3015</v>
      </c>
      <c r="M635" s="1">
        <v>3</v>
      </c>
      <c r="N635" s="1" t="s">
        <v>24</v>
      </c>
      <c r="O635" s="1" t="str">
        <f ca="1">IFERROR(__xludf.DUMMYFUNCTION("GOOGLETRANSLATE(N635,""pl"",""en"")"),"full ownership")</f>
        <v>full ownership</v>
      </c>
      <c r="P635" s="3" t="s">
        <v>3016</v>
      </c>
      <c r="Q635" s="1" t="b">
        <v>1</v>
      </c>
      <c r="R635" s="1" t="s">
        <v>3017</v>
      </c>
    </row>
    <row r="636" spans="1:18" x14ac:dyDescent="0.25">
      <c r="A636" s="2">
        <v>45308</v>
      </c>
      <c r="B636" s="1" t="s">
        <v>3018</v>
      </c>
      <c r="C636" s="1" t="str">
        <f ca="1">IFERROR(__xludf.DUMMYFUNCTION("GOOGLETRANSLATE(B636,""pl"",""en"")"),"Two rooms for sale Morena Alfa Park II")</f>
        <v>Two rooms for sale Morena Alfa Park II</v>
      </c>
      <c r="D636" s="1">
        <v>729000</v>
      </c>
      <c r="E636" s="1" t="s">
        <v>33</v>
      </c>
      <c r="F636" s="1">
        <v>50.37</v>
      </c>
      <c r="G636" s="1" t="s">
        <v>3019</v>
      </c>
      <c r="H636" s="1" t="str">
        <f ca="1">IFERROR(__xludf.DUMMYFUNCTION("GOOGLETRANSLATE(G636,""pl"",""en"")"),"street. Myśliwska, Jasień, Gdańsk, Pomeranian Voivodeship")</f>
        <v>street. Myśliwska, Jasień, Gdańsk, Pomeranian Voivodeship</v>
      </c>
      <c r="I636" s="1" t="s">
        <v>21</v>
      </c>
      <c r="J636" s="1" t="s">
        <v>21</v>
      </c>
      <c r="K636" s="1" t="s">
        <v>22</v>
      </c>
      <c r="L636" s="1" t="s">
        <v>3020</v>
      </c>
      <c r="M636" s="1">
        <v>2</v>
      </c>
      <c r="N636" s="1" t="s">
        <v>24</v>
      </c>
      <c r="O636" s="1" t="str">
        <f ca="1">IFERROR(__xludf.DUMMYFUNCTION("GOOGLETRANSLATE(N636,""pl"",""en"")"),"full ownership")</f>
        <v>full ownership</v>
      </c>
      <c r="P636" s="3" t="s">
        <v>3021</v>
      </c>
      <c r="Q636" s="1" t="b">
        <v>1</v>
      </c>
      <c r="R636" s="1" t="s">
        <v>3022</v>
      </c>
    </row>
    <row r="637" spans="1:18" x14ac:dyDescent="0.25">
      <c r="A637" s="2">
        <v>45308</v>
      </c>
      <c r="B637" s="1" t="s">
        <v>3023</v>
      </c>
      <c r="C637" s="1" t="str">
        <f ca="1">IFERROR(__xludf.DUMMYFUNCTION("GOOGLETRANSLATE(B637,""pl"",""en"")"),"Beautiful apartment in the echo of the merger !!! Top!")</f>
        <v>Beautiful apartment in the echo of the merger !!! Top!</v>
      </c>
      <c r="D637" s="1">
        <v>539000</v>
      </c>
      <c r="E637" s="1" t="s">
        <v>33</v>
      </c>
      <c r="F637" s="1">
        <v>38.5</v>
      </c>
      <c r="G637" s="1" t="s">
        <v>3024</v>
      </c>
      <c r="H637" s="1" t="str">
        <f ca="1">IFERROR(__xludf.DUMMYFUNCTION("GOOGLETRANSLATE(G637,""pl"",""en"")"),"street. Millionowa, Księży Młyn, Widzew, Łódź, Łódź")</f>
        <v>street. Millionowa, Księży Młyn, Widzew, Łódź, Łódź</v>
      </c>
      <c r="I637" s="1" t="b">
        <v>1</v>
      </c>
      <c r="J637" s="1" t="s">
        <v>21</v>
      </c>
      <c r="K637" s="1" t="s">
        <v>22</v>
      </c>
      <c r="L637" s="1" t="s">
        <v>3025</v>
      </c>
      <c r="M637" s="1">
        <v>1</v>
      </c>
      <c r="N637" s="1" t="s">
        <v>21</v>
      </c>
      <c r="O637" s="1" t="str">
        <f ca="1">IFERROR(__xludf.DUMMYFUNCTION("GOOGLETRANSLATE(N637,""pl"",""en"")"),"null")</f>
        <v>null</v>
      </c>
      <c r="P637" s="3" t="s">
        <v>3026</v>
      </c>
      <c r="Q637" s="1" t="b">
        <v>1</v>
      </c>
      <c r="R637" s="1" t="s">
        <v>3027</v>
      </c>
    </row>
    <row r="638" spans="1:18" x14ac:dyDescent="0.25">
      <c r="A638" s="2">
        <v>45308</v>
      </c>
      <c r="B638" s="1" t="s">
        <v>3028</v>
      </c>
      <c r="C638" s="1" t="str">
        <f ca="1">IFERROR(__xludf.DUMMYFUNCTION("GOOGLETRANSLATE(B638,""pl"",""en"")"),"Villa Burtowa 2-Pok. | 1a")</f>
        <v>Villa Burtowa 2-Pok. | 1a</v>
      </c>
      <c r="D638" s="1">
        <v>268756</v>
      </c>
      <c r="E638" s="1" t="s">
        <v>19</v>
      </c>
      <c r="F638" s="1">
        <v>23.01</v>
      </c>
      <c r="G638" s="1" t="s">
        <v>3029</v>
      </c>
      <c r="H638" s="1" t="str">
        <f ca="1">IFERROR(__xludf.DUMMYFUNCTION("GOOGLETRANSLATE(G638,""pl"",""en"")"),"street. Burtowa, Władysławowo, Władysławowo, Pucki, Pomeranian")</f>
        <v>street. Burtowa, Władysławowo, Władysławowo, Pucki, Pomeranian</v>
      </c>
      <c r="I638" s="1" t="s">
        <v>21</v>
      </c>
      <c r="J638" s="1" t="s">
        <v>21</v>
      </c>
      <c r="K638" s="1" t="s">
        <v>194</v>
      </c>
      <c r="L638" s="1" t="s">
        <v>3030</v>
      </c>
      <c r="M638" s="1">
        <v>2</v>
      </c>
      <c r="N638" s="1" t="s">
        <v>24</v>
      </c>
      <c r="O638" s="1" t="str">
        <f ca="1">IFERROR(__xludf.DUMMYFUNCTION("GOOGLETRANSLATE(N638,""pl"",""en"")"),"full ownership")</f>
        <v>full ownership</v>
      </c>
      <c r="P638" s="3" t="s">
        <v>3031</v>
      </c>
      <c r="Q638" s="1" t="b">
        <v>1</v>
      </c>
      <c r="R638" s="1" t="s">
        <v>3032</v>
      </c>
    </row>
    <row r="639" spans="1:18" x14ac:dyDescent="0.25">
      <c r="A639" s="2">
        <v>45308</v>
      </c>
      <c r="B639" s="1" t="s">
        <v>3033</v>
      </c>
      <c r="C639" s="1" t="str">
        <f ca="1">IFERROR(__xludf.DUMMYFUNCTION("GOOGLETRANSLATE(B639,""pl"",""en"")"),"A 35.14m2 2 -room apartment worth admirable")</f>
        <v>A 35.14m2 2 -room apartment worth admirable</v>
      </c>
      <c r="D639" s="1">
        <v>290000</v>
      </c>
      <c r="E639" s="1" t="s">
        <v>33</v>
      </c>
      <c r="F639" s="1">
        <v>35</v>
      </c>
      <c r="G639" s="1" t="s">
        <v>3034</v>
      </c>
      <c r="H639" s="1" t="str">
        <f ca="1">IFERROR(__xludf.DUMMYFUNCTION("GOOGLETRANSLATE(G639,""pl"",""en"")"),"street. General Henryka Le Ronda, Dąbrówka Mała, Katowice, Silesian Voivodeship")</f>
        <v>street. General Henryka Le Ronda, Dąbrówka Mała, Katowice, Silesian Voivodeship</v>
      </c>
      <c r="I639" s="1" t="b">
        <v>1</v>
      </c>
      <c r="J639" s="1" t="s">
        <v>21</v>
      </c>
      <c r="K639" s="1" t="s">
        <v>22</v>
      </c>
      <c r="L639" s="1" t="s">
        <v>3035</v>
      </c>
      <c r="M639" s="1">
        <v>2</v>
      </c>
      <c r="N639" s="1" t="s">
        <v>24</v>
      </c>
      <c r="O639" s="1" t="str">
        <f ca="1">IFERROR(__xludf.DUMMYFUNCTION("GOOGLETRANSLATE(N639,""pl"",""en"")"),"full ownership")</f>
        <v>full ownership</v>
      </c>
      <c r="P639" s="3" t="s">
        <v>3036</v>
      </c>
      <c r="Q639" s="1" t="b">
        <v>1</v>
      </c>
      <c r="R639" s="1" t="s">
        <v>3037</v>
      </c>
    </row>
    <row r="640" spans="1:18" x14ac:dyDescent="0.25">
      <c r="A640" s="2">
        <v>45308</v>
      </c>
      <c r="B640" s="1" t="s">
        <v>3038</v>
      </c>
      <c r="C640" s="1" t="str">
        <f ca="1">IFERROR(__xludf.DUMMYFUNCTION("GOOGLETRANSLATE(B640,""pl"",""en"")"),"Last | bestcena | Promotion | New Investment | Hit")</f>
        <v>Last | bestcena | Promotion | New Investment | Hit</v>
      </c>
      <c r="D640" s="1">
        <v>469000</v>
      </c>
      <c r="E640" s="1" t="s">
        <v>19</v>
      </c>
      <c r="F640" s="1">
        <v>58.2</v>
      </c>
      <c r="G640" s="1" t="s">
        <v>3039</v>
      </c>
      <c r="H640" s="1" t="str">
        <f ca="1">IFERROR(__xludf.DUMMYFUNCTION("GOOGLETRANSLATE(G640,""pl"",""en"")"),"street. Ignacy Mościcki, Bieńkowice, Krzyki, Wrocław, DolnoSilesian Voivodeship")</f>
        <v>street. Ignacy Mościcki, Bieńkowice, Krzyki, Wrocław, DolnoSilesian Voivodeship</v>
      </c>
      <c r="I640" s="1" t="b">
        <v>1</v>
      </c>
      <c r="J640" s="1" t="s">
        <v>21</v>
      </c>
      <c r="K640" s="1" t="s">
        <v>22</v>
      </c>
      <c r="L640" s="1" t="s">
        <v>3040</v>
      </c>
      <c r="M640" s="1">
        <v>3</v>
      </c>
      <c r="N640" s="1" t="s">
        <v>24</v>
      </c>
      <c r="O640" s="1" t="str">
        <f ca="1">IFERROR(__xludf.DUMMYFUNCTION("GOOGLETRANSLATE(N640,""pl"",""en"")"),"full ownership")</f>
        <v>full ownership</v>
      </c>
      <c r="P640" s="3" t="s">
        <v>3041</v>
      </c>
      <c r="Q640" s="1" t="b">
        <v>1</v>
      </c>
      <c r="R640" s="1" t="s">
        <v>3042</v>
      </c>
    </row>
    <row r="641" spans="1:18" x14ac:dyDescent="0.25">
      <c r="A641" s="2">
        <v>45308</v>
      </c>
      <c r="B641" s="1" t="s">
        <v>3043</v>
      </c>
      <c r="C641" s="1" t="str">
        <f ca="1">IFERROR(__xludf.DUMMYFUNCTION("GOOGLETRANSLATE(B641,""pl"",""en"")"),"Attractive location! / Ready for rent!")</f>
        <v>Attractive location! / Ready for rent!</v>
      </c>
      <c r="D641" s="1">
        <v>799000</v>
      </c>
      <c r="E641" s="1" t="s">
        <v>33</v>
      </c>
      <c r="F641" s="1">
        <v>65</v>
      </c>
      <c r="G641" s="1" t="s">
        <v>3044</v>
      </c>
      <c r="H641" s="1" t="str">
        <f ca="1">IFERROR(__xludf.DUMMYFUNCTION("GOOGLETRANSLATE(G641,""pl"",""en"")"),"Hubs, Krzyki, Wrocław, DolnoSilesian Voivodeship")</f>
        <v>Hubs, Krzyki, Wrocław, DolnoSilesian Voivodeship</v>
      </c>
      <c r="I641" s="1" t="s">
        <v>21</v>
      </c>
      <c r="J641" s="1" t="s">
        <v>21</v>
      </c>
      <c r="K641" s="1" t="s">
        <v>22</v>
      </c>
      <c r="L641" s="1" t="s">
        <v>3045</v>
      </c>
      <c r="M641" s="1">
        <v>3</v>
      </c>
      <c r="N641" s="1" t="s">
        <v>24</v>
      </c>
      <c r="O641" s="1" t="str">
        <f ca="1">IFERROR(__xludf.DUMMYFUNCTION("GOOGLETRANSLATE(N641,""pl"",""en"")"),"full ownership")</f>
        <v>full ownership</v>
      </c>
      <c r="P641" s="3" t="s">
        <v>3046</v>
      </c>
      <c r="Q641" s="1" t="b">
        <v>1</v>
      </c>
      <c r="R641" s="1" t="s">
        <v>3047</v>
      </c>
    </row>
    <row r="642" spans="1:18" x14ac:dyDescent="0.25">
      <c r="A642" s="2">
        <v>45308</v>
      </c>
      <c r="B642" s="1" t="s">
        <v>3048</v>
      </c>
      <c r="C642" s="1" t="str">
        <f ca="1">IFERROR(__xludf.DUMMYFUNCTION("GOOGLETRANSLATE(B642,""pl"",""en"")"),"A studio apartment in new construction!")</f>
        <v>A studio apartment in new construction!</v>
      </c>
      <c r="D642" s="1">
        <v>305000</v>
      </c>
      <c r="E642" s="1" t="s">
        <v>33</v>
      </c>
      <c r="F642" s="1">
        <v>29.7</v>
      </c>
      <c r="G642" s="1" t="s">
        <v>3049</v>
      </c>
      <c r="H642" s="1" t="str">
        <f ca="1">IFERROR(__xludf.DUMMYFUNCTION("GOOGLETRANSLATE(G642,""pl"",""en"")"),"street. Jana Kotłowski, Wejherowo, Wejherowski, Pomeranian")</f>
        <v>street. Jana Kotłowski, Wejherowo, Wejherowski, Pomeranian</v>
      </c>
      <c r="I642" s="1" t="s">
        <v>21</v>
      </c>
      <c r="J642" s="1" t="s">
        <v>21</v>
      </c>
      <c r="K642" s="1" t="s">
        <v>22</v>
      </c>
      <c r="L642" s="1" t="s">
        <v>3050</v>
      </c>
      <c r="M642" s="1">
        <v>2</v>
      </c>
      <c r="N642" s="1" t="s">
        <v>24</v>
      </c>
      <c r="O642" s="1" t="str">
        <f ca="1">IFERROR(__xludf.DUMMYFUNCTION("GOOGLETRANSLATE(N642,""pl"",""en"")"),"full ownership")</f>
        <v>full ownership</v>
      </c>
      <c r="P642" s="3" t="s">
        <v>3051</v>
      </c>
      <c r="Q642" s="1" t="b">
        <v>1</v>
      </c>
      <c r="R642" s="1" t="s">
        <v>3052</v>
      </c>
    </row>
    <row r="643" spans="1:18" x14ac:dyDescent="0.25">
      <c r="A643" s="2">
        <v>45173</v>
      </c>
      <c r="B643" s="1" t="s">
        <v>3053</v>
      </c>
      <c r="C643" s="1" t="str">
        <f ca="1">IFERROR(__xludf.DUMMYFUNCTION("GOOGLETRANSLATE(B643,""pl"",""en"")"),"Modern and convenient with the plot 773m2 Nieporęt")</f>
        <v>Modern and convenient with the plot 773m2 Nieporęt</v>
      </c>
      <c r="D643" s="1">
        <v>1690000</v>
      </c>
      <c r="E643" s="1" t="s">
        <v>33</v>
      </c>
      <c r="F643" s="1">
        <v>271</v>
      </c>
      <c r="G643" s="1" t="s">
        <v>3054</v>
      </c>
      <c r="H643" s="1" t="str">
        <f ca="1">IFERROR(__xludf.DUMMYFUNCTION("GOOGLETRANSLATE(G643,""pl"",""en"")"),"street. Winnings, Nieporęt, Nieporęt, Legionowski, Masovian Voivodeship")</f>
        <v>street. Winnings, Nieporęt, Nieporęt, Legionowski, Masovian Voivodeship</v>
      </c>
      <c r="I643" s="1" t="b">
        <v>1</v>
      </c>
      <c r="J643" s="1" t="s">
        <v>21</v>
      </c>
      <c r="K643" s="1" t="s">
        <v>22</v>
      </c>
      <c r="L643" s="1" t="s">
        <v>3055</v>
      </c>
      <c r="M643" s="1">
        <v>6</v>
      </c>
      <c r="N643" s="1" t="s">
        <v>21</v>
      </c>
      <c r="O643" s="1" t="str">
        <f ca="1">IFERROR(__xludf.DUMMYFUNCTION("GOOGLETRANSLATE(N643,""pl"",""en"")"),"null")</f>
        <v>null</v>
      </c>
      <c r="P643" s="3" t="s">
        <v>3056</v>
      </c>
      <c r="Q643" s="1" t="b">
        <v>1</v>
      </c>
      <c r="R643" s="1" t="s">
        <v>3057</v>
      </c>
    </row>
    <row r="644" spans="1:18" x14ac:dyDescent="0.25">
      <c r="A644" s="2">
        <v>45173</v>
      </c>
      <c r="B644" s="1" t="s">
        <v>3058</v>
      </c>
      <c r="C644" s="1" t="str">
        <f ca="1">IFERROR(__xludf.DUMMYFUNCTION("GOOGLETRANSLATE(B644,""pl"",""en"")"),"Two rooms/1 floor/great price")</f>
        <v>Two rooms/1 floor/great price</v>
      </c>
      <c r="D644" s="1">
        <v>420235</v>
      </c>
      <c r="E644" s="1" t="s">
        <v>19</v>
      </c>
      <c r="F644" s="1">
        <v>42.14</v>
      </c>
      <c r="G644" s="1" t="s">
        <v>3059</v>
      </c>
      <c r="H644" s="1" t="str">
        <f ca="1">IFERROR(__xludf.DUMMYFUNCTION("GOOGLETRANSLATE(G644,""pl"",""en"")"),"Górzykowo, Bydgoszcz, Kujawsko-Pomeranian Voivodeship")</f>
        <v>Górzykowo, Bydgoszcz, Kujawsko-Pomeranian Voivodeship</v>
      </c>
      <c r="I644" s="1" t="s">
        <v>21</v>
      </c>
      <c r="J644" s="1" t="s">
        <v>21</v>
      </c>
      <c r="K644" s="1" t="s">
        <v>22</v>
      </c>
      <c r="L644" s="1" t="s">
        <v>3060</v>
      </c>
      <c r="M644" s="1">
        <v>2</v>
      </c>
      <c r="N644" s="1" t="s">
        <v>24</v>
      </c>
      <c r="O644" s="1" t="str">
        <f ca="1">IFERROR(__xludf.DUMMYFUNCTION("GOOGLETRANSLATE(N644,""pl"",""en"")"),"full ownership")</f>
        <v>full ownership</v>
      </c>
      <c r="P644" s="3" t="s">
        <v>3061</v>
      </c>
      <c r="Q644" s="1" t="b">
        <v>1</v>
      </c>
      <c r="R644" s="1" t="s">
        <v>3062</v>
      </c>
    </row>
    <row r="645" spans="1:18" x14ac:dyDescent="0.25">
      <c r="A645" s="2">
        <v>45173</v>
      </c>
      <c r="B645" s="1" t="s">
        <v>3063</v>
      </c>
      <c r="C645" s="1" t="str">
        <f ca="1">IFERROR(__xludf.DUMMYFUNCTION("GOOGLETRANSLATE(B645,""pl"",""en"")"),"New apartment 150m from the sea | Ustronie Morskie")</f>
        <v>New apartment 150m from the sea | Ustronie Morskie</v>
      </c>
      <c r="D645" s="1">
        <v>455266</v>
      </c>
      <c r="E645" s="1" t="s">
        <v>19</v>
      </c>
      <c r="F645" s="1">
        <v>43.4</v>
      </c>
      <c r="G645" s="1" t="s">
        <v>3064</v>
      </c>
      <c r="H645" s="1" t="str">
        <f ca="1">IFERROR(__xludf.DUMMYFUNCTION("GOOGLETRANSLATE(G645,""pl"",""en"")"),"street. Towards the sea, Ustronie Morskie, Ustronie Morskie, Kołobrzeski, West Pomeranian Voivodeship")</f>
        <v>street. Towards the sea, Ustronie Morskie, Ustronie Morskie, Kołobrzeski, West Pomeranian Voivodeship</v>
      </c>
      <c r="I645" s="1" t="s">
        <v>21</v>
      </c>
      <c r="J645" s="1" t="s">
        <v>21</v>
      </c>
      <c r="K645" s="1" t="s">
        <v>194</v>
      </c>
      <c r="L645" s="1" t="s">
        <v>3065</v>
      </c>
      <c r="M645" s="1">
        <v>2</v>
      </c>
      <c r="N645" s="1" t="s">
        <v>24</v>
      </c>
      <c r="O645" s="1" t="str">
        <f ca="1">IFERROR(__xludf.DUMMYFUNCTION("GOOGLETRANSLATE(N645,""pl"",""en"")"),"full ownership")</f>
        <v>full ownership</v>
      </c>
      <c r="P645" s="3" t="s">
        <v>3066</v>
      </c>
      <c r="Q645" s="1" t="b">
        <v>1</v>
      </c>
      <c r="R645" s="1" t="s">
        <v>3067</v>
      </c>
    </row>
    <row r="646" spans="1:18" x14ac:dyDescent="0.25">
      <c r="A646" s="2">
        <v>45173</v>
      </c>
      <c r="B646" s="1" t="s">
        <v>3068</v>
      </c>
      <c r="C646" s="1" t="str">
        <f ca="1">IFERROR(__xludf.DUMMYFUNCTION("GOOGLETRANSLATE(B646,""pl"",""en"")"),"A large apartment at an attractive price")</f>
        <v>A large apartment at an attractive price</v>
      </c>
      <c r="D646" s="1">
        <v>259000</v>
      </c>
      <c r="E646" s="1" t="s">
        <v>33</v>
      </c>
      <c r="F646" s="1">
        <v>80</v>
      </c>
      <c r="G646" s="1" t="s">
        <v>4786</v>
      </c>
      <c r="H646" s="1" t="str">
        <f ca="1">IFERROR(__xludf.DUMMYFUNCTION("GOOGLETRANSLATE(G646,""pl"",""en"")"),"street. Victims of Katyn, Brzeg, Brzeski, Opole Voivodeship")</f>
        <v>street. Victims of Katyn, Brzeg, Brzeski, Opole Voivodeship</v>
      </c>
      <c r="I646" s="1" t="s">
        <v>21</v>
      </c>
      <c r="J646" s="1" t="s">
        <v>21</v>
      </c>
      <c r="K646" s="1" t="s">
        <v>22</v>
      </c>
      <c r="L646" s="1" t="s">
        <v>3069</v>
      </c>
      <c r="M646" s="1">
        <v>2</v>
      </c>
      <c r="N646" s="1" t="s">
        <v>24</v>
      </c>
      <c r="O646" s="1" t="str">
        <f ca="1">IFERROR(__xludf.DUMMYFUNCTION("GOOGLETRANSLATE(N646,""pl"",""en"")"),"full ownership")</f>
        <v>full ownership</v>
      </c>
      <c r="P646" s="3" t="s">
        <v>3070</v>
      </c>
      <c r="Q646" s="1" t="b">
        <v>1</v>
      </c>
      <c r="R646" s="1" t="s">
        <v>3071</v>
      </c>
    </row>
    <row r="647" spans="1:18" x14ac:dyDescent="0.25">
      <c r="A647" s="2">
        <v>45173</v>
      </c>
      <c r="B647" s="1" t="s">
        <v>3072</v>
      </c>
      <c r="C647" s="1" t="str">
        <f ca="1">IFERROR(__xludf.DUMMYFUNCTION("GOOGLETRANSLATE(B647,""pl"",""en"")"),"4-room apartment-the Valley of the Three Ponds")</f>
        <v>4-room apartment-the Valley of the Three Ponds</v>
      </c>
      <c r="D647" s="1">
        <v>597891</v>
      </c>
      <c r="E647" s="1" t="s">
        <v>19</v>
      </c>
      <c r="F647" s="1">
        <v>56.14</v>
      </c>
      <c r="G647" s="1" t="s">
        <v>3073</v>
      </c>
      <c r="H647" s="1" t="str">
        <f ca="1">IFERROR(__xludf.DUMMYFUNCTION("GOOGLETRANSLATE(G647,""pl"",""en"")"),"street. General Kazimierz Pułaski, Paderewskiego-Mąwowiec, Katowice, Silesian Voivodeship estate")</f>
        <v>street. General Kazimierz Pułaski, Paderewskiego-Mąwowiec, Katowice, Silesian Voivodeship estate</v>
      </c>
      <c r="I647" s="1" t="b">
        <v>1</v>
      </c>
      <c r="J647" s="1" t="s">
        <v>21</v>
      </c>
      <c r="K647" s="1" t="s">
        <v>22</v>
      </c>
      <c r="L647" s="1" t="s">
        <v>3074</v>
      </c>
      <c r="M647" s="1">
        <v>4</v>
      </c>
      <c r="N647" s="1" t="s">
        <v>24</v>
      </c>
      <c r="O647" s="1" t="str">
        <f ca="1">IFERROR(__xludf.DUMMYFUNCTION("GOOGLETRANSLATE(N647,""pl"",""en"")"),"full ownership")</f>
        <v>full ownership</v>
      </c>
      <c r="P647" s="3" t="s">
        <v>3075</v>
      </c>
      <c r="Q647" s="1" t="b">
        <v>1</v>
      </c>
      <c r="R647" s="1" t="s">
        <v>3076</v>
      </c>
    </row>
    <row r="648" spans="1:18" x14ac:dyDescent="0.25">
      <c r="A648" s="2">
        <v>45173</v>
      </c>
      <c r="B648" s="1" t="s">
        <v>3077</v>
      </c>
      <c r="C648" s="1" t="str">
        <f ca="1">IFERROR(__xludf.DUMMYFUNCTION("GOOGLETRANSLATE(B648,""pl"",""en"")"),"Apartment, 49.73 m², Bielsko-Biała")</f>
        <v>Apartment, 49.73 m², Bielsko-Biała</v>
      </c>
      <c r="D648" s="1">
        <v>398000</v>
      </c>
      <c r="E648" s="1" t="s">
        <v>19</v>
      </c>
      <c r="F648" s="1">
        <v>49.73</v>
      </c>
      <c r="G648" s="1" t="s">
        <v>3078</v>
      </c>
      <c r="H648" s="1" t="str">
        <f ca="1">IFERROR(__xludf.DUMMYFUNCTION("GOOGLETRANSLATE(G648,""pl"",""en"")"),"Aleksandrowice, Bielsko-Biała, Silesian Voivodeship")</f>
        <v>Aleksandrowice, Bielsko-Biała, Silesian Voivodeship</v>
      </c>
      <c r="I648" s="1" t="s">
        <v>21</v>
      </c>
      <c r="J648" s="1" t="s">
        <v>21</v>
      </c>
      <c r="K648" s="1" t="s">
        <v>22</v>
      </c>
      <c r="L648" s="1" t="s">
        <v>3079</v>
      </c>
      <c r="M648" s="1">
        <v>2</v>
      </c>
      <c r="N648" s="1" t="s">
        <v>24</v>
      </c>
      <c r="O648" s="1" t="str">
        <f ca="1">IFERROR(__xludf.DUMMYFUNCTION("GOOGLETRANSLATE(N648,""pl"",""en"")"),"full ownership")</f>
        <v>full ownership</v>
      </c>
      <c r="P648" s="3" t="s">
        <v>3080</v>
      </c>
      <c r="Q648" s="1" t="b">
        <v>1</v>
      </c>
      <c r="R648" s="1" t="s">
        <v>3081</v>
      </c>
    </row>
    <row r="649" spans="1:18" x14ac:dyDescent="0.25">
      <c r="A649" s="2">
        <v>45308</v>
      </c>
      <c r="B649" s="1" t="s">
        <v>3082</v>
      </c>
      <c r="C649" s="1" t="str">
        <f ca="1">IFERROR(__xludf.DUMMYFUNCTION("GOOGLETRANSLATE(B649,""pl"",""en"")"),"New m2 rooms with a garden without PCC without commission")</f>
        <v>New m2 rooms with a garden without PCC without commission</v>
      </c>
      <c r="D649" s="1">
        <v>346939</v>
      </c>
      <c r="E649" s="1" t="s">
        <v>19</v>
      </c>
      <c r="F649" s="1">
        <v>36.78</v>
      </c>
      <c r="G649" s="1" t="s">
        <v>3083</v>
      </c>
      <c r="H649" s="1" t="str">
        <f ca="1">IFERROR(__xludf.DUMMYFUNCTION("GOOGLETRANSLATE(G649,""pl"",""en"")"),"street. Fryderyk Chopin, Sobótka, Sobótka, Wrocław, Lower Silesia")</f>
        <v>street. Fryderyk Chopin, Sobótka, Sobótka, Wrocław, Lower Silesia</v>
      </c>
      <c r="I649" s="1" t="b">
        <v>1</v>
      </c>
      <c r="J649" s="1" t="s">
        <v>21</v>
      </c>
      <c r="K649" s="1" t="s">
        <v>22</v>
      </c>
      <c r="L649" s="1" t="s">
        <v>3084</v>
      </c>
      <c r="M649" s="1">
        <v>2</v>
      </c>
      <c r="N649" s="1" t="s">
        <v>24</v>
      </c>
      <c r="O649" s="1" t="str">
        <f ca="1">IFERROR(__xludf.DUMMYFUNCTION("GOOGLETRANSLATE(N649,""pl"",""en"")"),"full ownership")</f>
        <v>full ownership</v>
      </c>
      <c r="P649" s="3" t="s">
        <v>3085</v>
      </c>
      <c r="Q649" s="1" t="b">
        <v>1</v>
      </c>
      <c r="R649" s="1" t="s">
        <v>3086</v>
      </c>
    </row>
    <row r="650" spans="1:18" x14ac:dyDescent="0.25">
      <c r="A650" s="2">
        <v>45308</v>
      </c>
      <c r="B650" s="1" t="s">
        <v>3087</v>
      </c>
      <c r="C650" s="1" t="str">
        <f ca="1">IFERROR(__xludf.DUMMYFUNCTION("GOOGLETRANSLATE(B650,""pl"",""en"")"),"5pok terrace 65m2 loft Gdynia garage cell")</f>
        <v>5pok terrace 65m2 loft Gdynia garage cell</v>
      </c>
      <c r="D650" s="1">
        <v>1790000</v>
      </c>
      <c r="E650" s="1" t="s">
        <v>33</v>
      </c>
      <c r="F650" s="1">
        <v>97</v>
      </c>
      <c r="G650" s="1" t="s">
        <v>3088</v>
      </c>
      <c r="H650" s="1" t="str">
        <f ca="1">IFERROR(__xludf.DUMMYFUNCTION("GOOGLETRANSLATE(G650,""pl"",""en"")"),"street. Bronisław Dembiński, Leszczynki, Gdynia, Pomeranian Voivodeship")</f>
        <v>street. Bronisław Dembiński, Leszczynki, Gdynia, Pomeranian Voivodeship</v>
      </c>
      <c r="I650" s="1" t="s">
        <v>21</v>
      </c>
      <c r="J650" s="1" t="s">
        <v>21</v>
      </c>
      <c r="K650" s="1" t="s">
        <v>22</v>
      </c>
      <c r="L650" s="1" t="s">
        <v>3089</v>
      </c>
      <c r="M650" s="1">
        <v>5</v>
      </c>
      <c r="N650" s="1" t="s">
        <v>24</v>
      </c>
      <c r="O650" s="1" t="str">
        <f ca="1">IFERROR(__xludf.DUMMYFUNCTION("GOOGLETRANSLATE(N650,""pl"",""en"")"),"full ownership")</f>
        <v>full ownership</v>
      </c>
      <c r="P650" s="3" t="s">
        <v>3090</v>
      </c>
      <c r="Q650" s="1" t="b">
        <v>1</v>
      </c>
      <c r="R650" s="1" t="s">
        <v>3091</v>
      </c>
    </row>
    <row r="651" spans="1:18" x14ac:dyDescent="0.25">
      <c r="A651" s="2">
        <v>45308</v>
      </c>
      <c r="B651" s="1" t="s">
        <v>3092</v>
      </c>
      <c r="C651" s="1" t="str">
        <f ca="1">IFERROR(__xludf.DUMMYFUNCTION("GOOGLETRANSLATE(B651,""pl"",""en"")"),"| 2 % loan Gdynia 2 rooms")</f>
        <v>| 2 % loan Gdynia 2 rooms</v>
      </c>
      <c r="D651" s="1">
        <v>457172</v>
      </c>
      <c r="E651" s="1" t="s">
        <v>19</v>
      </c>
      <c r="F651" s="1">
        <v>40.369999999999997</v>
      </c>
      <c r="G651" s="1" t="s">
        <v>3093</v>
      </c>
      <c r="H651" s="1" t="str">
        <f ca="1">IFERROR(__xludf.DUMMYFUNCTION("GOOGLETRANSLATE(G651,""pl"",""en"")"),"street. Rdestowa, Dąbrowa, Gdynia, Pomeranian")</f>
        <v>street. Rdestowa, Dąbrowa, Gdynia, Pomeranian</v>
      </c>
      <c r="I651" s="1" t="s">
        <v>21</v>
      </c>
      <c r="J651" s="1" t="s">
        <v>21</v>
      </c>
      <c r="K651" s="1" t="s">
        <v>22</v>
      </c>
      <c r="L651" s="1" t="s">
        <v>3094</v>
      </c>
      <c r="M651" s="1">
        <v>2</v>
      </c>
      <c r="N651" s="1" t="s">
        <v>24</v>
      </c>
      <c r="O651" s="1" t="str">
        <f ca="1">IFERROR(__xludf.DUMMYFUNCTION("GOOGLETRANSLATE(N651,""pl"",""en"")"),"full ownership")</f>
        <v>full ownership</v>
      </c>
      <c r="P651" s="3" t="s">
        <v>3095</v>
      </c>
      <c r="Q651" s="1" t="b">
        <v>1</v>
      </c>
      <c r="R651" s="1" t="s">
        <v>3096</v>
      </c>
    </row>
    <row r="652" spans="1:18" x14ac:dyDescent="0.25">
      <c r="A652" s="2">
        <v>45308</v>
      </c>
      <c r="B652" s="1" t="s">
        <v>3097</v>
      </c>
      <c r="C652" s="1" t="str">
        <f ca="1">IFERROR(__xludf.DUMMYFUNCTION("GOOGLETRANSLATE(B652,""pl"",""en"")"),"Witomino Leśniczówka, apartment 60 m2, 1st floor")</f>
        <v>Witomino Leśniczówka, apartment 60 m2, 1st floor</v>
      </c>
      <c r="D652" s="1">
        <v>619000</v>
      </c>
      <c r="E652" s="1" t="s">
        <v>33</v>
      </c>
      <c r="F652" s="1">
        <v>60</v>
      </c>
      <c r="G652" s="1" t="s">
        <v>3098</v>
      </c>
      <c r="H652" s="1" t="str">
        <f ca="1">IFERROR(__xludf.DUMMYFUNCTION("GOOGLETRANSLATE(G652,""pl"",""en"")"),"street. 2nd Marine Regiment of Riflemen, Witomino-Leśniczówka, Gdynia, Pomeranian Voivodeship")</f>
        <v>street. 2nd Marine Regiment of Riflemen, Witomino-Leśniczówka, Gdynia, Pomeranian Voivodeship</v>
      </c>
      <c r="I652" s="1" t="s">
        <v>21</v>
      </c>
      <c r="J652" s="1" t="s">
        <v>21</v>
      </c>
      <c r="K652" s="1" t="s">
        <v>45</v>
      </c>
      <c r="L652" s="1" t="s">
        <v>3099</v>
      </c>
      <c r="M652" s="1">
        <v>4</v>
      </c>
      <c r="N652" s="1" t="s">
        <v>85</v>
      </c>
      <c r="O652" s="1" t="str">
        <f ca="1">IFERROR(__xludf.DUMMYFUNCTION("GOOGLETRANSLATE(N652,""pl"",""en"")"),"Cooperative ownership of the right to the premises")</f>
        <v>Cooperative ownership of the right to the premises</v>
      </c>
      <c r="P652" s="3" t="s">
        <v>3100</v>
      </c>
      <c r="Q652" s="1" t="b">
        <v>1</v>
      </c>
      <c r="R652" s="1" t="s">
        <v>3101</v>
      </c>
    </row>
    <row r="653" spans="1:18" x14ac:dyDescent="0.25">
      <c r="A653" s="2">
        <v>45308</v>
      </c>
      <c r="B653" s="1" t="s">
        <v>3102</v>
      </c>
      <c r="C653" s="1" t="str">
        <f ca="1">IFERROR(__xludf.DUMMYFUNCTION("GOOGLETRANSLATE(B653,""pl"",""en"")"),"Ground floor after renovation 40.53m2 city network, basement")</f>
        <v>Ground floor after renovation 40.53m2 city network, basement</v>
      </c>
      <c r="D653" s="1">
        <v>239000</v>
      </c>
      <c r="E653" s="1" t="s">
        <v>33</v>
      </c>
      <c r="F653" s="1">
        <v>40.53</v>
      </c>
      <c r="G653" s="1" t="s">
        <v>2692</v>
      </c>
      <c r="H653" s="1" t="str">
        <f ca="1">IFERROR(__xludf.DUMMYFUNCTION("GOOGLETRANSLATE(G653,""pl"",""en"")"),"Słupsk, Pomeranian")</f>
        <v>Słupsk, Pomeranian</v>
      </c>
      <c r="I653" s="1" t="s">
        <v>21</v>
      </c>
      <c r="J653" s="1" t="s">
        <v>21</v>
      </c>
      <c r="K653" s="1" t="s">
        <v>22</v>
      </c>
      <c r="L653" s="1" t="s">
        <v>3103</v>
      </c>
      <c r="M653" s="1">
        <v>2</v>
      </c>
      <c r="N653" s="1" t="s">
        <v>24</v>
      </c>
      <c r="O653" s="1" t="str">
        <f ca="1">IFERROR(__xludf.DUMMYFUNCTION("GOOGLETRANSLATE(N653,""pl"",""en"")"),"full ownership")</f>
        <v>full ownership</v>
      </c>
      <c r="P653" s="3" t="s">
        <v>3104</v>
      </c>
      <c r="Q653" s="1" t="b">
        <v>1</v>
      </c>
      <c r="R653" s="1" t="s">
        <v>3105</v>
      </c>
    </row>
    <row r="654" spans="1:18" x14ac:dyDescent="0.25">
      <c r="A654" s="2">
        <v>45308</v>
      </c>
      <c r="B654" s="1" t="s">
        <v>3106</v>
      </c>
      <c r="C654" s="1" t="str">
        <f ca="1">IFERROR(__xludf.DUMMYFUNCTION("GOOGLETRANSLATE(B654,""pl"",""en"")"),"M-4 | Bielawy/Musical | 1st floor 65m2 | Parking")</f>
        <v>M-4 | Bielawy/Musical | 1st floor 65m2 | Parking</v>
      </c>
      <c r="D654" s="1">
        <v>425000</v>
      </c>
      <c r="E654" s="1" t="s">
        <v>33</v>
      </c>
      <c r="F654" s="1">
        <v>65</v>
      </c>
      <c r="G654" s="1" t="s">
        <v>3107</v>
      </c>
      <c r="H654" s="1" t="str">
        <f ca="1">IFERROR(__xludf.DUMMYFUNCTION("GOOGLETRANSLATE(G654,""pl"",""en"")"),"Bartodzieje, Bydgoszcz, Kujawsko-Pomeranian Voivodeship")</f>
        <v>Bartodzieje, Bydgoszcz, Kujawsko-Pomeranian Voivodeship</v>
      </c>
      <c r="I654" s="1" t="s">
        <v>21</v>
      </c>
      <c r="J654" s="1" t="s">
        <v>21</v>
      </c>
      <c r="K654" s="1" t="s">
        <v>22</v>
      </c>
      <c r="L654" s="1" t="s">
        <v>3108</v>
      </c>
      <c r="M654" s="1">
        <v>3</v>
      </c>
      <c r="N654" s="1" t="s">
        <v>24</v>
      </c>
      <c r="O654" s="1" t="str">
        <f ca="1">IFERROR(__xludf.DUMMYFUNCTION("GOOGLETRANSLATE(N654,""pl"",""en"")"),"full ownership")</f>
        <v>full ownership</v>
      </c>
      <c r="P654" s="3" t="s">
        <v>3109</v>
      </c>
      <c r="Q654" s="1" t="b">
        <v>1</v>
      </c>
      <c r="R654" s="1" t="s">
        <v>3110</v>
      </c>
    </row>
    <row r="655" spans="1:18" x14ac:dyDescent="0.25">
      <c r="A655" s="2">
        <v>45308</v>
      </c>
      <c r="B655" s="1" t="s">
        <v>3111</v>
      </c>
      <c r="C655" s="1" t="str">
        <f ca="1">IFERROR(__xludf.DUMMYFUNCTION("GOOGLETRANSLATE(B655,""pl"",""en"")"),"Test advertisement 7/09/2022.5")</f>
        <v>Test advertisement 7/09/2022.5</v>
      </c>
      <c r="D655" s="1">
        <v>750000</v>
      </c>
      <c r="E655" s="1" t="s">
        <v>33</v>
      </c>
      <c r="F655" s="1">
        <v>110</v>
      </c>
      <c r="G655" s="1" t="s">
        <v>3112</v>
      </c>
      <c r="H655" s="1" t="str">
        <f ca="1">IFERROR(__xludf.DUMMYFUNCTION("GOOGLETRANSLATE(G655,""pl"",""en"")"),"pl. 3 Maja, Łyse, Łyse, Ostrołęka, Masovian Voivodeship")</f>
        <v>pl. 3 Maja, Łyse, Łyse, Ostrołęka, Masovian Voivodeship</v>
      </c>
      <c r="I655" s="1" t="s">
        <v>21</v>
      </c>
      <c r="J655" s="1" t="s">
        <v>21</v>
      </c>
      <c r="K655" s="1" t="s">
        <v>194</v>
      </c>
      <c r="L655" s="1" t="s">
        <v>3113</v>
      </c>
      <c r="M655" s="1">
        <v>3</v>
      </c>
      <c r="N655" s="1" t="s">
        <v>85</v>
      </c>
      <c r="O655" s="1" t="str">
        <f ca="1">IFERROR(__xludf.DUMMYFUNCTION("GOOGLETRANSLATE(N655,""pl"",""en"")"),"Cooperative ownership of the right to the premises")</f>
        <v>Cooperative ownership of the right to the premises</v>
      </c>
      <c r="P655" s="3" t="s">
        <v>3114</v>
      </c>
      <c r="Q655" s="1" t="b">
        <v>1</v>
      </c>
      <c r="R655" s="1" t="s">
        <v>3115</v>
      </c>
    </row>
    <row r="656" spans="1:18" x14ac:dyDescent="0.25">
      <c r="A656" s="2">
        <v>45308</v>
      </c>
      <c r="B656" s="1" t="s">
        <v>3116</v>
      </c>
      <c r="C656" s="1" t="str">
        <f ca="1">IFERROR(__xludf.DUMMYFUNCTION("GOOGLETRANSLATE(B656,""pl"",""en"")"),"I will sell a studio in Wrocław without intermediaries")</f>
        <v>I will sell a studio in Wrocław without intermediaries</v>
      </c>
      <c r="D656" s="1">
        <v>488000</v>
      </c>
      <c r="E656" s="1" t="s">
        <v>33</v>
      </c>
      <c r="F656" s="1">
        <v>24</v>
      </c>
      <c r="G656" s="1" t="s">
        <v>3117</v>
      </c>
      <c r="H656" s="1" t="str">
        <f ca="1">IFERROR(__xludf.DUMMYFUNCTION("GOOGLETRANSLATE(G656,""pl"",""en"")"),"street. Bolesława Drobner 10, Nadodrze, Śródmieście, Wrocław, DolnoSilesian Voivodeship")</f>
        <v>street. Bolesława Drobner 10, Nadodrze, Śródmieście, Wrocław, DolnoSilesian Voivodeship</v>
      </c>
      <c r="I656" s="1" t="s">
        <v>21</v>
      </c>
      <c r="J656" s="1" t="s">
        <v>21</v>
      </c>
      <c r="K656" s="1" t="s">
        <v>45</v>
      </c>
      <c r="L656" s="1" t="s">
        <v>3118</v>
      </c>
      <c r="M656" s="1">
        <v>1</v>
      </c>
      <c r="N656" s="1" t="s">
        <v>24</v>
      </c>
      <c r="O656" s="1" t="str">
        <f ca="1">IFERROR(__xludf.DUMMYFUNCTION("GOOGLETRANSLATE(N656,""pl"",""en"")"),"full ownership")</f>
        <v>full ownership</v>
      </c>
      <c r="P656" s="3" t="s">
        <v>3119</v>
      </c>
      <c r="Q656" s="1" t="b">
        <v>1</v>
      </c>
      <c r="R656" s="1" t="s">
        <v>3120</v>
      </c>
    </row>
    <row r="657" spans="1:18" x14ac:dyDescent="0.25">
      <c r="A657" s="2">
        <v>45173</v>
      </c>
      <c r="B657" s="1" t="s">
        <v>3121</v>
      </c>
      <c r="C657" s="1" t="str">
        <f ca="1">IFERROR(__xludf.DUMMYFUNCTION("GOOGLETRANSLATE(B657,""pl"",""en"")"),"Apartment, 47.70 m², Duszniki-Zdrój")</f>
        <v>Apartment, 47.70 m², Duszniki-Zdrój</v>
      </c>
      <c r="D657" s="1">
        <v>229000</v>
      </c>
      <c r="E657" s="1" t="s">
        <v>33</v>
      </c>
      <c r="F657" s="1">
        <v>47.7</v>
      </c>
      <c r="G657" s="1" t="s">
        <v>3122</v>
      </c>
      <c r="H657" s="1" t="str">
        <f ca="1">IFERROR(__xludf.DUMMYFUNCTION("GOOGLETRANSLATE(G657,""pl"",""en"")"),"Duszniki-Zdrój, Kłodzki, DolnoSilesian Voivodeship")</f>
        <v>Duszniki-Zdrój, Kłodzki, DolnoSilesian Voivodeship</v>
      </c>
      <c r="I657" s="1" t="s">
        <v>21</v>
      </c>
      <c r="J657" s="1" t="s">
        <v>21</v>
      </c>
      <c r="K657" s="1" t="s">
        <v>22</v>
      </c>
      <c r="L657" s="1" t="s">
        <v>3123</v>
      </c>
      <c r="M657" s="1">
        <v>2</v>
      </c>
      <c r="N657" s="1" t="s">
        <v>24</v>
      </c>
      <c r="O657" s="1" t="str">
        <f ca="1">IFERROR(__xludf.DUMMYFUNCTION("GOOGLETRANSLATE(N657,""pl"",""en"")"),"full ownership")</f>
        <v>full ownership</v>
      </c>
      <c r="P657" s="3" t="s">
        <v>3124</v>
      </c>
      <c r="Q657" s="1" t="b">
        <v>1</v>
      </c>
      <c r="R657" s="1" t="s">
        <v>3125</v>
      </c>
    </row>
    <row r="658" spans="1:18" x14ac:dyDescent="0.25">
      <c r="A658" s="2">
        <v>45173</v>
      </c>
      <c r="B658" s="1" t="s">
        <v>3126</v>
      </c>
      <c r="C658" s="1" t="str">
        <f ca="1">IFERROR(__xludf.DUMMYFUNCTION("GOOGLETRANSLATE(B658,""pl"",""en"")"),"Siemczyn, four rooms with a balcony, please!")</f>
        <v>Siemczyn, four rooms with a balcony, please!</v>
      </c>
      <c r="D658" s="1">
        <v>175000</v>
      </c>
      <c r="E658" s="1" t="s">
        <v>33</v>
      </c>
      <c r="F658" s="1">
        <v>77.180000000000007</v>
      </c>
      <c r="G658" s="1" t="s">
        <v>3127</v>
      </c>
      <c r="H658" s="1" t="str">
        <f ca="1">IFERROR(__xludf.DUMMYFUNCTION("GOOGLETRANSLATE(G658,""pl"",""en"")"),"Siemczyn, Kozielice, Pyrzycki, West Pomeranian Voivodeship")</f>
        <v>Siemczyn, Kozielice, Pyrzycki, West Pomeranian Voivodeship</v>
      </c>
      <c r="I658" s="1" t="b">
        <v>1</v>
      </c>
      <c r="J658" s="1" t="s">
        <v>21</v>
      </c>
      <c r="K658" s="1" t="s">
        <v>22</v>
      </c>
      <c r="L658" s="1" t="s">
        <v>3128</v>
      </c>
      <c r="M658" s="1">
        <v>4</v>
      </c>
      <c r="N658" s="1" t="s">
        <v>24</v>
      </c>
      <c r="O658" s="1" t="str">
        <f ca="1">IFERROR(__xludf.DUMMYFUNCTION("GOOGLETRANSLATE(N658,""pl"",""en"")"),"full ownership")</f>
        <v>full ownership</v>
      </c>
      <c r="P658" s="3" t="s">
        <v>3129</v>
      </c>
      <c r="Q658" s="1" t="b">
        <v>1</v>
      </c>
      <c r="R658" s="1" t="s">
        <v>3130</v>
      </c>
    </row>
    <row r="659" spans="1:18" x14ac:dyDescent="0.25">
      <c r="A659" s="2">
        <v>45173</v>
      </c>
      <c r="B659" s="1" t="s">
        <v>3131</v>
      </c>
      <c r="C659" s="1" t="str">
        <f ca="1">IFERROR(__xludf.DUMMYFUNCTION("GOOGLETRANSLATE(B659,""pl"",""en"")"),"Home - ready to pick up! 0% PCC and commissions!")</f>
        <v>Home - ready to pick up! 0% PCC and commissions!</v>
      </c>
      <c r="D659" s="1">
        <v>870000</v>
      </c>
      <c r="E659" s="1" t="s">
        <v>19</v>
      </c>
      <c r="F659" s="1">
        <v>154</v>
      </c>
      <c r="G659" s="1" t="s">
        <v>3132</v>
      </c>
      <c r="H659" s="1" t="str">
        <f ca="1">IFERROR(__xludf.DUMMYFUNCTION("GOOGLETRANSLATE(G659,""pl"",""en"")"),"street. Mąkołowska, Tychy, Silesian Voivodeship")</f>
        <v>street. Mąkołowska, Tychy, Silesian Voivodeship</v>
      </c>
      <c r="I659" s="1" t="b">
        <v>1</v>
      </c>
      <c r="J659" s="1" t="s">
        <v>21</v>
      </c>
      <c r="K659" s="1" t="s">
        <v>22</v>
      </c>
      <c r="L659" s="1" t="s">
        <v>3133</v>
      </c>
      <c r="M659" s="1">
        <v>5</v>
      </c>
      <c r="N659" s="1" t="s">
        <v>21</v>
      </c>
      <c r="O659" s="1" t="str">
        <f ca="1">IFERROR(__xludf.DUMMYFUNCTION("GOOGLETRANSLATE(N659,""pl"",""en"")"),"null")</f>
        <v>null</v>
      </c>
      <c r="P659" s="3" t="s">
        <v>3134</v>
      </c>
      <c r="Q659" s="1" t="b">
        <v>1</v>
      </c>
      <c r="R659" s="1" t="s">
        <v>3135</v>
      </c>
    </row>
    <row r="660" spans="1:18" x14ac:dyDescent="0.25">
      <c r="A660" s="2">
        <v>45173</v>
      </c>
      <c r="B660" s="1" t="s">
        <v>3136</v>
      </c>
      <c r="C660" s="1" t="str">
        <f ca="1">IFERROR(__xludf.DUMMYFUNCTION("GOOGLETRANSLATE(B660,""pl"",""en"")"),"Apartment, 47.78 m², Lublin")</f>
        <v>Apartment, 47.78 m², Lublin</v>
      </c>
      <c r="D660" s="1">
        <v>415686</v>
      </c>
      <c r="E660" s="1" t="s">
        <v>19</v>
      </c>
      <c r="F660" s="1">
        <v>47.78</v>
      </c>
      <c r="G660" s="1" t="s">
        <v>3137</v>
      </c>
      <c r="H660" s="1" t="str">
        <f ca="1">IFERROR(__xludf.DUMMYFUNCTION("GOOGLETRANSLATE(G660,""pl"",""en"")"),"Czechów Kąt, Rejowiec, Chełmski, Lublin Voivodeship")</f>
        <v>Czechów Kąt, Rejowiec, Chełmski, Lublin Voivodeship</v>
      </c>
      <c r="I660" s="1" t="s">
        <v>21</v>
      </c>
      <c r="J660" s="1" t="s">
        <v>21</v>
      </c>
      <c r="K660" s="1" t="s">
        <v>22</v>
      </c>
      <c r="L660" s="1" t="s">
        <v>3138</v>
      </c>
      <c r="M660" s="1">
        <v>2</v>
      </c>
      <c r="N660" s="1" t="s">
        <v>24</v>
      </c>
      <c r="O660" s="1" t="str">
        <f ca="1">IFERROR(__xludf.DUMMYFUNCTION("GOOGLETRANSLATE(N660,""pl"",""en"")"),"full ownership")</f>
        <v>full ownership</v>
      </c>
      <c r="P660" s="3" t="s">
        <v>3139</v>
      </c>
      <c r="Q660" s="1" t="b">
        <v>1</v>
      </c>
      <c r="R660" s="1" t="s">
        <v>3140</v>
      </c>
    </row>
    <row r="661" spans="1:18" x14ac:dyDescent="0.25">
      <c r="A661" s="2">
        <v>45173</v>
      </c>
      <c r="B661" s="1" t="s">
        <v>3141</v>
      </c>
      <c r="C661" s="1" t="str">
        <f ca="1">IFERROR(__xludf.DUMMYFUNCTION("GOOGLETRANSLATE(B661,""pl"",""en"")"),"House of Mielno")</f>
        <v>House of Mielno</v>
      </c>
      <c r="D661" s="1">
        <v>699000</v>
      </c>
      <c r="E661" s="1" t="s">
        <v>33</v>
      </c>
      <c r="F661" s="1">
        <v>130</v>
      </c>
      <c r="G661" s="1" t="s">
        <v>305</v>
      </c>
      <c r="H661" s="1" t="str">
        <f ca="1">IFERROR(__xludf.DUMMYFUNCTION("GOOGLETRANSLATE(G661,""pl"",""en"")"),"Mielno, Mielno, Koszaliński, West Pomeranian Voivodeship")</f>
        <v>Mielno, Mielno, Koszaliński, West Pomeranian Voivodeship</v>
      </c>
      <c r="I661" s="1" t="b">
        <v>1</v>
      </c>
      <c r="J661" s="1" t="s">
        <v>21</v>
      </c>
      <c r="K661" s="1" t="s">
        <v>22</v>
      </c>
      <c r="L661" s="1" t="s">
        <v>3142</v>
      </c>
      <c r="M661" s="1">
        <v>4</v>
      </c>
      <c r="N661" s="1" t="s">
        <v>21</v>
      </c>
      <c r="O661" s="1" t="str">
        <f ca="1">IFERROR(__xludf.DUMMYFUNCTION("GOOGLETRANSLATE(N661,""pl"",""en"")"),"null")</f>
        <v>null</v>
      </c>
      <c r="P661" s="3" t="s">
        <v>3143</v>
      </c>
      <c r="Q661" s="1" t="b">
        <v>1</v>
      </c>
      <c r="R661" s="1" t="s">
        <v>3144</v>
      </c>
    </row>
    <row r="662" spans="1:18" x14ac:dyDescent="0.25">
      <c r="A662" s="2">
        <v>45173</v>
      </c>
      <c r="B662" s="1" t="s">
        <v>3145</v>
      </c>
      <c r="C662" s="1" t="str">
        <f ca="1">IFERROR(__xludf.DUMMYFUNCTION("GOOGLETRANSLATE(B662,""pl"",""en"")"),"A single -family house in a quiet area")</f>
        <v>A single -family house in a quiet area</v>
      </c>
      <c r="D662" s="1">
        <v>1980000</v>
      </c>
      <c r="E662" s="1" t="s">
        <v>33</v>
      </c>
      <c r="F662" s="1">
        <v>277</v>
      </c>
      <c r="G662" s="1" t="s">
        <v>4787</v>
      </c>
      <c r="H662" s="1" t="str">
        <f ca="1">IFERROR(__xludf.DUMMYFUNCTION("GOOGLETRANSLATE(G662,""pl"",""en"")"),"Cianowice, Skała, Kraków, Lesser Poland")</f>
        <v>Cianowice, Skała, Kraków, Lesser Poland</v>
      </c>
      <c r="I662" s="1" t="b">
        <v>1</v>
      </c>
      <c r="J662" s="1" t="s">
        <v>21</v>
      </c>
      <c r="K662" s="1" t="s">
        <v>22</v>
      </c>
      <c r="L662" s="1" t="s">
        <v>3146</v>
      </c>
      <c r="M662" s="1">
        <v>6</v>
      </c>
      <c r="N662" s="1" t="s">
        <v>21</v>
      </c>
      <c r="O662" s="1" t="str">
        <f ca="1">IFERROR(__xludf.DUMMYFUNCTION("GOOGLETRANSLATE(N662,""pl"",""en"")"),"null")</f>
        <v>null</v>
      </c>
      <c r="P662" s="3" t="s">
        <v>3147</v>
      </c>
      <c r="Q662" s="1" t="b">
        <v>1</v>
      </c>
      <c r="R662" s="1" t="s">
        <v>3148</v>
      </c>
    </row>
    <row r="663" spans="1:18" x14ac:dyDescent="0.25">
      <c r="A663" s="2">
        <v>45173</v>
      </c>
      <c r="B663" s="1" t="s">
        <v>3149</v>
      </c>
      <c r="C663" s="1" t="str">
        <f ca="1">IFERROR(__xludf.DUMMYFUNCTION("GOOGLETRANSLATE(B663,""pl"",""en"")"),"House for arranging Jastrows Liszyk without commission")</f>
        <v>House for arranging Jastrows Liszyk without commission</v>
      </c>
      <c r="D663" s="1">
        <v>189000</v>
      </c>
      <c r="E663" s="1" t="s">
        <v>33</v>
      </c>
      <c r="F663" s="1">
        <v>176</v>
      </c>
      <c r="G663" s="1" t="s">
        <v>4788</v>
      </c>
      <c r="H663" s="1" t="str">
        <f ca="1">IFERROR(__xludf.DUMMYFUNCTION("GOOGLETRANSLATE(G663,""pl"",""en"")"),"street. Second Lieutenant Jana Liszyka 6, Jastrowie, Jastrowie, Złotowski, Greater Poland")</f>
        <v>street. Second Lieutenant Jana Liszyka 6, Jastrowie, Jastrowie, Złotowski, Greater Poland</v>
      </c>
      <c r="I663" s="1" t="b">
        <v>1</v>
      </c>
      <c r="J663" s="1" t="s">
        <v>21</v>
      </c>
      <c r="K663" s="1" t="s">
        <v>22</v>
      </c>
      <c r="L663" s="1" t="s">
        <v>3150</v>
      </c>
      <c r="M663" s="1">
        <v>4</v>
      </c>
      <c r="N663" s="1" t="s">
        <v>21</v>
      </c>
      <c r="O663" s="1" t="str">
        <f ca="1">IFERROR(__xludf.DUMMYFUNCTION("GOOGLETRANSLATE(N663,""pl"",""en"")"),"null")</f>
        <v>null</v>
      </c>
      <c r="P663" s="3" t="s">
        <v>3151</v>
      </c>
      <c r="Q663" s="1" t="b">
        <v>1</v>
      </c>
      <c r="R663" s="1" t="s">
        <v>3152</v>
      </c>
    </row>
    <row r="664" spans="1:18" x14ac:dyDescent="0.25">
      <c r="A664" s="2">
        <v>45308</v>
      </c>
      <c r="B664" s="1" t="s">
        <v>3153</v>
      </c>
      <c r="C664" s="1" t="str">
        <f ca="1">IFERROR(__xludf.DUMMYFUNCTION("GOOGLETRANSLATE(B664,""pl"",""en"")"),"flat")</f>
        <v>flat</v>
      </c>
      <c r="D664" s="1">
        <v>485000</v>
      </c>
      <c r="E664" s="1" t="s">
        <v>33</v>
      </c>
      <c r="F664" s="1">
        <v>61.2</v>
      </c>
      <c r="G664" s="1" t="s">
        <v>4789</v>
      </c>
      <c r="H664" s="1" t="str">
        <f ca="1">IFERROR(__xludf.DUMMYFUNCTION("GOOGLETRANSLATE(G664,""pl"",""en"")"),"street. Biedrzycki, Pobiedziska, Pobiedziska, Poznań, Greater Poland")</f>
        <v>street. Biedrzycki, Pobiedziska, Pobiedziska, Poznań, Greater Poland</v>
      </c>
      <c r="I664" s="1" t="s">
        <v>21</v>
      </c>
      <c r="J664" s="1" t="s">
        <v>21</v>
      </c>
      <c r="K664" s="1" t="s">
        <v>22</v>
      </c>
      <c r="L664" s="1" t="s">
        <v>3154</v>
      </c>
      <c r="M664" s="1">
        <v>3</v>
      </c>
      <c r="N664" s="1" t="s">
        <v>24</v>
      </c>
      <c r="O664" s="1" t="str">
        <f ca="1">IFERROR(__xludf.DUMMYFUNCTION("GOOGLETRANSLATE(N664,""pl"",""en"")"),"full ownership")</f>
        <v>full ownership</v>
      </c>
      <c r="P664" s="3" t="s">
        <v>3155</v>
      </c>
      <c r="Q664" s="1" t="b">
        <v>1</v>
      </c>
      <c r="R664" s="1" t="s">
        <v>3156</v>
      </c>
    </row>
    <row r="665" spans="1:18" x14ac:dyDescent="0.25">
      <c r="A665" s="2">
        <v>45308</v>
      </c>
      <c r="B665" s="1" t="s">
        <v>3157</v>
      </c>
      <c r="C665" s="1" t="str">
        <f ca="1">IFERROR(__xludf.DUMMYFUNCTION("GOOGLETRANSLATE(B665,""pl"",""en"")"),"New! 2 rooms housing estate wiczlino garden")</f>
        <v>New! 2 rooms housing estate wiczlino garden</v>
      </c>
      <c r="D665" s="1">
        <v>599000</v>
      </c>
      <c r="E665" s="1" t="s">
        <v>33</v>
      </c>
      <c r="F665" s="1">
        <v>50.7</v>
      </c>
      <c r="G665" s="1" t="s">
        <v>3158</v>
      </c>
      <c r="H665" s="1" t="str">
        <f ca="1">IFERROR(__xludf.DUMMYFUNCTION("GOOGLETRANSLATE(G665,""pl"",""en"")"),"street. Stanisław Filipkowski, Wiczlino, Gdynia, Pomeranian Voivodeship")</f>
        <v>street. Stanisław Filipkowski, Wiczlino, Gdynia, Pomeranian Voivodeship</v>
      </c>
      <c r="I665" s="1" t="s">
        <v>21</v>
      </c>
      <c r="J665" s="1" t="s">
        <v>21</v>
      </c>
      <c r="K665" s="1" t="s">
        <v>22</v>
      </c>
      <c r="L665" s="1" t="s">
        <v>3159</v>
      </c>
      <c r="M665" s="1">
        <v>2</v>
      </c>
      <c r="N665" s="1" t="s">
        <v>24</v>
      </c>
      <c r="O665" s="1" t="str">
        <f ca="1">IFERROR(__xludf.DUMMYFUNCTION("GOOGLETRANSLATE(N665,""pl"",""en"")"),"full ownership")</f>
        <v>full ownership</v>
      </c>
      <c r="P665" s="3" t="s">
        <v>3160</v>
      </c>
      <c r="Q665" s="1" t="b">
        <v>1</v>
      </c>
      <c r="R665" s="1" t="s">
        <v>3161</v>
      </c>
    </row>
    <row r="666" spans="1:18" x14ac:dyDescent="0.25">
      <c r="A666" s="2">
        <v>45308</v>
      </c>
      <c r="B666" s="1" t="s">
        <v>3162</v>
      </c>
      <c r="C666" s="1" t="str">
        <f ca="1">IFERROR(__xludf.DUMMYFUNCTION("GOOGLETRANSLATE(B666,""pl"",""en"")"),"On the sale of 2 room apartment in a block of flats - Złotoryja")</f>
        <v>On the sale of 2 room apartment in a block of flats - Złotoryja</v>
      </c>
      <c r="D666" s="1">
        <v>225000</v>
      </c>
      <c r="E666" s="1" t="s">
        <v>33</v>
      </c>
      <c r="F666" s="1">
        <v>37</v>
      </c>
      <c r="G666" s="1" t="s">
        <v>3163</v>
      </c>
      <c r="H666" s="1" t="str">
        <f ca="1">IFERROR(__xludf.DUMMYFUNCTION("GOOGLETRANSLATE(G666,""pl"",""en"")"),"street. Podwale, Złotoryja, Złotoryja, Lower Silesia")</f>
        <v>street. Podwale, Złotoryja, Złotoryja, Lower Silesia</v>
      </c>
      <c r="I666" s="1" t="s">
        <v>21</v>
      </c>
      <c r="J666" s="1" t="s">
        <v>21</v>
      </c>
      <c r="K666" s="1" t="s">
        <v>22</v>
      </c>
      <c r="L666" s="1" t="s">
        <v>3164</v>
      </c>
      <c r="M666" s="1">
        <v>2</v>
      </c>
      <c r="N666" s="1" t="s">
        <v>24</v>
      </c>
      <c r="O666" s="1" t="str">
        <f ca="1">IFERROR(__xludf.DUMMYFUNCTION("GOOGLETRANSLATE(N666,""pl"",""en"")"),"full ownership")</f>
        <v>full ownership</v>
      </c>
      <c r="P666" s="3" t="s">
        <v>3165</v>
      </c>
      <c r="Q666" s="1" t="b">
        <v>1</v>
      </c>
      <c r="R666" s="1" t="s">
        <v>3166</v>
      </c>
    </row>
    <row r="667" spans="1:18" x14ac:dyDescent="0.25">
      <c r="A667" s="2">
        <v>45308</v>
      </c>
      <c r="B667" s="1" t="s">
        <v>3167</v>
      </c>
      <c r="C667" s="1" t="str">
        <f ca="1">IFERROR(__xludf.DUMMYFUNCTION("GOOGLETRANSLATE(B667,""pl"",""en"")"),"To introduce, beautiful 3 room 2 balconies, attic")</f>
        <v>To introduce, beautiful 3 room 2 balconies, attic</v>
      </c>
      <c r="D667" s="1">
        <v>850000</v>
      </c>
      <c r="E667" s="1" t="s">
        <v>33</v>
      </c>
      <c r="F667" s="1">
        <v>93.5</v>
      </c>
      <c r="G667" s="1" t="s">
        <v>3168</v>
      </c>
      <c r="H667" s="1" t="str">
        <f ca="1">IFERROR(__xludf.DUMMYFUNCTION("GOOGLETRANSLATE(G667,""pl"",""en"")"),"Otwock, Otwock, Masovian Voivodeship")</f>
        <v>Otwock, Otwock, Masovian Voivodeship</v>
      </c>
      <c r="I667" s="1" t="s">
        <v>21</v>
      </c>
      <c r="J667" s="1" t="s">
        <v>21</v>
      </c>
      <c r="K667" s="1" t="s">
        <v>22</v>
      </c>
      <c r="L667" s="1" t="s">
        <v>3169</v>
      </c>
      <c r="M667" s="1">
        <v>3</v>
      </c>
      <c r="N667" s="1" t="s">
        <v>24</v>
      </c>
      <c r="O667" s="1" t="str">
        <f ca="1">IFERROR(__xludf.DUMMYFUNCTION("GOOGLETRANSLATE(N667,""pl"",""en"")"),"full ownership")</f>
        <v>full ownership</v>
      </c>
      <c r="P667" s="3" t="s">
        <v>3170</v>
      </c>
      <c r="Q667" s="1" t="b">
        <v>1</v>
      </c>
      <c r="R667" s="1" t="s">
        <v>3171</v>
      </c>
    </row>
    <row r="668" spans="1:18" x14ac:dyDescent="0.25">
      <c r="A668" s="2">
        <v>45308</v>
      </c>
      <c r="B668" s="1" t="s">
        <v>3172</v>
      </c>
      <c r="C668" s="1" t="str">
        <f ca="1">IFERROR(__xludf.DUMMYFUNCTION("GOOGLETRANSLATE(B668,""pl"",""en"")"),"Gdańsk Siedlce - 2 -room apartment")</f>
        <v>Gdańsk Siedlce - 2 -room apartment</v>
      </c>
      <c r="D668" s="1">
        <v>484000</v>
      </c>
      <c r="E668" s="1" t="s">
        <v>33</v>
      </c>
      <c r="F668" s="1">
        <v>44</v>
      </c>
      <c r="G668" s="1" t="s">
        <v>1199</v>
      </c>
      <c r="H668" s="1" t="str">
        <f ca="1">IFERROR(__xludf.DUMMYFUNCTION("GOOGLETRANSLATE(G668,""pl"",""en"")"),"Siedlce, Gdańsk, Pomeranian Voivodeship")</f>
        <v>Siedlce, Gdańsk, Pomeranian Voivodeship</v>
      </c>
      <c r="I668" s="1" t="s">
        <v>21</v>
      </c>
      <c r="J668" s="1" t="s">
        <v>21</v>
      </c>
      <c r="K668" s="1" t="s">
        <v>45</v>
      </c>
      <c r="L668" s="1" t="s">
        <v>3173</v>
      </c>
      <c r="M668" s="1">
        <v>2</v>
      </c>
      <c r="N668" s="1" t="s">
        <v>24</v>
      </c>
      <c r="O668" s="1" t="str">
        <f ca="1">IFERROR(__xludf.DUMMYFUNCTION("GOOGLETRANSLATE(N668,""pl"",""en"")"),"full ownership")</f>
        <v>full ownership</v>
      </c>
      <c r="P668" s="3" t="s">
        <v>3174</v>
      </c>
      <c r="Q668" s="1" t="b">
        <v>1</v>
      </c>
      <c r="R668" s="1" t="s">
        <v>3175</v>
      </c>
    </row>
    <row r="669" spans="1:18" x14ac:dyDescent="0.25">
      <c r="A669" s="2">
        <v>45308</v>
      </c>
      <c r="B669" s="1" t="s">
        <v>3176</v>
      </c>
      <c r="C669" s="1" t="str">
        <f ca="1">IFERROR(__xludf.DUMMYFUNCTION("GOOGLETRANSLATE(B669,""pl"",""en"")"),"Sosnowiec - Milowice ul. Road 37m2 +large balcony")</f>
        <v>Sosnowiec - Milowice ul. Road 37m2 +large balcony</v>
      </c>
      <c r="D669" s="1">
        <v>209000</v>
      </c>
      <c r="E669" s="1" t="s">
        <v>33</v>
      </c>
      <c r="F669" s="1">
        <v>37</v>
      </c>
      <c r="G669" s="1" t="s">
        <v>3177</v>
      </c>
      <c r="H669" s="1" t="str">
        <f ca="1">IFERROR(__xludf.DUMMYFUNCTION("GOOGLETRANSLATE(G669,""pl"",""en"")"),"street. Szosowa, Milowice, Sosnowiec, Silesian Voivodeship")</f>
        <v>street. Szosowa, Milowice, Sosnowiec, Silesian Voivodeship</v>
      </c>
      <c r="I669" s="1" t="s">
        <v>21</v>
      </c>
      <c r="J669" s="1" t="s">
        <v>21</v>
      </c>
      <c r="K669" s="1" t="s">
        <v>22</v>
      </c>
      <c r="L669" s="1" t="s">
        <v>3178</v>
      </c>
      <c r="M669" s="1">
        <v>2</v>
      </c>
      <c r="N669" s="1" t="s">
        <v>24</v>
      </c>
      <c r="O669" s="1" t="str">
        <f ca="1">IFERROR(__xludf.DUMMYFUNCTION("GOOGLETRANSLATE(N669,""pl"",""en"")"),"full ownership")</f>
        <v>full ownership</v>
      </c>
      <c r="P669" s="3" t="s">
        <v>3179</v>
      </c>
      <c r="Q669" s="1" t="b">
        <v>1</v>
      </c>
      <c r="R669" s="1" t="s">
        <v>3180</v>
      </c>
    </row>
    <row r="670" spans="1:18" x14ac:dyDescent="0.25">
      <c r="A670" s="2">
        <v>45308</v>
      </c>
      <c r="B670" s="1" t="s">
        <v>3181</v>
      </c>
      <c r="C670" s="1" t="str">
        <f ca="1">IFERROR(__xludf.DUMMYFUNCTION("GOOGLETRANSLATE(B670,""pl"",""en"")"),"Apartment Łódź Stoki")</f>
        <v>Apartment Łódź Stoki</v>
      </c>
      <c r="D670" s="1">
        <v>629000</v>
      </c>
      <c r="E670" s="1" t="s">
        <v>33</v>
      </c>
      <c r="F670" s="1">
        <v>70</v>
      </c>
      <c r="G670" s="1" t="s">
        <v>3182</v>
      </c>
      <c r="H670" s="1" t="str">
        <f ca="1">IFERROR(__xludf.DUMMYFUNCTION("GOOGLETRANSLATE(G670,""pl"",""en"")"),"street. Pieniny, Stoki, Widzew, Łódź, Łódź")</f>
        <v>street. Pieniny, Stoki, Widzew, Łódź, Łódź</v>
      </c>
      <c r="I670" s="1" t="s">
        <v>21</v>
      </c>
      <c r="J670" s="1" t="s">
        <v>21</v>
      </c>
      <c r="K670" s="1" t="s">
        <v>45</v>
      </c>
      <c r="L670" s="1" t="s">
        <v>3183</v>
      </c>
      <c r="M670" s="1">
        <v>3</v>
      </c>
      <c r="N670" s="1" t="s">
        <v>24</v>
      </c>
      <c r="O670" s="1" t="str">
        <f ca="1">IFERROR(__xludf.DUMMYFUNCTION("GOOGLETRANSLATE(N670,""pl"",""en"")"),"full ownership")</f>
        <v>full ownership</v>
      </c>
      <c r="P670" s="3" t="s">
        <v>3184</v>
      </c>
      <c r="Q670" s="1" t="b">
        <v>1</v>
      </c>
      <c r="R670" s="1" t="s">
        <v>3185</v>
      </c>
    </row>
    <row r="671" spans="1:18" x14ac:dyDescent="0.25">
      <c r="A671" s="2">
        <v>45308</v>
      </c>
      <c r="B671" s="1" t="s">
        <v>3186</v>
      </c>
      <c r="C671" s="1" t="str">
        <f ca="1">IFERROR(__xludf.DUMMYFUNCTION("GOOGLETRANSLATE(B671,""pl"",""en"")"),"Last three with a garden Call today!")</f>
        <v>Last three with a garden Call today!</v>
      </c>
      <c r="D671" s="1">
        <v>402609</v>
      </c>
      <c r="E671" s="1" t="s">
        <v>19</v>
      </c>
      <c r="F671" s="1">
        <v>53.69</v>
      </c>
      <c r="G671" s="1" t="s">
        <v>3187</v>
      </c>
      <c r="H671" s="1" t="str">
        <f ca="1">IFERROR(__xludf.DUMMYFUNCTION("GOOGLETRANSLATE(G671,""pl"",""en"")"),"Świdnica, Świdnicki, Lower Silesia")</f>
        <v>Świdnica, Świdnicki, Lower Silesia</v>
      </c>
      <c r="I671" s="1" t="b">
        <v>1</v>
      </c>
      <c r="J671" s="1" t="s">
        <v>21</v>
      </c>
      <c r="K671" s="1" t="s">
        <v>22</v>
      </c>
      <c r="L671" s="1" t="s">
        <v>3188</v>
      </c>
      <c r="M671" s="1">
        <v>3</v>
      </c>
      <c r="N671" s="1" t="s">
        <v>24</v>
      </c>
      <c r="O671" s="1" t="str">
        <f ca="1">IFERROR(__xludf.DUMMYFUNCTION("GOOGLETRANSLATE(N671,""pl"",""en"")"),"full ownership")</f>
        <v>full ownership</v>
      </c>
      <c r="P671" s="3" t="s">
        <v>3189</v>
      </c>
      <c r="Q671" s="1" t="b">
        <v>1</v>
      </c>
      <c r="R671" s="1" t="s">
        <v>3190</v>
      </c>
    </row>
    <row r="672" spans="1:18" x14ac:dyDescent="0.25">
      <c r="A672" s="2">
        <v>45308</v>
      </c>
      <c r="B672" s="1" t="s">
        <v>3191</v>
      </c>
      <c r="C672" s="1" t="str">
        <f ca="1">IFERROR(__xludf.DUMMYFUNCTION("GOOGLETRANSLATE(B672,""pl"",""en"")"),"Opportunity! Quiet, sunny apartment in the center")</f>
        <v>Opportunity! Quiet, sunny apartment in the center</v>
      </c>
      <c r="D672" s="1">
        <v>817500</v>
      </c>
      <c r="E672" s="1" t="s">
        <v>33</v>
      </c>
      <c r="F672" s="1">
        <v>37.5</v>
      </c>
      <c r="G672" s="1" t="s">
        <v>3192</v>
      </c>
      <c r="H672" s="1" t="str">
        <f ca="1">IFERROR(__xludf.DUMMYFUNCTION("GOOGLETRANSLATE(G672,""pl"",""en"")"),"pl. Jan Henryk Dąbrowski, Śródmieście Northern, Śródmieście, Warsaw, Masovian Voivodeship")</f>
        <v>pl. Jan Henryk Dąbrowski, Śródmieście Northern, Śródmieście, Warsaw, Masovian Voivodeship</v>
      </c>
      <c r="I672" s="1" t="s">
        <v>21</v>
      </c>
      <c r="J672" s="1" t="s">
        <v>21</v>
      </c>
      <c r="K672" s="1" t="s">
        <v>45</v>
      </c>
      <c r="L672" s="1" t="s">
        <v>3193</v>
      </c>
      <c r="M672" s="1">
        <v>2</v>
      </c>
      <c r="N672" s="1" t="s">
        <v>24</v>
      </c>
      <c r="O672" s="1" t="str">
        <f ca="1">IFERROR(__xludf.DUMMYFUNCTION("GOOGLETRANSLATE(N672,""pl"",""en"")"),"full ownership")</f>
        <v>full ownership</v>
      </c>
      <c r="P672" s="3" t="s">
        <v>3194</v>
      </c>
      <c r="Q672" s="1" t="b">
        <v>1</v>
      </c>
      <c r="R672" s="1" t="s">
        <v>3195</v>
      </c>
    </row>
    <row r="673" spans="1:18" x14ac:dyDescent="0.25">
      <c r="A673" s="2">
        <v>45173</v>
      </c>
      <c r="B673" s="1" t="s">
        <v>3196</v>
      </c>
      <c r="C673" s="1" t="str">
        <f ca="1">IFERROR(__xludf.DUMMYFUNCTION("GOOGLETRANSLATE(B673,""pl"",""en"")"),"Apartment 2 room+k / terrace, Mokotów Merlini")</f>
        <v>Apartment 2 room+k / terrace, Mokotów Merlini</v>
      </c>
      <c r="D673" s="1">
        <v>1114542</v>
      </c>
      <c r="E673" s="1" t="s">
        <v>19</v>
      </c>
      <c r="F673" s="1">
        <v>47.63</v>
      </c>
      <c r="G673" s="1" t="s">
        <v>3197</v>
      </c>
      <c r="H673" s="1" t="str">
        <f ca="1">IFERROR(__xludf.DUMMYFUNCTION("GOOGLETRANSLATE(G673,""pl"",""en"")"),"street. Dominika Merlini, Wierzbno, Mokotów, Warsaw, Masovian Voivodeship")</f>
        <v>street. Dominika Merlini, Wierzbno, Mokotów, Warsaw, Masovian Voivodeship</v>
      </c>
      <c r="I673" s="1" t="b">
        <v>1</v>
      </c>
      <c r="J673" s="1" t="s">
        <v>21</v>
      </c>
      <c r="K673" s="1" t="s">
        <v>194</v>
      </c>
      <c r="L673" s="1" t="s">
        <v>3198</v>
      </c>
      <c r="M673" s="1">
        <v>2</v>
      </c>
      <c r="N673" s="1" t="s">
        <v>24</v>
      </c>
      <c r="O673" s="1" t="str">
        <f ca="1">IFERROR(__xludf.DUMMYFUNCTION("GOOGLETRANSLATE(N673,""pl"",""en"")"),"full ownership")</f>
        <v>full ownership</v>
      </c>
      <c r="P673" s="3" t="s">
        <v>3199</v>
      </c>
      <c r="Q673" s="1" t="b">
        <v>1</v>
      </c>
      <c r="R673" s="1" t="s">
        <v>3200</v>
      </c>
    </row>
    <row r="674" spans="1:18" x14ac:dyDescent="0.25">
      <c r="A674" s="2">
        <v>45173</v>
      </c>
      <c r="B674" s="1" t="s">
        <v>3201</v>
      </c>
      <c r="C674" s="1" t="str">
        <f ca="1">IFERROR(__xludf.DUMMYFUNCTION("GOOGLETRANSLATE(B674,""pl"",""en"")"),"4 -room apartment 2nd floor ul. 65m2 sappers")</f>
        <v>4 -room apartment 2nd floor ul. 65m2 sappers</v>
      </c>
      <c r="D674" s="1">
        <v>389000</v>
      </c>
      <c r="E674" s="1" t="s">
        <v>33</v>
      </c>
      <c r="F674" s="1">
        <v>64.5</v>
      </c>
      <c r="G674" s="1" t="s">
        <v>3202</v>
      </c>
      <c r="H674" s="1" t="str">
        <f ca="1">IFERROR(__xludf.DUMMYFUNCTION("GOOGLETRANSLATE(G674,""pl"",""en"")"),"street. Sappers, Elbląg, Warmian-Masurian Voivodeship")</f>
        <v>street. Sappers, Elbląg, Warmian-Masurian Voivodeship</v>
      </c>
      <c r="I674" s="1" t="b">
        <v>1</v>
      </c>
      <c r="J674" s="1" t="s">
        <v>21</v>
      </c>
      <c r="K674" s="1" t="s">
        <v>22</v>
      </c>
      <c r="L674" s="1" t="s">
        <v>3203</v>
      </c>
      <c r="M674" s="1">
        <v>4</v>
      </c>
      <c r="N674" s="1" t="s">
        <v>24</v>
      </c>
      <c r="O674" s="1" t="str">
        <f ca="1">IFERROR(__xludf.DUMMYFUNCTION("GOOGLETRANSLATE(N674,""pl"",""en"")"),"full ownership")</f>
        <v>full ownership</v>
      </c>
      <c r="P674" s="3" t="s">
        <v>3204</v>
      </c>
      <c r="Q674" s="1" t="b">
        <v>1</v>
      </c>
      <c r="R674" s="1" t="s">
        <v>3205</v>
      </c>
    </row>
    <row r="675" spans="1:18" x14ac:dyDescent="0.25">
      <c r="A675" s="2">
        <v>45173</v>
      </c>
      <c r="B675" s="1" t="s">
        <v>3206</v>
      </c>
      <c r="C675" s="1" t="str">
        <f ca="1">IFERROR(__xludf.DUMMYFUNCTION("GOOGLETRANSLATE(B675,""pl"",""en"")"),"Apartment with a view of the Lantern Sea Sea")</f>
        <v>Apartment with a view of the Lantern Sea Sea</v>
      </c>
      <c r="D675" s="1">
        <v>840000</v>
      </c>
      <c r="E675" s="1" t="s">
        <v>33</v>
      </c>
      <c r="F675" s="1">
        <v>61.35</v>
      </c>
      <c r="G675" s="1" t="s">
        <v>3207</v>
      </c>
      <c r="H675" s="1" t="str">
        <f ca="1">IFERROR(__xludf.DUMMYFUNCTION("GOOGLETRANSLATE(G675,""pl"",""en"")"),"street. Cicha, Kołobrzeg, Kołobrzeski, West Pomeranian Voivodeship")</f>
        <v>street. Cicha, Kołobrzeg, Kołobrzeski, West Pomeranian Voivodeship</v>
      </c>
      <c r="I675" s="1" t="b">
        <v>1</v>
      </c>
      <c r="J675" s="1" t="s">
        <v>21</v>
      </c>
      <c r="K675" s="1" t="s">
        <v>22</v>
      </c>
      <c r="L675" s="1" t="s">
        <v>3208</v>
      </c>
      <c r="M675" s="1">
        <v>3</v>
      </c>
      <c r="N675" s="1" t="s">
        <v>24</v>
      </c>
      <c r="O675" s="1" t="str">
        <f ca="1">IFERROR(__xludf.DUMMYFUNCTION("GOOGLETRANSLATE(N675,""pl"",""en"")"),"full ownership")</f>
        <v>full ownership</v>
      </c>
      <c r="P675" s="3" t="s">
        <v>3209</v>
      </c>
      <c r="Q675" s="1" t="b">
        <v>1</v>
      </c>
      <c r="R675" s="1" t="s">
        <v>3210</v>
      </c>
    </row>
    <row r="676" spans="1:18" x14ac:dyDescent="0.25">
      <c r="A676" s="2">
        <v>45173</v>
      </c>
      <c r="B676" s="1" t="s">
        <v>3211</v>
      </c>
      <c r="C676" s="1" t="str">
        <f ca="1">IFERROR(__xludf.DUMMYFUNCTION("GOOGLETRANSLATE(B676,""pl"",""en"")"),"4 rooms in Goleniów - PLN 599,000")</f>
        <v>4 rooms in Goleniów - PLN 599,000</v>
      </c>
      <c r="D676" s="1">
        <v>599000</v>
      </c>
      <c r="E676" s="1" t="s">
        <v>33</v>
      </c>
      <c r="F676" s="1">
        <v>83.4</v>
      </c>
      <c r="G676" s="1" t="s">
        <v>1472</v>
      </c>
      <c r="H676" s="1" t="str">
        <f ca="1">IFERROR(__xludf.DUMMYFUNCTION("GOOGLETRANSLATE(G676,""pl"",""en"")"),"Goleniów, Goleniów, Goleniowski, West Pomeranian Voivodeship")</f>
        <v>Goleniów, Goleniów, Goleniowski, West Pomeranian Voivodeship</v>
      </c>
      <c r="I676" s="1" t="s">
        <v>21</v>
      </c>
      <c r="J676" s="1" t="s">
        <v>21</v>
      </c>
      <c r="K676" s="1" t="s">
        <v>22</v>
      </c>
      <c r="L676" s="1" t="s">
        <v>3212</v>
      </c>
      <c r="M676" s="1">
        <v>4</v>
      </c>
      <c r="N676" s="1" t="s">
        <v>24</v>
      </c>
      <c r="O676" s="1" t="str">
        <f ca="1">IFERROR(__xludf.DUMMYFUNCTION("GOOGLETRANSLATE(N676,""pl"",""en"")"),"full ownership")</f>
        <v>full ownership</v>
      </c>
      <c r="P676" s="3" t="s">
        <v>3213</v>
      </c>
      <c r="Q676" s="1" t="b">
        <v>1</v>
      </c>
      <c r="R676" s="1" t="s">
        <v>3214</v>
      </c>
    </row>
    <row r="677" spans="1:18" x14ac:dyDescent="0.25">
      <c r="A677" s="2">
        <v>45173</v>
      </c>
      <c r="B677" s="1" t="s">
        <v>3215</v>
      </c>
      <c r="C677" s="1" t="str">
        <f ca="1">IFERROR(__xludf.DUMMYFUNCTION("GOOGLETRANSLATE(B677,""pl"",""en"")"),"Agrotourism in the Izerskie Foothills Ready business")</f>
        <v>Agrotourism in the Izerskie Foothills Ready business</v>
      </c>
      <c r="D677" s="1">
        <v>2200000</v>
      </c>
      <c r="E677" s="1" t="s">
        <v>33</v>
      </c>
      <c r="F677" s="1">
        <v>500</v>
      </c>
      <c r="G677" s="1" t="s">
        <v>3216</v>
      </c>
      <c r="H677" s="1" t="str">
        <f ca="1">IFERROR(__xludf.DUMMYFUNCTION("GOOGLETRANSLATE(G677,""pl"",""en"")"),"Giebułtów, Mirsk, Lwówecki, Lower Silesia")</f>
        <v>Giebułtów, Mirsk, Lwówecki, Lower Silesia</v>
      </c>
      <c r="I677" s="1" t="b">
        <v>1</v>
      </c>
      <c r="J677" s="1" t="s">
        <v>21</v>
      </c>
      <c r="K677" s="1" t="s">
        <v>22</v>
      </c>
      <c r="L677" s="1" t="s">
        <v>3217</v>
      </c>
      <c r="M677" s="1">
        <v>9</v>
      </c>
      <c r="N677" s="1" t="s">
        <v>21</v>
      </c>
      <c r="O677" s="1" t="str">
        <f ca="1">IFERROR(__xludf.DUMMYFUNCTION("GOOGLETRANSLATE(N677,""pl"",""en"")"),"null")</f>
        <v>null</v>
      </c>
      <c r="P677" s="3" t="s">
        <v>3218</v>
      </c>
      <c r="Q677" s="1" t="b">
        <v>1</v>
      </c>
      <c r="R677" s="1" t="s">
        <v>3219</v>
      </c>
    </row>
    <row r="678" spans="1:18" x14ac:dyDescent="0.25">
      <c r="A678" s="2">
        <v>45308</v>
      </c>
      <c r="B678" s="1" t="s">
        <v>3220</v>
      </c>
      <c r="C678" s="1" t="str">
        <f ca="1">IFERROR(__xludf.DUMMYFUNCTION("GOOGLETRANSLATE(B678,""pl"",""en"")"),"Steering housing estate apartment 39/s18")</f>
        <v>Steering housing estate apartment 39/s18</v>
      </c>
      <c r="D678" s="1">
        <v>305860</v>
      </c>
      <c r="E678" s="1" t="s">
        <v>19</v>
      </c>
      <c r="F678" s="1">
        <v>37.299999999999997</v>
      </c>
      <c r="G678" s="1" t="s">
        <v>3221</v>
      </c>
      <c r="H678" s="1" t="str">
        <f ca="1">IFERROR(__xludf.DUMMYFUNCTION("GOOGLETRANSLATE(G678,""pl"",""en"")"),"street. Franciszka Hynka, Dywity, Dywity, Olsztyński, Warmian-Masurian Voivodeship")</f>
        <v>street. Franciszka Hynka, Dywity, Dywity, Olsztyński, Warmian-Masurian Voivodeship</v>
      </c>
      <c r="I678" s="1" t="s">
        <v>21</v>
      </c>
      <c r="J678" s="1" t="s">
        <v>21</v>
      </c>
      <c r="K678" s="1" t="s">
        <v>194</v>
      </c>
      <c r="L678" s="1" t="s">
        <v>3222</v>
      </c>
      <c r="M678" s="1">
        <v>1</v>
      </c>
      <c r="N678" s="1" t="s">
        <v>24</v>
      </c>
      <c r="O678" s="1" t="str">
        <f ca="1">IFERROR(__xludf.DUMMYFUNCTION("GOOGLETRANSLATE(N678,""pl"",""en"")"),"full ownership")</f>
        <v>full ownership</v>
      </c>
      <c r="P678" s="3" t="s">
        <v>3223</v>
      </c>
      <c r="Q678" s="1" t="b">
        <v>1</v>
      </c>
      <c r="R678" s="1" t="s">
        <v>3224</v>
      </c>
    </row>
    <row r="679" spans="1:18" x14ac:dyDescent="0.25">
      <c r="A679" s="2">
        <v>45308</v>
      </c>
      <c r="B679" s="1" t="s">
        <v>3225</v>
      </c>
      <c r="C679" s="1" t="str">
        <f ca="1">IFERROR(__xludf.DUMMYFUNCTION("GOOGLETRANSLATE(B679,""pl"",""en"")"),"Large, sunny 2 rooms")</f>
        <v>Large, sunny 2 rooms</v>
      </c>
      <c r="D679" s="1">
        <v>249000</v>
      </c>
      <c r="E679" s="1" t="s">
        <v>33</v>
      </c>
      <c r="F679" s="1">
        <v>50.2</v>
      </c>
      <c r="G679" s="1" t="s">
        <v>528</v>
      </c>
      <c r="H679" s="1" t="str">
        <f ca="1">IFERROR(__xludf.DUMMYFUNCTION("GOOGLETRANSLATE(G679,""pl"",""en"")"),"Raków, Częstochowa, Silesian Voivodeship")</f>
        <v>Raków, Częstochowa, Silesian Voivodeship</v>
      </c>
      <c r="I679" s="1" t="s">
        <v>21</v>
      </c>
      <c r="J679" s="1" t="s">
        <v>21</v>
      </c>
      <c r="K679" s="1" t="s">
        <v>22</v>
      </c>
      <c r="L679" s="1" t="s">
        <v>3226</v>
      </c>
      <c r="M679" s="1">
        <v>2</v>
      </c>
      <c r="N679" s="1" t="s">
        <v>24</v>
      </c>
      <c r="O679" s="1" t="str">
        <f ca="1">IFERROR(__xludf.DUMMYFUNCTION("GOOGLETRANSLATE(N679,""pl"",""en"")"),"full ownership")</f>
        <v>full ownership</v>
      </c>
      <c r="P679" s="3" t="s">
        <v>3227</v>
      </c>
      <c r="Q679" s="1" t="b">
        <v>1</v>
      </c>
      <c r="R679" s="1" t="s">
        <v>3228</v>
      </c>
    </row>
    <row r="680" spans="1:18" x14ac:dyDescent="0.25">
      <c r="A680" s="2">
        <v>45308</v>
      </c>
      <c r="B680" s="1" t="s">
        <v>3229</v>
      </c>
      <c r="C680" s="1" t="str">
        <f ca="1">IFERROR(__xludf.DUMMYFUNCTION("GOOGLETRANSLATE(B680,""pl"",""en"")"),"Captivating investment in the city center !!")</f>
        <v>Captivating investment in the city center !!</v>
      </c>
      <c r="D680" s="1">
        <v>504000</v>
      </c>
      <c r="E680" s="1" t="s">
        <v>19</v>
      </c>
      <c r="F680" s="1">
        <v>44</v>
      </c>
      <c r="G680" s="1" t="s">
        <v>630</v>
      </c>
      <c r="H680" s="1" t="str">
        <f ca="1">IFERROR(__xludf.DUMMYFUNCTION("GOOGLETRANSLATE(G680,""pl"",""en"")"),"Śródmieście, Bydgoszcz, Kujawsko-Pomeranian Voivodeship")</f>
        <v>Śródmieście, Bydgoszcz, Kujawsko-Pomeranian Voivodeship</v>
      </c>
      <c r="I680" s="1" t="s">
        <v>21</v>
      </c>
      <c r="J680" s="1" t="s">
        <v>21</v>
      </c>
      <c r="K680" s="1" t="s">
        <v>22</v>
      </c>
      <c r="L680" s="1" t="s">
        <v>3230</v>
      </c>
      <c r="M680" s="1">
        <v>2</v>
      </c>
      <c r="N680" s="1" t="s">
        <v>24</v>
      </c>
      <c r="O680" s="1" t="str">
        <f ca="1">IFERROR(__xludf.DUMMYFUNCTION("GOOGLETRANSLATE(N680,""pl"",""en"")"),"full ownership")</f>
        <v>full ownership</v>
      </c>
      <c r="P680" s="3" t="s">
        <v>3231</v>
      </c>
      <c r="Q680" s="1" t="b">
        <v>1</v>
      </c>
      <c r="R680" s="1" t="s">
        <v>3232</v>
      </c>
    </row>
    <row r="681" spans="1:18" x14ac:dyDescent="0.25">
      <c r="A681" s="2">
        <v>45308</v>
      </c>
      <c r="B681" s="1" t="s">
        <v>3233</v>
      </c>
      <c r="C681" s="1" t="str">
        <f ca="1">IFERROR(__xludf.DUMMYFUNCTION("GOOGLETRANSLATE(B681,""pl"",""en"")"),"A unique offer for the investor at Rogowska")</f>
        <v>A unique offer for the investor at Rogowska</v>
      </c>
      <c r="D681" s="1">
        <v>417000</v>
      </c>
      <c r="E681" s="1" t="s">
        <v>33</v>
      </c>
      <c r="F681" s="1">
        <v>27.1</v>
      </c>
      <c r="G681" s="1" t="s">
        <v>3234</v>
      </c>
      <c r="H681" s="1" t="str">
        <f ca="1">IFERROR(__xludf.DUMMYFUNCTION("GOOGLETRANSLATE(G681,""pl"",""en"")"),"street. Rogowska, Nowy Dwór, Fabryczna, Wrocław, DolnoSilesian Voivodeship")</f>
        <v>street. Rogowska, Nowy Dwór, Fabryczna, Wrocław, DolnoSilesian Voivodeship</v>
      </c>
      <c r="I681" s="1" t="b">
        <v>1</v>
      </c>
      <c r="J681" s="1" t="s">
        <v>21</v>
      </c>
      <c r="K681" s="1" t="s">
        <v>22</v>
      </c>
      <c r="L681" s="1" t="s">
        <v>3235</v>
      </c>
      <c r="M681" s="1">
        <v>1</v>
      </c>
      <c r="N681" s="1" t="s">
        <v>24</v>
      </c>
      <c r="O681" s="1" t="str">
        <f ca="1">IFERROR(__xludf.DUMMYFUNCTION("GOOGLETRANSLATE(N681,""pl"",""en"")"),"full ownership")</f>
        <v>full ownership</v>
      </c>
      <c r="P681" s="3" t="s">
        <v>3236</v>
      </c>
      <c r="Q681" s="1" t="b">
        <v>1</v>
      </c>
      <c r="R681" s="1" t="s">
        <v>3237</v>
      </c>
    </row>
    <row r="682" spans="1:18" x14ac:dyDescent="0.25">
      <c r="A682" s="2">
        <v>45308</v>
      </c>
      <c r="B682" s="1" t="s">
        <v>3238</v>
      </c>
      <c r="C682" s="1" t="str">
        <f ca="1">IFERROR(__xludf.DUMMYFUNCTION("GOOGLETRANSLATE(B682,""pl"",""en"")"),"3-POK apartment. Komandorskie Wzgórze estate -")</f>
        <v>3-POK apartment. Komandorskie Wzgórze estate -</v>
      </c>
      <c r="D682" s="1">
        <v>920000</v>
      </c>
      <c r="E682" s="1" t="s">
        <v>33</v>
      </c>
      <c r="F682" s="1">
        <v>82.1</v>
      </c>
      <c r="G682" s="1" t="s">
        <v>3239</v>
      </c>
      <c r="H682" s="1" t="str">
        <f ca="1">IFERROR(__xludf.DUMMYFUNCTION("GOOGLETRANSLATE(G682,""pl"",""en"")"),"street. General Stanisław Karpiński, Oksywie, Gdynia, Pomeranian Voivodeship")</f>
        <v>street. General Stanisław Karpiński, Oksywie, Gdynia, Pomeranian Voivodeship</v>
      </c>
      <c r="I682" s="1" t="s">
        <v>21</v>
      </c>
      <c r="J682" s="1" t="s">
        <v>21</v>
      </c>
      <c r="K682" s="1" t="s">
        <v>45</v>
      </c>
      <c r="L682" s="1" t="s">
        <v>3240</v>
      </c>
      <c r="M682" s="1">
        <v>3</v>
      </c>
      <c r="N682" s="1" t="s">
        <v>24</v>
      </c>
      <c r="O682" s="1" t="str">
        <f ca="1">IFERROR(__xludf.DUMMYFUNCTION("GOOGLETRANSLATE(N682,""pl"",""en"")"),"full ownership")</f>
        <v>full ownership</v>
      </c>
      <c r="P682" s="3" t="s">
        <v>3241</v>
      </c>
      <c r="Q682" s="1" t="b">
        <v>1</v>
      </c>
      <c r="R682" s="1" t="s">
        <v>3242</v>
      </c>
    </row>
    <row r="683" spans="1:18" x14ac:dyDescent="0.25">
      <c r="A683" s="2">
        <v>45308</v>
      </c>
      <c r="B683" s="1" t="s">
        <v>3243</v>
      </c>
      <c r="C683" s="1" t="str">
        <f ca="1">IFERROR(__xludf.DUMMYFUNCTION("GOOGLETRANSLATE(B683,""pl"",""en"")"),"A flat near the city center.")</f>
        <v>A flat near the city center.</v>
      </c>
      <c r="D683" s="1">
        <v>350000</v>
      </c>
      <c r="E683" s="1" t="s">
        <v>33</v>
      </c>
      <c r="F683" s="1">
        <v>100</v>
      </c>
      <c r="G683" s="1" t="s">
        <v>3244</v>
      </c>
      <c r="H683" s="1" t="str">
        <f ca="1">IFERROR(__xludf.DUMMYFUNCTION("GOOGLETRANSLATE(G683,""pl"",""en"")"),"street. Władysław Broniewski, Wejherowo, Wejherowski, Pomeranian")</f>
        <v>street. Władysław Broniewski, Wejherowo, Wejherowski, Pomeranian</v>
      </c>
      <c r="I683" s="1" t="s">
        <v>21</v>
      </c>
      <c r="J683" s="1" t="s">
        <v>21</v>
      </c>
      <c r="K683" s="1" t="s">
        <v>22</v>
      </c>
      <c r="L683" s="1" t="s">
        <v>3245</v>
      </c>
      <c r="M683" s="1">
        <v>4</v>
      </c>
      <c r="N683" s="1" t="s">
        <v>24</v>
      </c>
      <c r="O683" s="1" t="str">
        <f ca="1">IFERROR(__xludf.DUMMYFUNCTION("GOOGLETRANSLATE(N683,""pl"",""en"")"),"full ownership")</f>
        <v>full ownership</v>
      </c>
      <c r="P683" s="3" t="s">
        <v>3246</v>
      </c>
      <c r="Q683" s="1" t="b">
        <v>1</v>
      </c>
      <c r="R683" s="1" t="s">
        <v>3247</v>
      </c>
    </row>
    <row r="684" spans="1:18" x14ac:dyDescent="0.25">
      <c r="A684" s="2">
        <v>45308</v>
      </c>
      <c r="B684" s="1" t="s">
        <v>3248</v>
      </c>
      <c r="C684" s="1" t="str">
        <f ca="1">IFERROR(__xludf.DUMMYFUNCTION("GOOGLETRANSLATE(B684,""pl"",""en"")"),"Apartment, 108.10 m², Opole")</f>
        <v>Apartment, 108.10 m², Opole</v>
      </c>
      <c r="D684" s="1">
        <v>845000</v>
      </c>
      <c r="E684" s="1" t="s">
        <v>33</v>
      </c>
      <c r="F684" s="1">
        <v>108.1</v>
      </c>
      <c r="G684" s="1" t="s">
        <v>4790</v>
      </c>
      <c r="H684" s="1" t="str">
        <f ca="1">IFERROR(__xludf.DUMMYFUNCTION("GOOGLETRANSLATE(G684,""pl"",""en"")"),"Śródmieście, Opole, Opole Voivodeship")</f>
        <v>Śródmieście, Opole, Opole Voivodeship</v>
      </c>
      <c r="I684" s="1" t="s">
        <v>21</v>
      </c>
      <c r="J684" s="1" t="s">
        <v>21</v>
      </c>
      <c r="K684" s="1" t="s">
        <v>22</v>
      </c>
      <c r="L684" s="1" t="s">
        <v>3249</v>
      </c>
      <c r="M684" s="1">
        <v>4</v>
      </c>
      <c r="N684" s="1" t="s">
        <v>24</v>
      </c>
      <c r="O684" s="1" t="str">
        <f ca="1">IFERROR(__xludf.DUMMYFUNCTION("GOOGLETRANSLATE(N684,""pl"",""en"")"),"full ownership")</f>
        <v>full ownership</v>
      </c>
      <c r="P684" s="3" t="s">
        <v>3250</v>
      </c>
      <c r="Q684" s="1" t="b">
        <v>1</v>
      </c>
      <c r="R684" s="1" t="s">
        <v>3251</v>
      </c>
    </row>
    <row r="685" spans="1:18" x14ac:dyDescent="0.25">
      <c r="A685" s="2">
        <v>45308</v>
      </c>
      <c r="B685" s="1" t="s">
        <v>3252</v>
      </c>
      <c r="C685" s="1" t="str">
        <f ca="1">IFERROR(__xludf.DUMMYFUNCTION("GOOGLETRANSLATE(B685,""pl"",""en"")"),"2-room apartment with potential, for renovation")</f>
        <v>2-room apartment with potential, for renovation</v>
      </c>
      <c r="D685" s="1">
        <v>160000</v>
      </c>
      <c r="E685" s="1" t="s">
        <v>33</v>
      </c>
      <c r="F685" s="1">
        <v>48.53</v>
      </c>
      <c r="G685" s="1" t="s">
        <v>3253</v>
      </c>
      <c r="H685" s="1" t="str">
        <f ca="1">IFERROR(__xludf.DUMMYFUNCTION("GOOGLETRANSLATE(G685,""pl"",""en"")"),"street. Piekarska, Śródmieście, Bytom, Silesian Voivodeship")</f>
        <v>street. Piekarska, Śródmieście, Bytom, Silesian Voivodeship</v>
      </c>
      <c r="I685" s="1" t="s">
        <v>21</v>
      </c>
      <c r="J685" s="1" t="s">
        <v>21</v>
      </c>
      <c r="K685" s="1" t="s">
        <v>22</v>
      </c>
      <c r="L685" s="1" t="s">
        <v>3254</v>
      </c>
      <c r="M685" s="1">
        <v>2</v>
      </c>
      <c r="N685" s="1" t="s">
        <v>24</v>
      </c>
      <c r="O685" s="1" t="str">
        <f ca="1">IFERROR(__xludf.DUMMYFUNCTION("GOOGLETRANSLATE(N685,""pl"",""en"")"),"full ownership")</f>
        <v>full ownership</v>
      </c>
      <c r="P685" s="3" t="s">
        <v>3255</v>
      </c>
      <c r="Q685" s="1" t="b">
        <v>1</v>
      </c>
      <c r="R685" s="1" t="s">
        <v>3256</v>
      </c>
    </row>
    <row r="686" spans="1:18" x14ac:dyDescent="0.25">
      <c r="A686" s="2">
        <v>45308</v>
      </c>
      <c r="B686" s="1" t="s">
        <v>3257</v>
      </c>
      <c r="C686" s="1" t="str">
        <f ca="1">IFERROR(__xludf.DUMMYFUNCTION("GOOGLETRANSLATE(B686,""pl"",""en"")"),"Apartment, 48.91 m², Chrzanów")</f>
        <v>Apartment, 48.91 m², Chrzanów</v>
      </c>
      <c r="D686" s="1">
        <v>291014</v>
      </c>
      <c r="E686" s="1" t="s">
        <v>33</v>
      </c>
      <c r="F686" s="1">
        <v>48.91</v>
      </c>
      <c r="G686" s="1" t="s">
        <v>4791</v>
      </c>
      <c r="H686" s="1" t="str">
        <f ca="1">IFERROR(__xludf.DUMMYFUNCTION("GOOGLETRANSLATE(G686,""pl"",""en"")"),"street. Kolonia Stella, Chrzanów, Chrzanów, Chrzanowski, Lesser Poland")</f>
        <v>street. Kolonia Stella, Chrzanów, Chrzanów, Chrzanowski, Lesser Poland</v>
      </c>
      <c r="I686" s="1" t="s">
        <v>21</v>
      </c>
      <c r="J686" s="1" t="s">
        <v>21</v>
      </c>
      <c r="K686" s="1" t="s">
        <v>22</v>
      </c>
      <c r="L686" s="1" t="s">
        <v>3258</v>
      </c>
      <c r="M686" s="1">
        <v>2</v>
      </c>
      <c r="N686" s="1" t="s">
        <v>24</v>
      </c>
      <c r="O686" s="1" t="str">
        <f ca="1">IFERROR(__xludf.DUMMYFUNCTION("GOOGLETRANSLATE(N686,""pl"",""en"")"),"full ownership")</f>
        <v>full ownership</v>
      </c>
      <c r="P686" s="3" t="s">
        <v>3259</v>
      </c>
      <c r="Q686" s="1" t="b">
        <v>1</v>
      </c>
      <c r="R686" s="1" t="s">
        <v>3260</v>
      </c>
    </row>
    <row r="687" spans="1:18" x14ac:dyDescent="0.25">
      <c r="A687" s="2">
        <v>45308</v>
      </c>
      <c r="B687" s="1" t="s">
        <v>3261</v>
      </c>
      <c r="C687" s="1" t="str">
        <f ca="1">IFERROR(__xludf.DUMMYFUNCTION("GOOGLETRANSLATE(B687,""pl"",""en"")"),"Sunny apartment. Bolszewo ul. Nagietkowa 2/22")</f>
        <v>Sunny apartment. Bolszewo ul. Nagietkowa 2/22</v>
      </c>
      <c r="D687" s="1">
        <v>249150</v>
      </c>
      <c r="E687" s="1" t="s">
        <v>19</v>
      </c>
      <c r="F687" s="1">
        <v>37.75</v>
      </c>
      <c r="G687" s="1" t="s">
        <v>3262</v>
      </c>
      <c r="H687" s="1" t="str">
        <f ca="1">IFERROR(__xludf.DUMMYFUNCTION("GOOGLETRANSLATE(G687,""pl"",""en"")"),"Wspólna, Bolszewo, Wejherowo, Wejherowski, Pomeranian")</f>
        <v>Wspólna, Bolszewo, Wejherowo, Wejherowski, Pomeranian</v>
      </c>
      <c r="I687" s="1" t="s">
        <v>21</v>
      </c>
      <c r="J687" s="1" t="s">
        <v>21</v>
      </c>
      <c r="K687" s="1" t="s">
        <v>194</v>
      </c>
      <c r="L687" s="1" t="s">
        <v>3263</v>
      </c>
      <c r="M687" s="1">
        <v>2</v>
      </c>
      <c r="N687" s="1" t="s">
        <v>24</v>
      </c>
      <c r="O687" s="1" t="str">
        <f ca="1">IFERROR(__xludf.DUMMYFUNCTION("GOOGLETRANSLATE(N687,""pl"",""en"")"),"full ownership")</f>
        <v>full ownership</v>
      </c>
      <c r="P687" s="3" t="s">
        <v>3264</v>
      </c>
      <c r="Q687" s="1" t="b">
        <v>1</v>
      </c>
      <c r="R687" s="1" t="s">
        <v>3265</v>
      </c>
    </row>
    <row r="688" spans="1:18" x14ac:dyDescent="0.25">
      <c r="A688" s="2">
        <v>45308</v>
      </c>
      <c r="B688" s="1" t="s">
        <v>3266</v>
      </c>
      <c r="C688" s="1" t="str">
        <f ca="1">IFERROR(__xludf.DUMMYFUNCTION("GOOGLETRANSLATE(B688,""pl"",""en"")"),"Occasional prices discounts up to 120,000 until Saturday !!")</f>
        <v>Occasional prices discounts up to 120,000 until Saturday !!</v>
      </c>
      <c r="D688" s="1">
        <v>584830</v>
      </c>
      <c r="E688" s="1" t="s">
        <v>19</v>
      </c>
      <c r="F688" s="1">
        <v>60.56</v>
      </c>
      <c r="G688" s="1" t="s">
        <v>282</v>
      </c>
      <c r="H688" s="1" t="str">
        <f ca="1">IFERROR(__xludf.DUMMYFUNCTION("GOOGLETRANSLATE(G688,""pl"",""en"")"),"Orunia Górna - Gdańsk Południe, Gdańsk, Pomeranian Voivodeship")</f>
        <v>Orunia Górna - Gdańsk Południe, Gdańsk, Pomeranian Voivodeship</v>
      </c>
      <c r="I688" s="1" t="b">
        <v>1</v>
      </c>
      <c r="J688" s="1" t="s">
        <v>21</v>
      </c>
      <c r="K688" s="1" t="s">
        <v>22</v>
      </c>
      <c r="L688" s="1" t="s">
        <v>3267</v>
      </c>
      <c r="M688" s="1">
        <v>4</v>
      </c>
      <c r="N688" s="1" t="s">
        <v>24</v>
      </c>
      <c r="O688" s="1" t="str">
        <f ca="1">IFERROR(__xludf.DUMMYFUNCTION("GOOGLETRANSLATE(N688,""pl"",""en"")"),"full ownership")</f>
        <v>full ownership</v>
      </c>
      <c r="P688" s="3" t="s">
        <v>3268</v>
      </c>
      <c r="Q688" s="1" t="b">
        <v>1</v>
      </c>
      <c r="R688" s="1" t="s">
        <v>3269</v>
      </c>
    </row>
    <row r="689" spans="1:18" x14ac:dyDescent="0.25">
      <c r="A689" s="2">
        <v>45308</v>
      </c>
      <c r="B689" s="1" t="s">
        <v>3270</v>
      </c>
      <c r="C689" s="1" t="str">
        <f ca="1">IFERROR(__xludf.DUMMYFUNCTION("GOOGLETRANSLATE(B689,""pl"",""en"")"),"Ready apartment in a tenement house next to the new market")</f>
        <v>Ready apartment in a tenement house next to the new market</v>
      </c>
      <c r="D689" s="1">
        <v>650000</v>
      </c>
      <c r="E689" s="1" t="s">
        <v>33</v>
      </c>
      <c r="F689" s="1">
        <v>48.24</v>
      </c>
      <c r="G689" s="1" t="s">
        <v>4792</v>
      </c>
      <c r="H689" s="1" t="str">
        <f ca="1">IFERROR(__xludf.DUMMYFUNCTION("GOOGLETRANSLATE(G689,""pl"",""en"")"),"street. Wierzbięcice, Wilda, Wilda, Poznań, Greater Poland")</f>
        <v>street. Wierzbięcice, Wilda, Wilda, Poznań, Greater Poland</v>
      </c>
      <c r="I689" s="1" t="s">
        <v>21</v>
      </c>
      <c r="J689" s="1" t="s">
        <v>21</v>
      </c>
      <c r="K689" s="1" t="s">
        <v>22</v>
      </c>
      <c r="L689" s="1" t="s">
        <v>3271</v>
      </c>
      <c r="M689" s="1">
        <v>3</v>
      </c>
      <c r="N689" s="1" t="s">
        <v>24</v>
      </c>
      <c r="O689" s="1" t="str">
        <f ca="1">IFERROR(__xludf.DUMMYFUNCTION("GOOGLETRANSLATE(N689,""pl"",""en"")"),"full ownership")</f>
        <v>full ownership</v>
      </c>
      <c r="P689" s="3" t="s">
        <v>3272</v>
      </c>
      <c r="Q689" s="1" t="b">
        <v>1</v>
      </c>
      <c r="R689" s="1" t="s">
        <v>3273</v>
      </c>
    </row>
    <row r="690" spans="1:18" x14ac:dyDescent="0.25">
      <c r="A690" s="2">
        <v>45173</v>
      </c>
      <c r="B690" s="1" t="s">
        <v>3274</v>
      </c>
      <c r="C690" s="1" t="str">
        <f ca="1">IFERROR(__xludf.DUMMYFUNCTION("GOOGLETRANSLATE(B690,""pl"",""en"")"),"Rynek address")</f>
        <v>Rynek address</v>
      </c>
      <c r="D690" s="1">
        <v>900000</v>
      </c>
      <c r="E690" s="1" t="s">
        <v>33</v>
      </c>
      <c r="F690" s="1">
        <v>45</v>
      </c>
      <c r="G690" s="1" t="s">
        <v>3275</v>
      </c>
      <c r="H690" s="1" t="str">
        <f ca="1">IFERROR(__xludf.DUMMYFUNCTION("GOOGLETRANSLATE(G690,""pl"",""en"")"),"Rynek, Old Town, Old Town, Wrocław, DolnoSilesian Voivodeship")</f>
        <v>Rynek, Old Town, Old Town, Wrocław, DolnoSilesian Voivodeship</v>
      </c>
      <c r="I690" s="1" t="s">
        <v>21</v>
      </c>
      <c r="J690" s="1" t="s">
        <v>21</v>
      </c>
      <c r="K690" s="1" t="s">
        <v>22</v>
      </c>
      <c r="L690" s="1" t="s">
        <v>3276</v>
      </c>
      <c r="M690" s="1">
        <v>2</v>
      </c>
      <c r="N690" s="1" t="s">
        <v>24</v>
      </c>
      <c r="O690" s="1" t="str">
        <f ca="1">IFERROR(__xludf.DUMMYFUNCTION("GOOGLETRANSLATE(N690,""pl"",""en"")"),"full ownership")</f>
        <v>full ownership</v>
      </c>
      <c r="P690" s="3" t="s">
        <v>3277</v>
      </c>
      <c r="Q690" s="1" t="b">
        <v>1</v>
      </c>
      <c r="R690" s="1" t="s">
        <v>3278</v>
      </c>
    </row>
    <row r="691" spans="1:18" x14ac:dyDescent="0.25">
      <c r="A691" s="2">
        <v>45173</v>
      </c>
      <c r="B691" s="1" t="s">
        <v>3279</v>
      </c>
      <c r="C691" s="1" t="str">
        <f ca="1">IFERROR(__xludf.DUMMYFUNCTION("GOOGLETRANSLATE(B691,""pl"",""en"")"),"Apartment with a sauna and 100 m air conditioning to the beach!")</f>
        <v>Apartment with a sauna and 100 m air conditioning to the beach!</v>
      </c>
      <c r="D691" s="1">
        <v>532900</v>
      </c>
      <c r="E691" s="1" t="s">
        <v>19</v>
      </c>
      <c r="F691" s="1">
        <v>34.659999999999997</v>
      </c>
      <c r="G691" s="1" t="s">
        <v>3280</v>
      </c>
      <c r="H691" s="1" t="str">
        <f ca="1">IFERROR(__xludf.DUMMYFUNCTION("GOOGLETRANSLATE(G691,""pl"",""en"")"),"street. Calm, Ustronie Morskie, Ustronie Morskie, Kołobrzeski, West Pomeranian Voivodeship")</f>
        <v>street. Calm, Ustronie Morskie, Ustronie Morskie, Kołobrzeski, West Pomeranian Voivodeship</v>
      </c>
      <c r="I691" s="1" t="s">
        <v>21</v>
      </c>
      <c r="J691" s="1" t="s">
        <v>21</v>
      </c>
      <c r="K691" s="1" t="s">
        <v>22</v>
      </c>
      <c r="L691" s="1" t="s">
        <v>3281</v>
      </c>
      <c r="M691" s="1">
        <v>2</v>
      </c>
      <c r="N691" s="1" t="s">
        <v>24</v>
      </c>
      <c r="O691" s="1" t="str">
        <f ca="1">IFERROR(__xludf.DUMMYFUNCTION("GOOGLETRANSLATE(N691,""pl"",""en"")"),"full ownership")</f>
        <v>full ownership</v>
      </c>
      <c r="P691" s="3" t="s">
        <v>3282</v>
      </c>
      <c r="Q691" s="1" t="b">
        <v>1</v>
      </c>
      <c r="R691" s="1" t="s">
        <v>3283</v>
      </c>
    </row>
    <row r="692" spans="1:18" x14ac:dyDescent="0.25">
      <c r="A692" s="2">
        <v>45173</v>
      </c>
      <c r="B692" s="1" t="s">
        <v>3284</v>
      </c>
      <c r="C692" s="1" t="str">
        <f ca="1">IFERROR(__xludf.DUMMYFUNCTION("GOOGLETRANSLATE(B692,""pl"",""en"")"),"Apartment for sale in Mielno ul. Lechites")</f>
        <v>Apartment for sale in Mielno ul. Lechites</v>
      </c>
      <c r="D692" s="1">
        <v>299000</v>
      </c>
      <c r="E692" s="1" t="s">
        <v>33</v>
      </c>
      <c r="F692" s="1">
        <v>33.5</v>
      </c>
      <c r="G692" s="1" t="s">
        <v>3285</v>
      </c>
      <c r="H692" s="1" t="str">
        <f ca="1">IFERROR(__xludf.DUMMYFUNCTION("GOOGLETRANSLATE(G692,""pl"",""en"")"),"street. Lechitów, Mielno, Mielno, Koszaliński, West Pomeranian Voivodeship")</f>
        <v>street. Lechitów, Mielno, Mielno, Koszaliński, West Pomeranian Voivodeship</v>
      </c>
      <c r="I692" s="1" t="b">
        <v>1</v>
      </c>
      <c r="J692" s="1" t="s">
        <v>21</v>
      </c>
      <c r="K692" s="1" t="s">
        <v>22</v>
      </c>
      <c r="L692" s="1" t="s">
        <v>3286</v>
      </c>
      <c r="M692" s="1">
        <v>1</v>
      </c>
      <c r="N692" s="1" t="s">
        <v>24</v>
      </c>
      <c r="O692" s="1" t="str">
        <f ca="1">IFERROR(__xludf.DUMMYFUNCTION("GOOGLETRANSLATE(N692,""pl"",""en"")"),"full ownership")</f>
        <v>full ownership</v>
      </c>
      <c r="P692" s="3" t="s">
        <v>3287</v>
      </c>
      <c r="Q692" s="1" t="b">
        <v>1</v>
      </c>
      <c r="R692" s="1" t="s">
        <v>3288</v>
      </c>
    </row>
    <row r="693" spans="1:18" x14ac:dyDescent="0.25">
      <c r="A693" s="2">
        <v>45173</v>
      </c>
      <c r="B693" s="1" t="s">
        <v>3289</v>
      </c>
      <c r="C693" s="1" t="str">
        <f ca="1">IFERROR(__xludf.DUMMYFUNCTION("GOOGLETRANSLATE(B693,""pl"",""en"")"),"Apartment in Kłobuck")</f>
        <v>Apartment in Kłobuck</v>
      </c>
      <c r="D693" s="1">
        <v>561260</v>
      </c>
      <c r="E693" s="1" t="s">
        <v>19</v>
      </c>
      <c r="F693" s="1">
        <v>80.180000000000007</v>
      </c>
      <c r="G693" s="1" t="s">
        <v>3290</v>
      </c>
      <c r="H693" s="1" t="str">
        <f ca="1">IFERROR(__xludf.DUMMYFUNCTION("GOOGLETRANSLATE(G693,""pl"",""en"")"),"street. hm. Tadeusz Sobisia, Kłobuck, Kłobuck, Kłobucki, Silesian Voivodeship")</f>
        <v>street. hm. Tadeusz Sobisia, Kłobuck, Kłobuck, Kłobucki, Silesian Voivodeship</v>
      </c>
      <c r="I693" s="1" t="b">
        <v>1</v>
      </c>
      <c r="J693" s="1" t="s">
        <v>21</v>
      </c>
      <c r="K693" s="1" t="s">
        <v>22</v>
      </c>
      <c r="L693" s="1" t="s">
        <v>3291</v>
      </c>
      <c r="M693" s="1">
        <v>2</v>
      </c>
      <c r="N693" s="1" t="s">
        <v>24</v>
      </c>
      <c r="O693" s="1" t="str">
        <f ca="1">IFERROR(__xludf.DUMMYFUNCTION("GOOGLETRANSLATE(N693,""pl"",""en"")"),"full ownership")</f>
        <v>full ownership</v>
      </c>
      <c r="P693" s="3" t="s">
        <v>3292</v>
      </c>
      <c r="Q693" s="1" t="b">
        <v>1</v>
      </c>
      <c r="R693" s="1" t="s">
        <v>3293</v>
      </c>
    </row>
    <row r="694" spans="1:18" x14ac:dyDescent="0.25">
      <c r="A694" s="2">
        <v>45173</v>
      </c>
      <c r="B694" s="1" t="s">
        <v>3294</v>
      </c>
      <c r="C694" s="1" t="str">
        <f ca="1">IFERROR(__xludf.DUMMYFUNCTION("GOOGLETRANSLATE(B694,""pl"",""en"")"),"Apartment with a sea view")</f>
        <v>Apartment with a sea view</v>
      </c>
      <c r="D694" s="1">
        <v>1124000</v>
      </c>
      <c r="E694" s="1" t="s">
        <v>33</v>
      </c>
      <c r="F694" s="1">
        <v>41.38</v>
      </c>
      <c r="G694" s="1" t="s">
        <v>3295</v>
      </c>
      <c r="H694" s="1" t="str">
        <f ca="1">IFERROR(__xludf.DUMMYFUNCTION("GOOGLETRANSLATE(G694,""pl"",""en"")"),"street. Nowy Świat, Puck, Puck, Pomeranian")</f>
        <v>street. Nowy Świat, Puck, Puck, Pomeranian</v>
      </c>
      <c r="I694" s="1" t="s">
        <v>21</v>
      </c>
      <c r="J694" s="1" t="s">
        <v>21</v>
      </c>
      <c r="K694" s="1" t="s">
        <v>22</v>
      </c>
      <c r="L694" s="1" t="s">
        <v>3296</v>
      </c>
      <c r="M694" s="1">
        <v>2</v>
      </c>
      <c r="N694" s="1" t="s">
        <v>24</v>
      </c>
      <c r="O694" s="1" t="str">
        <f ca="1">IFERROR(__xludf.DUMMYFUNCTION("GOOGLETRANSLATE(N694,""pl"",""en"")"),"full ownership")</f>
        <v>full ownership</v>
      </c>
      <c r="P694" s="3" t="s">
        <v>3297</v>
      </c>
      <c r="Q694" s="1" t="b">
        <v>1</v>
      </c>
      <c r="R694" s="1" t="s">
        <v>3298</v>
      </c>
    </row>
    <row r="695" spans="1:18" x14ac:dyDescent="0.25">
      <c r="A695" s="2">
        <v>45308</v>
      </c>
      <c r="B695" s="1" t="s">
        <v>3299</v>
      </c>
      <c r="C695" s="1" t="str">
        <f ca="1">IFERROR(__xludf.DUMMYFUNCTION("GOOGLETRANSLATE(B695,""pl"",""en"")"),"Apartment in the city center")</f>
        <v>Apartment in the city center</v>
      </c>
      <c r="D695" s="1">
        <v>835000</v>
      </c>
      <c r="E695" s="1" t="s">
        <v>33</v>
      </c>
      <c r="F695" s="1">
        <v>69</v>
      </c>
      <c r="G695" s="1" t="s">
        <v>2460</v>
      </c>
      <c r="H695" s="1" t="str">
        <f ca="1">IFERROR(__xludf.DUMMYFUNCTION("GOOGLETRANSLATE(G695,""pl"",""en"")"),"Grodzisk Mazowiecki, Grodzisk Mazowiecki, Grodziski, Masovian Voivodeship")</f>
        <v>Grodzisk Mazowiecki, Grodzisk Mazowiecki, Grodziski, Masovian Voivodeship</v>
      </c>
      <c r="I695" s="1" t="s">
        <v>21</v>
      </c>
      <c r="J695" s="1" t="s">
        <v>21</v>
      </c>
      <c r="K695" s="1" t="s">
        <v>22</v>
      </c>
      <c r="L695" s="1" t="s">
        <v>3300</v>
      </c>
      <c r="M695" s="1">
        <v>3</v>
      </c>
      <c r="N695" s="1" t="s">
        <v>24</v>
      </c>
      <c r="O695" s="1" t="str">
        <f ca="1">IFERROR(__xludf.DUMMYFUNCTION("GOOGLETRANSLATE(N695,""pl"",""en"")"),"full ownership")</f>
        <v>full ownership</v>
      </c>
      <c r="P695" s="3" t="s">
        <v>3301</v>
      </c>
      <c r="Q695" s="1" t="b">
        <v>1</v>
      </c>
      <c r="R695" s="1" t="s">
        <v>3302</v>
      </c>
    </row>
    <row r="696" spans="1:18" x14ac:dyDescent="0.25">
      <c r="A696" s="2">
        <v>45308</v>
      </c>
      <c r="B696" s="1" t="s">
        <v>3303</v>
      </c>
      <c r="C696" s="1" t="str">
        <f ca="1">IFERROR(__xludf.DUMMYFUNCTION("GOOGLETRANSLATE(B696,""pl"",""en"")"),"2 % loan High discount price bargain")</f>
        <v>2 % loan High discount price bargain</v>
      </c>
      <c r="D696" s="1">
        <v>487790</v>
      </c>
      <c r="E696" s="1" t="s">
        <v>19</v>
      </c>
      <c r="F696" s="1">
        <v>51.7</v>
      </c>
      <c r="G696" s="1" t="s">
        <v>282</v>
      </c>
      <c r="H696" s="1" t="str">
        <f ca="1">IFERROR(__xludf.DUMMYFUNCTION("GOOGLETRANSLATE(G696,""pl"",""en"")"),"Orunia Górna - Gdańsk Południe, Gdańsk, Pomeranian Voivodeship")</f>
        <v>Orunia Górna - Gdańsk Południe, Gdańsk, Pomeranian Voivodeship</v>
      </c>
      <c r="I696" s="1" t="b">
        <v>1</v>
      </c>
      <c r="J696" s="1" t="s">
        <v>21</v>
      </c>
      <c r="K696" s="1" t="s">
        <v>22</v>
      </c>
      <c r="L696" s="1" t="s">
        <v>3304</v>
      </c>
      <c r="M696" s="1">
        <v>3</v>
      </c>
      <c r="N696" s="1" t="s">
        <v>24</v>
      </c>
      <c r="O696" s="1" t="str">
        <f ca="1">IFERROR(__xludf.DUMMYFUNCTION("GOOGLETRANSLATE(N696,""pl"",""en"")"),"full ownership")</f>
        <v>full ownership</v>
      </c>
      <c r="P696" s="3" t="s">
        <v>3305</v>
      </c>
      <c r="Q696" s="1" t="b">
        <v>1</v>
      </c>
      <c r="R696" s="1" t="s">
        <v>3306</v>
      </c>
    </row>
    <row r="697" spans="1:18" x14ac:dyDescent="0.25">
      <c r="A697" s="2">
        <v>45308</v>
      </c>
      <c r="B697" s="1" t="s">
        <v>3307</v>
      </c>
      <c r="C697" s="1" t="str">
        <f ca="1">IFERROR(__xludf.DUMMYFUNCTION("GOOGLETRANSLATE(B697,""pl"",""en"")"),"Furnished spacious apartment on Głębocka Street")</f>
        <v>Furnished spacious apartment on Głębocka Street</v>
      </c>
      <c r="D697" s="1">
        <v>810000</v>
      </c>
      <c r="E697" s="1" t="s">
        <v>33</v>
      </c>
      <c r="F697" s="1">
        <v>56</v>
      </c>
      <c r="G697" s="1" t="s">
        <v>3308</v>
      </c>
      <c r="H697" s="1" t="str">
        <f ca="1">IFERROR(__xludf.DUMMYFUNCTION("GOOGLETRANSLATE(G697,""pl"",""en"")"),"street. Głębocka, Grodzisk, Białołęka, Warsaw, Masovian Voivodeship")</f>
        <v>street. Głębocka, Grodzisk, Białołęka, Warsaw, Masovian Voivodeship</v>
      </c>
      <c r="I697" s="1" t="b">
        <v>1</v>
      </c>
      <c r="J697" s="1" t="s">
        <v>21</v>
      </c>
      <c r="K697" s="1" t="s">
        <v>22</v>
      </c>
      <c r="L697" s="1" t="s">
        <v>3309</v>
      </c>
      <c r="M697" s="1">
        <v>2</v>
      </c>
      <c r="N697" s="1" t="s">
        <v>24</v>
      </c>
      <c r="O697" s="1" t="str">
        <f ca="1">IFERROR(__xludf.DUMMYFUNCTION("GOOGLETRANSLATE(N697,""pl"",""en"")"),"full ownership")</f>
        <v>full ownership</v>
      </c>
      <c r="P697" s="3" t="s">
        <v>3310</v>
      </c>
      <c r="Q697" s="1" t="b">
        <v>1</v>
      </c>
      <c r="R697" s="1" t="s">
        <v>3311</v>
      </c>
    </row>
    <row r="698" spans="1:18" x14ac:dyDescent="0.25">
      <c r="A698" s="2">
        <v>45308</v>
      </c>
      <c r="B698" s="1" t="s">
        <v>3312</v>
      </c>
      <c r="C698" s="1" t="str">
        <f ca="1">IFERROR(__xludf.DUMMYFUNCTION("GOOGLETRANSLATE(B698,""pl"",""en"")"),"M4 in the highlands for sale")</f>
        <v>M4 in the highlands for sale</v>
      </c>
      <c r="D698" s="1">
        <v>310000</v>
      </c>
      <c r="E698" s="1" t="s">
        <v>33</v>
      </c>
      <c r="F698" s="1">
        <v>55.72</v>
      </c>
      <c r="G698" s="1" t="s">
        <v>3313</v>
      </c>
      <c r="H698" s="1" t="str">
        <f ca="1">IFERROR(__xludf.DUMMYFUNCTION("GOOGLETRANSLATE(G698,""pl"",""en"")"),"Uplands, Bydgoszcz, Kujawsko-Pomeranian Voivodeship")</f>
        <v>Uplands, Bydgoszcz, Kujawsko-Pomeranian Voivodeship</v>
      </c>
      <c r="I698" s="1" t="s">
        <v>21</v>
      </c>
      <c r="J698" s="1" t="s">
        <v>21</v>
      </c>
      <c r="K698" s="1" t="s">
        <v>22</v>
      </c>
      <c r="L698" s="1" t="s">
        <v>3314</v>
      </c>
      <c r="M698" s="1">
        <v>3</v>
      </c>
      <c r="N698" s="1" t="s">
        <v>24</v>
      </c>
      <c r="O698" s="1" t="str">
        <f ca="1">IFERROR(__xludf.DUMMYFUNCTION("GOOGLETRANSLATE(N698,""pl"",""en"")"),"full ownership")</f>
        <v>full ownership</v>
      </c>
      <c r="P698" s="3" t="s">
        <v>3315</v>
      </c>
      <c r="Q698" s="1" t="b">
        <v>1</v>
      </c>
      <c r="R698" s="1" t="s">
        <v>3316</v>
      </c>
    </row>
    <row r="699" spans="1:18" x14ac:dyDescent="0.25">
      <c r="A699" s="2">
        <v>45308</v>
      </c>
      <c r="B699" s="1" t="s">
        <v>3317</v>
      </c>
      <c r="C699" s="1" t="str">
        <f ca="1">IFERROR(__xludf.DUMMYFUNCTION("GOOGLETRANSLATE(B699,""pl"",""en"")"),"Intimate buildings | Green surroundings | to start")</f>
        <v>Intimate buildings | Green surroundings | to start</v>
      </c>
      <c r="D699" s="1">
        <v>474700</v>
      </c>
      <c r="E699" s="1" t="s">
        <v>19</v>
      </c>
      <c r="F699" s="1">
        <v>35.299999999999997</v>
      </c>
      <c r="G699" s="1" t="s">
        <v>3318</v>
      </c>
      <c r="H699" s="1" t="str">
        <f ca="1">IFERROR(__xludf.DUMMYFUNCTION("GOOGLETRANSLATE(G699,""pl"",""en"")"),"Księże, Krzyki, Wrocław, DolnoSilesian Voivodeship")</f>
        <v>Księże, Krzyki, Wrocław, DolnoSilesian Voivodeship</v>
      </c>
      <c r="I699" s="1" t="s">
        <v>21</v>
      </c>
      <c r="J699" s="1" t="s">
        <v>21</v>
      </c>
      <c r="K699" s="1" t="s">
        <v>22</v>
      </c>
      <c r="L699" s="1" t="s">
        <v>3319</v>
      </c>
      <c r="M699" s="1">
        <v>2</v>
      </c>
      <c r="N699" s="1" t="s">
        <v>24</v>
      </c>
      <c r="O699" s="1" t="str">
        <f ca="1">IFERROR(__xludf.DUMMYFUNCTION("GOOGLETRANSLATE(N699,""pl"",""en"")"),"full ownership")</f>
        <v>full ownership</v>
      </c>
      <c r="P699" s="3" t="s">
        <v>3320</v>
      </c>
      <c r="Q699" s="1" t="b">
        <v>1</v>
      </c>
      <c r="R699" s="1" t="s">
        <v>3321</v>
      </c>
    </row>
    <row r="700" spans="1:18" x14ac:dyDescent="0.25">
      <c r="A700" s="2">
        <v>45308</v>
      </c>
      <c r="B700" s="1" t="s">
        <v>3322</v>
      </c>
      <c r="C700" s="1" t="str">
        <f ca="1">IFERROR(__xludf.DUMMYFUNCTION("GOOGLETRANSLATE(B700,""pl"",""en"")"),"Four rooms in Oporów. Everything you need!")</f>
        <v>Four rooms in Oporów. Everything you need!</v>
      </c>
      <c r="D700" s="1">
        <v>789123</v>
      </c>
      <c r="E700" s="1" t="s">
        <v>19</v>
      </c>
      <c r="F700" s="1">
        <v>68.209999999999994</v>
      </c>
      <c r="G700" s="1" t="s">
        <v>3323</v>
      </c>
      <c r="H700" s="1" t="str">
        <f ca="1">IFERROR(__xludf.DUMMYFUNCTION("GOOGLETRANSLATE(G700,""pl"",""en"")"),"street. Jordanowska, Oporów, Fabryczna, Wrocław, DolnoSilesian Voivodeship")</f>
        <v>street. Jordanowska, Oporów, Fabryczna, Wrocław, DolnoSilesian Voivodeship</v>
      </c>
      <c r="I700" s="1" t="s">
        <v>21</v>
      </c>
      <c r="J700" s="1" t="s">
        <v>21</v>
      </c>
      <c r="K700" s="1" t="s">
        <v>22</v>
      </c>
      <c r="L700" s="1" t="s">
        <v>3324</v>
      </c>
      <c r="M700" s="1">
        <v>4</v>
      </c>
      <c r="N700" s="1" t="s">
        <v>24</v>
      </c>
      <c r="O700" s="1" t="str">
        <f ca="1">IFERROR(__xludf.DUMMYFUNCTION("GOOGLETRANSLATE(N700,""pl"",""en"")"),"full ownership")</f>
        <v>full ownership</v>
      </c>
      <c r="P700" s="3" t="s">
        <v>3325</v>
      </c>
      <c r="Q700" s="1" t="b">
        <v>1</v>
      </c>
      <c r="R700" s="1" t="s">
        <v>3326</v>
      </c>
    </row>
    <row r="701" spans="1:18" x14ac:dyDescent="0.25">
      <c r="A701" s="2">
        <v>45308</v>
      </c>
      <c r="B701" s="1" t="s">
        <v>3327</v>
      </c>
      <c r="C701" s="1" t="str">
        <f ca="1">IFERROR(__xludf.DUMMYFUNCTION("GOOGLETRANSLATE(B701,""pl"",""en"")"),"Package of 5 apartments in Sopot Dolny")</f>
        <v>Package of 5 apartments in Sopot Dolny</v>
      </c>
      <c r="D701" s="1">
        <v>3100000</v>
      </c>
      <c r="E701" s="1" t="s">
        <v>33</v>
      </c>
      <c r="F701" s="1">
        <v>120</v>
      </c>
      <c r="G701" s="1" t="s">
        <v>3328</v>
      </c>
      <c r="H701" s="1" t="str">
        <f ca="1">IFERROR(__xludf.DUMMYFUNCTION("GOOGLETRANSLATE(G701,""pl"",""en"")"),"street. Józef Czyżewski, Centrum, Dolny Sopot, Sopot, Pomeranian Voivodeship")</f>
        <v>street. Józef Czyżewski, Centrum, Dolny Sopot, Sopot, Pomeranian Voivodeship</v>
      </c>
      <c r="I701" s="1" t="s">
        <v>21</v>
      </c>
      <c r="J701" s="1" t="s">
        <v>21</v>
      </c>
      <c r="K701" s="1" t="s">
        <v>22</v>
      </c>
      <c r="L701" s="1" t="s">
        <v>3329</v>
      </c>
      <c r="M701" s="1">
        <v>6</v>
      </c>
      <c r="N701" s="1" t="s">
        <v>24</v>
      </c>
      <c r="O701" s="1" t="str">
        <f ca="1">IFERROR(__xludf.DUMMYFUNCTION("GOOGLETRANSLATE(N701,""pl"",""en"")"),"full ownership")</f>
        <v>full ownership</v>
      </c>
      <c r="P701" s="3" t="s">
        <v>3330</v>
      </c>
      <c r="Q701" s="1" t="b">
        <v>1</v>
      </c>
      <c r="R701" s="1" t="s">
        <v>3331</v>
      </c>
    </row>
    <row r="702" spans="1:18" x14ac:dyDescent="0.25">
      <c r="A702" s="2">
        <v>45308</v>
      </c>
      <c r="B702" s="1" t="s">
        <v>3332</v>
      </c>
      <c r="C702" s="1" t="str">
        <f ca="1">IFERROR(__xludf.DUMMYFUNCTION("GOOGLETRANSLATE(B702,""pl"",""en"")"),"ul. Lubraniecka, ground floor, 35.2m2, 2 rooms")</f>
        <v>ul. Lubraniecka, ground floor, 35.2m2, 2 rooms</v>
      </c>
      <c r="D702" s="1">
        <v>160000</v>
      </c>
      <c r="E702" s="1" t="s">
        <v>33</v>
      </c>
      <c r="F702" s="1">
        <v>35.200000000000003</v>
      </c>
      <c r="G702" s="1" t="s">
        <v>3333</v>
      </c>
      <c r="H702" s="1" t="str">
        <f ca="1">IFERROR(__xludf.DUMMYFUNCTION("GOOGLETRANSLATE(G702,""pl"",""en"")"),"street. Lubraniecka, Elbląg, Warmian-Masurian Voivodeship")</f>
        <v>street. Lubraniecka, Elbląg, Warmian-Masurian Voivodeship</v>
      </c>
      <c r="I702" s="1" t="s">
        <v>21</v>
      </c>
      <c r="J702" s="1" t="s">
        <v>21</v>
      </c>
      <c r="K702" s="1" t="s">
        <v>45</v>
      </c>
      <c r="L702" s="1" t="s">
        <v>3334</v>
      </c>
      <c r="M702" s="1">
        <v>2</v>
      </c>
      <c r="N702" s="1" t="s">
        <v>24</v>
      </c>
      <c r="O702" s="1" t="str">
        <f ca="1">IFERROR(__xludf.DUMMYFUNCTION("GOOGLETRANSLATE(N702,""pl"",""en"")"),"full ownership")</f>
        <v>full ownership</v>
      </c>
      <c r="P702" s="3" t="s">
        <v>3335</v>
      </c>
      <c r="Q702" s="1" t="b">
        <v>1</v>
      </c>
      <c r="R702" s="1" t="s">
        <v>3336</v>
      </c>
    </row>
    <row r="703" spans="1:18" x14ac:dyDescent="0.25">
      <c r="A703" s="2">
        <v>45173</v>
      </c>
      <c r="B703" s="1" t="s">
        <v>1607</v>
      </c>
      <c r="C703" s="1" t="str">
        <f ca="1">IFERROR(__xludf.DUMMYFUNCTION("GOOGLETRANSLATE(B703,""pl"",""en"")"),"Turnkey apartment 100 m to the beach, 4th stage")</f>
        <v>Turnkey apartment 100 m to the beach, 4th stage</v>
      </c>
      <c r="D703" s="1">
        <v>664987</v>
      </c>
      <c r="E703" s="1" t="s">
        <v>19</v>
      </c>
      <c r="F703" s="1">
        <v>44.63</v>
      </c>
      <c r="G703" s="1" t="s">
        <v>1608</v>
      </c>
      <c r="H703" s="1" t="str">
        <f ca="1">IFERROR(__xludf.DUMMYFUNCTION("GOOGLETRANSLATE(G703,""pl"",""en"")"),"Grzybowo, Kołobrzeg, Kołobrzeski, West Pomeranian Voivodeship")</f>
        <v>Grzybowo, Kołobrzeg, Kołobrzeski, West Pomeranian Voivodeship</v>
      </c>
      <c r="I703" s="1" t="s">
        <v>21</v>
      </c>
      <c r="J703" s="1" t="s">
        <v>21</v>
      </c>
      <c r="K703" s="1" t="s">
        <v>22</v>
      </c>
      <c r="L703" s="1" t="s">
        <v>3337</v>
      </c>
      <c r="M703" s="1">
        <v>2</v>
      </c>
      <c r="N703" s="1" t="s">
        <v>24</v>
      </c>
      <c r="O703" s="1" t="str">
        <f ca="1">IFERROR(__xludf.DUMMYFUNCTION("GOOGLETRANSLATE(N703,""pl"",""en"")"),"full ownership")</f>
        <v>full ownership</v>
      </c>
      <c r="P703" s="3" t="s">
        <v>3338</v>
      </c>
      <c r="Q703" s="1" t="b">
        <v>1</v>
      </c>
      <c r="R703" s="1" t="s">
        <v>3339</v>
      </c>
    </row>
    <row r="704" spans="1:18" x14ac:dyDescent="0.25">
      <c r="A704" s="2">
        <v>45173</v>
      </c>
      <c r="B704" s="1" t="s">
        <v>2062</v>
      </c>
      <c r="C704" s="1" t="str">
        <f ca="1">IFERROR(__xludf.DUMMYFUNCTION("GOOGLETRANSLATE(B704,""pl"",""en"")"),"Apartment Sunday resort Ustronie Morskie")</f>
        <v>Apartment Sunday resort Ustronie Morskie</v>
      </c>
      <c r="D704" s="1">
        <v>471064</v>
      </c>
      <c r="E704" s="1" t="s">
        <v>19</v>
      </c>
      <c r="F704" s="1">
        <v>38.94</v>
      </c>
      <c r="G704" s="1" t="s">
        <v>1988</v>
      </c>
      <c r="H704" s="1" t="str">
        <f ca="1">IFERROR(__xludf.DUMMYFUNCTION("GOOGLETRANSLATE(G704,""pl"",""en"")"),"street. Polna, Ustronie Morskie, Ustronie Morskie, Kołobrzeski, West Pomeranian Voivodeship")</f>
        <v>street. Polna, Ustronie Morskie, Ustronie Morskie, Kołobrzeski, West Pomeranian Voivodeship</v>
      </c>
      <c r="I704" s="1" t="s">
        <v>21</v>
      </c>
      <c r="J704" s="1" t="s">
        <v>21</v>
      </c>
      <c r="K704" s="1" t="s">
        <v>194</v>
      </c>
      <c r="L704" s="1" t="s">
        <v>3340</v>
      </c>
      <c r="M704" s="1">
        <v>2</v>
      </c>
      <c r="N704" s="1" t="s">
        <v>24</v>
      </c>
      <c r="O704" s="1" t="str">
        <f ca="1">IFERROR(__xludf.DUMMYFUNCTION("GOOGLETRANSLATE(N704,""pl"",""en"")"),"full ownership")</f>
        <v>full ownership</v>
      </c>
      <c r="P704" s="3" t="s">
        <v>3341</v>
      </c>
      <c r="Q704" s="1" t="b">
        <v>1</v>
      </c>
      <c r="R704" s="1" t="s">
        <v>3342</v>
      </c>
    </row>
    <row r="705" spans="1:18" x14ac:dyDescent="0.25">
      <c r="A705" s="2">
        <v>45173</v>
      </c>
      <c r="B705" s="1" t="s">
        <v>3343</v>
      </c>
      <c r="C705" s="1" t="str">
        <f ca="1">IFERROR(__xludf.DUMMYFUNCTION("GOOGLETRANSLATE(B705,""pl"",""en"")"),"61.18 m-3 floor/0%PCC/3 rooms/elevator/bona")</f>
        <v>61.18 m-3 floor/0%PCC/3 rooms/elevator/bona</v>
      </c>
      <c r="D705" s="1">
        <v>456000</v>
      </c>
      <c r="E705" s="1" t="s">
        <v>19</v>
      </c>
      <c r="F705" s="1">
        <v>61.18</v>
      </c>
      <c r="G705" s="1" t="s">
        <v>3344</v>
      </c>
      <c r="H705" s="1" t="str">
        <f ca="1">IFERROR(__xludf.DUMMYFUNCTION("GOOGLETRANSLATE(G705,""pl"",""en"")"),"Queen Bona, Świecie, Świecie, Świecki, Kujawsko-Pomeranian Voivodeship")</f>
        <v>Queen Bona, Świecie, Świecie, Świecki, Kujawsko-Pomeranian Voivodeship</v>
      </c>
      <c r="I705" s="1" t="s">
        <v>21</v>
      </c>
      <c r="J705" s="1" t="s">
        <v>21</v>
      </c>
      <c r="K705" s="1" t="s">
        <v>22</v>
      </c>
      <c r="L705" s="1" t="s">
        <v>3345</v>
      </c>
      <c r="M705" s="1">
        <v>3</v>
      </c>
      <c r="N705" s="1" t="s">
        <v>24</v>
      </c>
      <c r="O705" s="1" t="str">
        <f ca="1">IFERROR(__xludf.DUMMYFUNCTION("GOOGLETRANSLATE(N705,""pl"",""en"")"),"full ownership")</f>
        <v>full ownership</v>
      </c>
      <c r="P705" s="3" t="s">
        <v>3346</v>
      </c>
      <c r="Q705" s="1" t="b">
        <v>1</v>
      </c>
      <c r="R705" s="1" t="s">
        <v>3347</v>
      </c>
    </row>
    <row r="706" spans="1:18" x14ac:dyDescent="0.25">
      <c r="A706" s="2">
        <v>45173</v>
      </c>
      <c r="B706" s="1" t="s">
        <v>3348</v>
      </c>
      <c r="C706" s="1" t="str">
        <f ca="1">IFERROR(__xludf.DUMMYFUNCTION("GOOGLETRANSLATE(B706,""pl"",""en"")"),"Apartment on one of the highest floors!")</f>
        <v>Apartment on one of the highest floors!</v>
      </c>
      <c r="D706" s="1">
        <v>20000000</v>
      </c>
      <c r="E706" s="1" t="s">
        <v>33</v>
      </c>
      <c r="F706" s="1">
        <v>208.4</v>
      </c>
      <c r="G706" s="1" t="s">
        <v>2412</v>
      </c>
      <c r="H706" s="1" t="str">
        <f ca="1">IFERROR(__xludf.DUMMYFUNCTION("GOOGLETRANSLATE(G706,""pl"",""en"")"),"street. Złota, Śródmieście North, Śródmieście, Warsaw, Masovian Voivodeship")</f>
        <v>street. Złota, Śródmieście North, Śródmieście, Warsaw, Masovian Voivodeship</v>
      </c>
      <c r="I706" s="1" t="s">
        <v>21</v>
      </c>
      <c r="J706" s="1" t="s">
        <v>21</v>
      </c>
      <c r="K706" s="1" t="s">
        <v>22</v>
      </c>
      <c r="L706" s="1" t="s">
        <v>3349</v>
      </c>
      <c r="M706" s="1">
        <v>4</v>
      </c>
      <c r="N706" s="1" t="s">
        <v>24</v>
      </c>
      <c r="O706" s="1" t="str">
        <f ca="1">IFERROR(__xludf.DUMMYFUNCTION("GOOGLETRANSLATE(N706,""pl"",""en"")"),"full ownership")</f>
        <v>full ownership</v>
      </c>
      <c r="P706" s="3" t="s">
        <v>3350</v>
      </c>
      <c r="Q706" s="1" t="b">
        <v>1</v>
      </c>
      <c r="R706" s="1" t="s">
        <v>3351</v>
      </c>
    </row>
    <row r="707" spans="1:18" x14ac:dyDescent="0.25">
      <c r="A707" s="2">
        <v>45308</v>
      </c>
      <c r="B707" s="1" t="s">
        <v>3352</v>
      </c>
      <c r="C707" s="1" t="str">
        <f ca="1">IFERROR(__xludf.DUMMYFUNCTION("GOOGLETRANSLATE(B707,""pl"",""en"")"),"2-room apartment with a balcony, close to the tram")</f>
        <v>2-room apartment with a balcony, close to the tram</v>
      </c>
      <c r="D707" s="1">
        <v>469260</v>
      </c>
      <c r="E707" s="1" t="s">
        <v>19</v>
      </c>
      <c r="F707" s="1">
        <v>42.66</v>
      </c>
      <c r="G707" s="1" t="s">
        <v>4793</v>
      </c>
      <c r="H707" s="1" t="str">
        <f ca="1">IFERROR(__xludf.DUMMYFUNCTION("GOOGLETRANSLATE(G707,""pl"",""en"")"),"Winogrady, Old Town, Poznań, Greater Poland")</f>
        <v>Winogrady, Old Town, Poznań, Greater Poland</v>
      </c>
      <c r="I707" s="1" t="s">
        <v>21</v>
      </c>
      <c r="J707" s="1" t="s">
        <v>21</v>
      </c>
      <c r="K707" s="1" t="s">
        <v>22</v>
      </c>
      <c r="L707" s="1" t="s">
        <v>3353</v>
      </c>
      <c r="M707" s="1">
        <v>2</v>
      </c>
      <c r="N707" s="1" t="s">
        <v>24</v>
      </c>
      <c r="O707" s="1" t="str">
        <f ca="1">IFERROR(__xludf.DUMMYFUNCTION("GOOGLETRANSLATE(N707,""pl"",""en"")"),"full ownership")</f>
        <v>full ownership</v>
      </c>
      <c r="P707" s="3" t="s">
        <v>3354</v>
      </c>
      <c r="Q707" s="1" t="b">
        <v>1</v>
      </c>
      <c r="R707" s="1" t="s">
        <v>3355</v>
      </c>
    </row>
    <row r="708" spans="1:18" x14ac:dyDescent="0.25">
      <c r="A708" s="2">
        <v>45308</v>
      </c>
      <c r="B708" s="1" t="s">
        <v>3356</v>
      </c>
      <c r="C708" s="1" t="str">
        <f ca="1">IFERROR(__xludf.DUMMYFUNCTION("GOOGLETRANSLATE(B708,""pl"",""en"")"),"4 rooms in new construction")</f>
        <v>4 rooms in new construction</v>
      </c>
      <c r="D708" s="1">
        <v>1247000</v>
      </c>
      <c r="E708" s="1" t="s">
        <v>33</v>
      </c>
      <c r="F708" s="1">
        <v>60</v>
      </c>
      <c r="G708" s="1" t="s">
        <v>4794</v>
      </c>
      <c r="H708" s="1" t="str">
        <f ca="1">IFERROR(__xludf.DUMMYFUNCTION("GOOGLETRANSLATE(G708,""pl"",""en"")"),"street. Stanisław Przybyszewski, Małe Błonia, Krowodrza, Kraków, Lesser Poland")</f>
        <v>street. Stanisław Przybyszewski, Małe Błonia, Krowodrza, Kraków, Lesser Poland</v>
      </c>
      <c r="I708" s="1" t="s">
        <v>21</v>
      </c>
      <c r="J708" s="1" t="s">
        <v>21</v>
      </c>
      <c r="K708" s="1" t="s">
        <v>22</v>
      </c>
      <c r="L708" s="1" t="s">
        <v>3357</v>
      </c>
      <c r="M708" s="1">
        <v>4</v>
      </c>
      <c r="N708" s="1" t="s">
        <v>24</v>
      </c>
      <c r="O708" s="1" t="str">
        <f ca="1">IFERROR(__xludf.DUMMYFUNCTION("GOOGLETRANSLATE(N708,""pl"",""en"")"),"full ownership")</f>
        <v>full ownership</v>
      </c>
      <c r="P708" s="3" t="s">
        <v>3358</v>
      </c>
      <c r="Q708" s="1" t="b">
        <v>1</v>
      </c>
      <c r="R708" s="1" t="s">
        <v>3359</v>
      </c>
    </row>
    <row r="709" spans="1:18" x14ac:dyDescent="0.25">
      <c r="A709" s="2">
        <v>45308</v>
      </c>
      <c r="B709" s="1" t="s">
        <v>3360</v>
      </c>
      <c r="C709" s="1" t="str">
        <f ca="1">IFERROR(__xludf.DUMMYFUNCTION("GOOGLETRANSLATE(B709,""pl"",""en"")"),"Apartment 36m2 CHANCE! Ursynów*large rate of return")</f>
        <v>Apartment 36m2 CHANCE! Ursynów*large rate of return</v>
      </c>
      <c r="D709" s="1">
        <v>592453</v>
      </c>
      <c r="E709" s="1" t="s">
        <v>19</v>
      </c>
      <c r="F709" s="1">
        <v>35.020000000000003</v>
      </c>
      <c r="G709" s="1" t="s">
        <v>3361</v>
      </c>
      <c r="H709" s="1" t="str">
        <f ca="1">IFERROR(__xludf.DUMMYFUNCTION("GOOGLETRANSLATE(G709,""pl"",""en"")"),"street. rtm. Witolda Pilecki, Stary Imielin, Ursynów, Warsaw, Masovian Voivodeship")</f>
        <v>street. rtm. Witolda Pilecki, Stary Imielin, Ursynów, Warsaw, Masovian Voivodeship</v>
      </c>
      <c r="I709" s="1" t="s">
        <v>21</v>
      </c>
      <c r="J709" s="1" t="s">
        <v>21</v>
      </c>
      <c r="K709" s="1" t="s">
        <v>22</v>
      </c>
      <c r="L709" s="1" t="s">
        <v>3362</v>
      </c>
      <c r="M709" s="1">
        <v>2</v>
      </c>
      <c r="N709" s="1" t="s">
        <v>24</v>
      </c>
      <c r="O709" s="1" t="str">
        <f ca="1">IFERROR(__xludf.DUMMYFUNCTION("GOOGLETRANSLATE(N709,""pl"",""en"")"),"full ownership")</f>
        <v>full ownership</v>
      </c>
      <c r="P709" s="3" t="s">
        <v>3363</v>
      </c>
      <c r="Q709" s="1" t="b">
        <v>1</v>
      </c>
      <c r="R709" s="1" t="s">
        <v>3364</v>
      </c>
    </row>
    <row r="710" spans="1:18" x14ac:dyDescent="0.25">
      <c r="A710" s="2">
        <v>45308</v>
      </c>
      <c r="B710" s="1" t="s">
        <v>3365</v>
      </c>
      <c r="C710" s="1" t="str">
        <f ca="1">IFERROR(__xludf.DUMMYFUNCTION("GOOGLETRANSLATE(B710,""pl"",""en"")"),"Szczecin Centrum- studio apartment for sale")</f>
        <v>Szczecin Centrum- studio apartment for sale</v>
      </c>
      <c r="D710" s="1">
        <v>324900</v>
      </c>
      <c r="E710" s="1" t="s">
        <v>33</v>
      </c>
      <c r="F710" s="1">
        <v>30.65</v>
      </c>
      <c r="G710" s="1" t="s">
        <v>3366</v>
      </c>
      <c r="H710" s="1" t="str">
        <f ca="1">IFERROR(__xludf.DUMMYFUNCTION("GOOGLETRANSLATE(G710,""pl"",""en"")"),"Jankowice, Krośniewice, Kutnowski, Łódź")</f>
        <v>Jankowice, Krośniewice, Kutnowski, Łódź</v>
      </c>
      <c r="I710" s="1" t="s">
        <v>21</v>
      </c>
      <c r="J710" s="1" t="s">
        <v>21</v>
      </c>
      <c r="K710" s="1" t="s">
        <v>22</v>
      </c>
      <c r="L710" s="1" t="s">
        <v>3367</v>
      </c>
      <c r="M710" s="1">
        <v>1</v>
      </c>
      <c r="N710" s="1" t="s">
        <v>24</v>
      </c>
      <c r="O710" s="1" t="str">
        <f ca="1">IFERROR(__xludf.DUMMYFUNCTION("GOOGLETRANSLATE(N710,""pl"",""en"")"),"full ownership")</f>
        <v>full ownership</v>
      </c>
      <c r="P710" s="3" t="s">
        <v>3368</v>
      </c>
      <c r="Q710" s="1" t="b">
        <v>1</v>
      </c>
      <c r="R710" s="1" t="s">
        <v>3369</v>
      </c>
    </row>
    <row r="711" spans="1:18" x14ac:dyDescent="0.25">
      <c r="A711" s="2">
        <v>45308</v>
      </c>
      <c r="B711" s="1" t="s">
        <v>3370</v>
      </c>
      <c r="C711" s="1" t="str">
        <f ca="1">IFERROR(__xludf.DUMMYFUNCTION("GOOGLETRANSLATE(B711,""pl"",""en"")"),"House in the center of Chełm. Poviat total 290m2/ 150m2m")</f>
        <v>House in the center of Chełm. Poviat total 290m2/ 150m2m</v>
      </c>
      <c r="D711" s="1">
        <v>650000</v>
      </c>
      <c r="E711" s="1" t="s">
        <v>33</v>
      </c>
      <c r="F711" s="1">
        <v>290</v>
      </c>
      <c r="G711" s="1" t="s">
        <v>3371</v>
      </c>
      <c r="H711" s="1" t="str">
        <f ca="1">IFERROR(__xludf.DUMMYFUNCTION("GOOGLETRANSLATE(G711,""pl"",""en"")"),"street. Lipowa, Chełm, Lublin Voivodeship")</f>
        <v>street. Lipowa, Chełm, Lublin Voivodeship</v>
      </c>
      <c r="I711" s="1" t="b">
        <v>1</v>
      </c>
      <c r="J711" s="1" t="s">
        <v>21</v>
      </c>
      <c r="K711" s="1" t="s">
        <v>22</v>
      </c>
      <c r="L711" s="1" t="s">
        <v>3372</v>
      </c>
      <c r="M711" s="1">
        <v>7</v>
      </c>
      <c r="N711" s="1" t="s">
        <v>21</v>
      </c>
      <c r="O711" s="1" t="str">
        <f ca="1">IFERROR(__xludf.DUMMYFUNCTION("GOOGLETRANSLATE(N711,""pl"",""en"")"),"null")</f>
        <v>null</v>
      </c>
      <c r="P711" s="3" t="s">
        <v>3373</v>
      </c>
      <c r="Q711" s="1" t="b">
        <v>1</v>
      </c>
      <c r="R711" s="1" t="s">
        <v>3374</v>
      </c>
    </row>
    <row r="712" spans="1:18" x14ac:dyDescent="0.25">
      <c r="A712" s="2">
        <v>45173</v>
      </c>
      <c r="B712" s="1" t="s">
        <v>3375</v>
      </c>
      <c r="C712" s="1" t="str">
        <f ca="1">IFERROR(__xludf.DUMMYFUNCTION("GOOGLETRANSLATE(B712,""pl"",""en"")"),"Apartment with a beautiful view, garden and terrace")</f>
        <v>Apartment with a beautiful view, garden and terrace</v>
      </c>
      <c r="D712" s="1">
        <v>1088000</v>
      </c>
      <c r="E712" s="1" t="s">
        <v>33</v>
      </c>
      <c r="F712" s="1">
        <v>99.66</v>
      </c>
      <c r="G712" s="1" t="s">
        <v>3376</v>
      </c>
      <c r="H712" s="1" t="str">
        <f ca="1">IFERROR(__xludf.DUMMYFUNCTION("GOOGLETRANSLATE(G712,""pl"",""en"")"),"street. Warszawska, Rewal, Rewal, Gryficki, ZachodnioPomeranian Voivodeship")</f>
        <v>street. Warszawska, Rewal, Rewal, Gryficki, ZachodnioPomeranian Voivodeship</v>
      </c>
      <c r="I712" s="1" t="s">
        <v>21</v>
      </c>
      <c r="J712" s="1" t="s">
        <v>21</v>
      </c>
      <c r="K712" s="1" t="s">
        <v>22</v>
      </c>
      <c r="L712" s="1" t="s">
        <v>3377</v>
      </c>
      <c r="M712" s="1">
        <v>5</v>
      </c>
      <c r="N712" s="1" t="s">
        <v>24</v>
      </c>
      <c r="O712" s="1" t="str">
        <f ca="1">IFERROR(__xludf.DUMMYFUNCTION("GOOGLETRANSLATE(N712,""pl"",""en"")"),"full ownership")</f>
        <v>full ownership</v>
      </c>
      <c r="P712" s="3" t="s">
        <v>3378</v>
      </c>
      <c r="Q712" s="1" t="b">
        <v>1</v>
      </c>
      <c r="R712" s="1" t="s">
        <v>3379</v>
      </c>
    </row>
    <row r="713" spans="1:18" x14ac:dyDescent="0.25">
      <c r="A713" s="2">
        <v>45173</v>
      </c>
      <c r="B713" s="1" t="s">
        <v>3380</v>
      </c>
      <c r="C713" s="1" t="str">
        <f ca="1">IFERROR(__xludf.DUMMYFUNCTION("GOOGLETRANSLATE(B713,""pl"",""en"")"),"Apartment on the Sea Dębina - I shoreline")</f>
        <v>Apartment on the Sea Dębina - I shoreline</v>
      </c>
      <c r="D713" s="1">
        <v>489500</v>
      </c>
      <c r="E713" s="1" t="s">
        <v>19</v>
      </c>
      <c r="F713" s="1">
        <v>60.14</v>
      </c>
      <c r="G713" s="1" t="s">
        <v>3381</v>
      </c>
      <c r="H713" s="1" t="str">
        <f ca="1">IFERROR(__xludf.DUMMYFUNCTION("GOOGLETRANSLATE(G713,""pl"",""en"")"),"street. Modrzewiowa, Dębina, Ustka, Słupski, Pomeranian")</f>
        <v>street. Modrzewiowa, Dębina, Ustka, Słupski, Pomeranian</v>
      </c>
      <c r="I713" s="1" t="s">
        <v>21</v>
      </c>
      <c r="J713" s="1" t="s">
        <v>21</v>
      </c>
      <c r="K713" s="1" t="s">
        <v>194</v>
      </c>
      <c r="L713" s="1" t="s">
        <v>3382</v>
      </c>
      <c r="M713" s="1">
        <v>4</v>
      </c>
      <c r="N713" s="1" t="s">
        <v>24</v>
      </c>
      <c r="O713" s="1" t="str">
        <f ca="1">IFERROR(__xludf.DUMMYFUNCTION("GOOGLETRANSLATE(N713,""pl"",""en"")"),"full ownership")</f>
        <v>full ownership</v>
      </c>
      <c r="P713" s="3" t="s">
        <v>3383</v>
      </c>
      <c r="Q713" s="1" t="b">
        <v>1</v>
      </c>
      <c r="R713" s="1" t="s">
        <v>3384</v>
      </c>
    </row>
    <row r="714" spans="1:18" x14ac:dyDescent="0.25">
      <c r="A714" s="2">
        <v>45173</v>
      </c>
      <c r="B714" s="1" t="s">
        <v>1812</v>
      </c>
      <c r="C714" s="1" t="str">
        <f ca="1">IFERROR(__xludf.DUMMYFUNCTION("GOOGLETRANSLATE(B714,""pl"",""en"")"),"A20 - spacious 2 rooms + balcony")</f>
        <v>A20 - spacious 2 rooms + balcony</v>
      </c>
      <c r="D714" s="1">
        <v>348308</v>
      </c>
      <c r="E714" s="1" t="s">
        <v>19</v>
      </c>
      <c r="F714" s="1">
        <v>45.83</v>
      </c>
      <c r="G714" s="1" t="s">
        <v>1808</v>
      </c>
      <c r="H714" s="1" t="str">
        <f ca="1">IFERROR(__xludf.DUMMYFUNCTION("GOOGLETRANSLATE(G714,""pl"",""en"")"),"street. Augustyna Weltzla, Żory, Silesian Voivodeship")</f>
        <v>street. Augustyna Weltzla, Żory, Silesian Voivodeship</v>
      </c>
      <c r="I714" s="1" t="s">
        <v>21</v>
      </c>
      <c r="J714" s="1" t="s">
        <v>21</v>
      </c>
      <c r="K714" s="1" t="s">
        <v>194</v>
      </c>
      <c r="L714" s="1" t="s">
        <v>1813</v>
      </c>
      <c r="M714" s="1">
        <v>2</v>
      </c>
      <c r="N714" s="1" t="s">
        <v>24</v>
      </c>
      <c r="O714" s="1" t="str">
        <f ca="1">IFERROR(__xludf.DUMMYFUNCTION("GOOGLETRANSLATE(N714,""pl"",""en"")"),"full ownership")</f>
        <v>full ownership</v>
      </c>
      <c r="P714" s="3" t="s">
        <v>3385</v>
      </c>
      <c r="Q714" s="1" t="b">
        <v>1</v>
      </c>
      <c r="R714" s="1" t="s">
        <v>1815</v>
      </c>
    </row>
    <row r="715" spans="1:18" x14ac:dyDescent="0.25">
      <c r="A715" s="2">
        <v>45173</v>
      </c>
      <c r="B715" s="1" t="s">
        <v>3386</v>
      </c>
      <c r="C715" s="1" t="str">
        <f ca="1">IFERROR(__xludf.DUMMYFUNCTION("GOOGLETRANSLATE(B715,""pl"",""en"")"),"4 rooms Panorama of Kwiatkowski NG Development")</f>
        <v>4 rooms Panorama of Kwiatkowski NG Development</v>
      </c>
      <c r="D715" s="1">
        <v>879630</v>
      </c>
      <c r="E715" s="1" t="s">
        <v>19</v>
      </c>
      <c r="F715" s="1">
        <v>80.7</v>
      </c>
      <c r="G715" s="1" t="s">
        <v>2173</v>
      </c>
      <c r="H715" s="1" t="str">
        <f ca="1">IFERROR(__xludf.DUMMYFUNCTION("GOOGLETRANSLATE(G715,""pl"",""en"")"),"street. Eugeniusz Kwiatkowski, Drabinianka, Rzeszów, Podkarpackie")</f>
        <v>street. Eugeniusz Kwiatkowski, Drabinianka, Rzeszów, Podkarpackie</v>
      </c>
      <c r="I715" s="1" t="s">
        <v>21</v>
      </c>
      <c r="J715" s="1" t="s">
        <v>21</v>
      </c>
      <c r="K715" s="1" t="s">
        <v>194</v>
      </c>
      <c r="L715" s="1" t="s">
        <v>3387</v>
      </c>
      <c r="M715" s="1">
        <v>4</v>
      </c>
      <c r="N715" s="1" t="s">
        <v>24</v>
      </c>
      <c r="O715" s="1" t="str">
        <f ca="1">IFERROR(__xludf.DUMMYFUNCTION("GOOGLETRANSLATE(N715,""pl"",""en"")"),"full ownership")</f>
        <v>full ownership</v>
      </c>
      <c r="P715" s="3" t="s">
        <v>3388</v>
      </c>
      <c r="Q715" s="1" t="b">
        <v>1</v>
      </c>
      <c r="R715" s="1" t="s">
        <v>3389</v>
      </c>
    </row>
    <row r="716" spans="1:18" x14ac:dyDescent="0.25">
      <c r="A716" s="2">
        <v>45173</v>
      </c>
      <c r="B716" s="1" t="s">
        <v>3390</v>
      </c>
      <c r="C716" s="1" t="str">
        <f ca="1">IFERROR(__xludf.DUMMYFUNCTION("GOOGLETRANSLATE(B716,""pl"",""en"")"),"Apartment with a sauna in Wilanów")</f>
        <v>Apartment with a sauna in Wilanów</v>
      </c>
      <c r="D716" s="1">
        <v>1359605</v>
      </c>
      <c r="E716" s="1" t="s">
        <v>33</v>
      </c>
      <c r="F716" s="1">
        <v>80.45</v>
      </c>
      <c r="G716" s="1" t="s">
        <v>3391</v>
      </c>
      <c r="H716" s="1" t="str">
        <f ca="1">IFERROR(__xludf.DUMMYFUNCTION("GOOGLETRANSLATE(G716,""pl"",""en"")"),"street. Adama Branicki, Błonia Wilanowskie, Wilanów, Warsaw, Masovian Voivodeship")</f>
        <v>street. Adama Branicki, Błonia Wilanowskie, Wilanów, Warsaw, Masovian Voivodeship</v>
      </c>
      <c r="I716" s="1" t="b">
        <v>1</v>
      </c>
      <c r="J716" s="1" t="s">
        <v>21</v>
      </c>
      <c r="K716" s="1" t="s">
        <v>22</v>
      </c>
      <c r="L716" s="1" t="s">
        <v>3392</v>
      </c>
      <c r="M716" s="1">
        <v>3</v>
      </c>
      <c r="N716" s="1" t="s">
        <v>24</v>
      </c>
      <c r="O716" s="1" t="str">
        <f ca="1">IFERROR(__xludf.DUMMYFUNCTION("GOOGLETRANSLATE(N716,""pl"",""en"")"),"full ownership")</f>
        <v>full ownership</v>
      </c>
      <c r="P716" s="3" t="s">
        <v>3393</v>
      </c>
      <c r="Q716" s="1" t="b">
        <v>1</v>
      </c>
      <c r="R716" s="1" t="s">
        <v>3394</v>
      </c>
    </row>
    <row r="717" spans="1:18" x14ac:dyDescent="0.25">
      <c r="A717" s="2">
        <v>45173</v>
      </c>
      <c r="B717" s="1" t="s">
        <v>3395</v>
      </c>
      <c r="C717" s="1" t="str">
        <f ca="1">IFERROR(__xludf.DUMMYFUNCTION("GOOGLETRANSLATE(B717,""pl"",""en"")"),"Apartment with 2 balconies by the subway!")</f>
        <v>Apartment with 2 balconies by the subway!</v>
      </c>
      <c r="D717" s="1">
        <v>1050000</v>
      </c>
      <c r="E717" s="1" t="s">
        <v>33</v>
      </c>
      <c r="F717" s="1">
        <v>67.510000000000005</v>
      </c>
      <c r="G717" s="1" t="s">
        <v>3396</v>
      </c>
      <c r="H717" s="1" t="str">
        <f ca="1">IFERROR(__xludf.DUMMYFUNCTION("GOOGLETRANSLATE(G717,""pl"",""en"")"),"street. Bukowińska, Ksawerów, Mokotów, Warsaw, Masovian Voivodeship")</f>
        <v>street. Bukowińska, Ksawerów, Mokotów, Warsaw, Masovian Voivodeship</v>
      </c>
      <c r="I717" s="1" t="s">
        <v>21</v>
      </c>
      <c r="J717" s="1" t="s">
        <v>21</v>
      </c>
      <c r="K717" s="1" t="s">
        <v>22</v>
      </c>
      <c r="L717" s="1" t="s">
        <v>3397</v>
      </c>
      <c r="M717" s="1">
        <v>3</v>
      </c>
      <c r="N717" s="1" t="s">
        <v>24</v>
      </c>
      <c r="O717" s="1" t="str">
        <f ca="1">IFERROR(__xludf.DUMMYFUNCTION("GOOGLETRANSLATE(N717,""pl"",""en"")"),"full ownership")</f>
        <v>full ownership</v>
      </c>
      <c r="P717" s="3" t="s">
        <v>3398</v>
      </c>
      <c r="Q717" s="1" t="b">
        <v>1</v>
      </c>
      <c r="R717" s="1" t="s">
        <v>3399</v>
      </c>
    </row>
    <row r="718" spans="1:18" x14ac:dyDescent="0.25">
      <c r="A718" s="2">
        <v>45308</v>
      </c>
      <c r="B718" s="1" t="s">
        <v>3400</v>
      </c>
      <c r="C718" s="1" t="str">
        <f ca="1">IFERROR(__xludf.DUMMYFUNCTION("GOOGLETRANSLATE(B718,""pl"",""en"")"),"Attractive price for the view of Zegrze Atlantis")</f>
        <v>Attractive price for the view of Zegrze Atlantis</v>
      </c>
      <c r="D718" s="1">
        <v>420900</v>
      </c>
      <c r="E718" s="1" t="s">
        <v>19</v>
      </c>
      <c r="F718" s="1">
        <v>28.06</v>
      </c>
      <c r="G718" s="1" t="s">
        <v>1974</v>
      </c>
      <c r="H718" s="1" t="str">
        <f ca="1">IFERROR(__xludf.DUMMYFUNCTION("GOOGLETRANSLATE(G718,""pl"",""en"")"),"Jadwisin, Serock, Legionowski, Masovian Voivodeship")</f>
        <v>Jadwisin, Serock, Legionowski, Masovian Voivodeship</v>
      </c>
      <c r="I718" s="1" t="s">
        <v>21</v>
      </c>
      <c r="J718" s="1" t="s">
        <v>21</v>
      </c>
      <c r="K718" s="1" t="s">
        <v>194</v>
      </c>
      <c r="L718" s="1" t="s">
        <v>3401</v>
      </c>
      <c r="M718" s="1">
        <v>1</v>
      </c>
      <c r="N718" s="1" t="s">
        <v>24</v>
      </c>
      <c r="O718" s="1" t="str">
        <f ca="1">IFERROR(__xludf.DUMMYFUNCTION("GOOGLETRANSLATE(N718,""pl"",""en"")"),"full ownership")</f>
        <v>full ownership</v>
      </c>
      <c r="P718" s="3" t="s">
        <v>3402</v>
      </c>
      <c r="Q718" s="1" t="b">
        <v>1</v>
      </c>
      <c r="R718" s="1" t="s">
        <v>3403</v>
      </c>
    </row>
    <row r="719" spans="1:18" x14ac:dyDescent="0.25">
      <c r="A719" s="2">
        <v>45308</v>
      </c>
      <c r="B719" s="1" t="s">
        <v>3404</v>
      </c>
      <c r="C719" s="1" t="str">
        <f ca="1">IFERROR(__xludf.DUMMYFUNCTION("GOOGLETRANSLATE(B719,""pl"",""en"")"),"Apartment on the ground floor near the forest")</f>
        <v>Apartment on the ground floor near the forest</v>
      </c>
      <c r="D719" s="1">
        <v>159000</v>
      </c>
      <c r="E719" s="1" t="s">
        <v>33</v>
      </c>
      <c r="F719" s="1">
        <v>31.66</v>
      </c>
      <c r="G719" s="1" t="s">
        <v>3405</v>
      </c>
      <c r="H719" s="1" t="str">
        <f ca="1">IFERROR(__xludf.DUMMYFUNCTION("GOOGLETRANSLATE(G719,""pl"",""en"")"),"Borne Sstreetinowo, Borne Sstreetinowo, Szczecin, West Pomeranian Voivodeship")</f>
        <v>Borne Sstreetinowo, Borne Sstreetinowo, Szczecin, West Pomeranian Voivodeship</v>
      </c>
      <c r="I719" s="1" t="b">
        <v>1</v>
      </c>
      <c r="J719" s="1" t="s">
        <v>21</v>
      </c>
      <c r="K719" s="1" t="s">
        <v>22</v>
      </c>
      <c r="L719" s="1" t="s">
        <v>3406</v>
      </c>
      <c r="M719" s="1">
        <v>1</v>
      </c>
      <c r="N719" s="1" t="s">
        <v>24</v>
      </c>
      <c r="O719" s="1" t="str">
        <f ca="1">IFERROR(__xludf.DUMMYFUNCTION("GOOGLETRANSLATE(N719,""pl"",""en"")"),"full ownership")</f>
        <v>full ownership</v>
      </c>
      <c r="P719" s="3" t="s">
        <v>3407</v>
      </c>
      <c r="Q719" s="1" t="b">
        <v>1</v>
      </c>
      <c r="R719" s="1" t="s">
        <v>3408</v>
      </c>
    </row>
    <row r="720" spans="1:18" x14ac:dyDescent="0.25">
      <c r="A720" s="2">
        <v>45308</v>
      </c>
      <c r="B720" s="1" t="s">
        <v>3409</v>
      </c>
      <c r="C720" s="1" t="str">
        <f ca="1">IFERROR(__xludf.DUMMYFUNCTION("GOOGLETRANSLATE(B720,""pl"",""en"")"),"Sensational, hopeless investment cash.")</f>
        <v>Sensational, hopeless investment cash.</v>
      </c>
      <c r="D720" s="1">
        <v>1050000</v>
      </c>
      <c r="E720" s="1" t="s">
        <v>33</v>
      </c>
      <c r="F720" s="1">
        <v>55.5</v>
      </c>
      <c r="G720" s="1" t="s">
        <v>3410</v>
      </c>
      <c r="H720" s="1" t="str">
        <f ca="1">IFERROR(__xludf.DUMMYFUNCTION("GOOGLETRANSLATE(G720,""pl"",""en"")"),"street. Stańczyk, Odolany, Wola, Warsaw, Masovian Voivodeship")</f>
        <v>street. Stańczyk, Odolany, Wola, Warsaw, Masovian Voivodeship</v>
      </c>
      <c r="I720" s="1" t="b">
        <v>1</v>
      </c>
      <c r="J720" s="1" t="s">
        <v>21</v>
      </c>
      <c r="K720" s="1" t="s">
        <v>22</v>
      </c>
      <c r="L720" s="1" t="s">
        <v>3411</v>
      </c>
      <c r="M720" s="1">
        <v>4</v>
      </c>
      <c r="N720" s="1" t="s">
        <v>24</v>
      </c>
      <c r="O720" s="1" t="str">
        <f ca="1">IFERROR(__xludf.DUMMYFUNCTION("GOOGLETRANSLATE(N720,""pl"",""en"")"),"full ownership")</f>
        <v>full ownership</v>
      </c>
      <c r="P720" s="3" t="s">
        <v>3412</v>
      </c>
      <c r="Q720" s="1" t="b">
        <v>1</v>
      </c>
      <c r="R720" s="1" t="s">
        <v>3413</v>
      </c>
    </row>
    <row r="721" spans="1:18" x14ac:dyDescent="0.25">
      <c r="A721" s="2">
        <v>45308</v>
      </c>
      <c r="B721" s="1" t="s">
        <v>3414</v>
      </c>
      <c r="C721" s="1" t="str">
        <f ca="1">IFERROR(__xludf.DUMMYFUNCTION("GOOGLETRANSLATE(B721,""pl"",""en"")"),"New investment 3 rooms 2% loan")</f>
        <v>New investment 3 rooms 2% loan</v>
      </c>
      <c r="D721" s="1">
        <v>776408</v>
      </c>
      <c r="E721" s="1" t="s">
        <v>19</v>
      </c>
      <c r="F721" s="1">
        <v>63.64</v>
      </c>
      <c r="G721" s="1" t="s">
        <v>4795</v>
      </c>
      <c r="H721" s="1" t="str">
        <f ca="1">IFERROR(__xludf.DUMMYFUNCTION("GOOGLETRANSLATE(G721,""pl"",""en"")"),"Osiedle Bohaterów Września, Mistrzejowice, Mistrzejowice, Kraków, Lesser Poland")</f>
        <v>Osiedle Bohaterów Września, Mistrzejowice, Mistrzejowice, Kraków, Lesser Poland</v>
      </c>
      <c r="I721" s="1" t="s">
        <v>21</v>
      </c>
      <c r="J721" s="1" t="s">
        <v>21</v>
      </c>
      <c r="K721" s="1" t="s">
        <v>22</v>
      </c>
      <c r="L721" s="1" t="s">
        <v>3415</v>
      </c>
      <c r="M721" s="1">
        <v>3</v>
      </c>
      <c r="N721" s="1" t="s">
        <v>24</v>
      </c>
      <c r="O721" s="1" t="str">
        <f ca="1">IFERROR(__xludf.DUMMYFUNCTION("GOOGLETRANSLATE(N721,""pl"",""en"")"),"full ownership")</f>
        <v>full ownership</v>
      </c>
      <c r="P721" s="3" t="s">
        <v>3416</v>
      </c>
      <c r="Q721" s="1" t="b">
        <v>1</v>
      </c>
      <c r="R721" s="1" t="s">
        <v>3417</v>
      </c>
    </row>
    <row r="722" spans="1:18" x14ac:dyDescent="0.25">
      <c r="A722" s="2">
        <v>45308</v>
      </c>
      <c r="B722" s="1" t="s">
        <v>3418</v>
      </c>
      <c r="C722" s="1" t="str">
        <f ca="1">IFERROR(__xludf.DUMMYFUNCTION("GOOGLETRANSLATE(B722,""pl"",""en"")"),"Władysławowo ul. Apricot 24/5 - ready.")</f>
        <v>Władysławowo ul. Apricot 24/5 - ready.</v>
      </c>
      <c r="D722" s="1">
        <v>383040</v>
      </c>
      <c r="E722" s="1" t="s">
        <v>19</v>
      </c>
      <c r="F722" s="1">
        <v>47.88</v>
      </c>
      <c r="G722" s="1" t="s">
        <v>3419</v>
      </c>
      <c r="H722" s="1" t="str">
        <f ca="1">IFERROR(__xludf.DUMMYFUNCTION("GOOGLETRANSLATE(G722,""pl"",""en"")"),"Władysławowo, Władysławowo, Pucki, Pomeranian")</f>
        <v>Władysławowo, Władysławowo, Pucki, Pomeranian</v>
      </c>
      <c r="I722" s="1" t="s">
        <v>21</v>
      </c>
      <c r="J722" s="1" t="s">
        <v>21</v>
      </c>
      <c r="K722" s="1" t="s">
        <v>194</v>
      </c>
      <c r="L722" s="1" t="s">
        <v>3420</v>
      </c>
      <c r="M722" s="1">
        <v>3</v>
      </c>
      <c r="N722" s="1" t="s">
        <v>24</v>
      </c>
      <c r="O722" s="1" t="str">
        <f ca="1">IFERROR(__xludf.DUMMYFUNCTION("GOOGLETRANSLATE(N722,""pl"",""en"")"),"full ownership")</f>
        <v>full ownership</v>
      </c>
      <c r="P722" s="3" t="s">
        <v>3421</v>
      </c>
      <c r="Q722" s="1" t="b">
        <v>1</v>
      </c>
      <c r="R722" s="1" t="s">
        <v>3422</v>
      </c>
    </row>
    <row r="723" spans="1:18" x14ac:dyDescent="0.25">
      <c r="A723" s="2">
        <v>45308</v>
      </c>
      <c r="B723" s="1" t="s">
        <v>3423</v>
      </c>
      <c r="C723" s="1" t="str">
        <f ca="1">IFERROR(__xludf.DUMMYFUNCTION("GOOGLETRANSLATE(B723,""pl"",""en"")"),"Roszęowe -Now investment, Kochłowice")</f>
        <v>Roszęowe -Now investment, Kochłowice</v>
      </c>
      <c r="D723" s="1">
        <v>285000</v>
      </c>
      <c r="E723" s="1" t="s">
        <v>19</v>
      </c>
      <c r="F723" s="1">
        <v>38.5</v>
      </c>
      <c r="G723" s="1" t="s">
        <v>3424</v>
      </c>
      <c r="H723" s="1" t="str">
        <f ca="1">IFERROR(__xludf.DUMMYFUNCTION("GOOGLETRANSLATE(G723,""pl"",""en"")"),"Kochłowice, Ruda Śląska, Silesian Voivodeship")</f>
        <v>Kochłowice, Ruda Śląska, Silesian Voivodeship</v>
      </c>
      <c r="I723" s="1" t="s">
        <v>21</v>
      </c>
      <c r="J723" s="1" t="s">
        <v>21</v>
      </c>
      <c r="K723" s="1" t="s">
        <v>22</v>
      </c>
      <c r="L723" s="1" t="s">
        <v>3425</v>
      </c>
      <c r="M723" s="1">
        <v>2</v>
      </c>
      <c r="N723" s="1" t="s">
        <v>24</v>
      </c>
      <c r="O723" s="1" t="str">
        <f ca="1">IFERROR(__xludf.DUMMYFUNCTION("GOOGLETRANSLATE(N723,""pl"",""en"")"),"full ownership")</f>
        <v>full ownership</v>
      </c>
      <c r="P723" s="3" t="s">
        <v>3426</v>
      </c>
      <c r="Q723" s="1" t="b">
        <v>1</v>
      </c>
      <c r="R723" s="1" t="s">
        <v>3427</v>
      </c>
    </row>
    <row r="724" spans="1:18" x14ac:dyDescent="0.25">
      <c r="A724" s="2">
        <v>45308</v>
      </c>
      <c r="B724" s="1" t="s">
        <v>3428</v>
      </c>
      <c r="C724" s="1" t="str">
        <f ca="1">IFERROR(__xludf.DUMMYFUNCTION("GOOGLETRANSLATE(B724,""pl"",""en"")"),"2 rooms Keys to pick up the academic estate")</f>
        <v>2 rooms Keys to pick up the academic estate</v>
      </c>
      <c r="D724" s="1">
        <v>285000</v>
      </c>
      <c r="E724" s="1" t="s">
        <v>19</v>
      </c>
      <c r="F724" s="1">
        <v>34.5</v>
      </c>
      <c r="G724" s="1" t="s">
        <v>3429</v>
      </c>
      <c r="H724" s="1" t="str">
        <f ca="1">IFERROR(__xludf.DUMMYFUNCTION("GOOGLETRANSLATE(G724,""pl"",""en"")"),"Akademickie housing estate, Nowy Fordon, Bydgoszcz, Kujawsko-Pomeranian Voivodeship")</f>
        <v>Akademickie housing estate, Nowy Fordon, Bydgoszcz, Kujawsko-Pomeranian Voivodeship</v>
      </c>
      <c r="I724" s="1" t="s">
        <v>21</v>
      </c>
      <c r="J724" s="1" t="s">
        <v>21</v>
      </c>
      <c r="K724" s="1" t="s">
        <v>45</v>
      </c>
      <c r="L724" s="1" t="s">
        <v>3430</v>
      </c>
      <c r="M724" s="1">
        <v>2</v>
      </c>
      <c r="N724" s="1" t="s">
        <v>24</v>
      </c>
      <c r="O724" s="1" t="str">
        <f ca="1">IFERROR(__xludf.DUMMYFUNCTION("GOOGLETRANSLATE(N724,""pl"",""en"")"),"full ownership")</f>
        <v>full ownership</v>
      </c>
      <c r="P724" s="3" t="s">
        <v>3431</v>
      </c>
      <c r="Q724" s="1" t="b">
        <v>1</v>
      </c>
      <c r="R724" s="1" t="s">
        <v>3432</v>
      </c>
    </row>
    <row r="725" spans="1:18" x14ac:dyDescent="0.25">
      <c r="A725" s="2">
        <v>45308</v>
      </c>
      <c r="B725" s="1" t="s">
        <v>3433</v>
      </c>
      <c r="C725" s="1" t="str">
        <f ca="1">IFERROR(__xludf.DUMMYFUNCTION("GOOGLETRANSLATE(B725,""pl"",""en"")"),"Apartment 4 room distant from the hustle and bustle!")</f>
        <v>Apartment 4 room distant from the hustle and bustle!</v>
      </c>
      <c r="D725" s="1">
        <v>669000</v>
      </c>
      <c r="E725" s="1" t="s">
        <v>33</v>
      </c>
      <c r="F725" s="1">
        <v>74.400000000000006</v>
      </c>
      <c r="G725" s="1" t="s">
        <v>3434</v>
      </c>
      <c r="H725" s="1" t="str">
        <f ca="1">IFERROR(__xludf.DUMMYFUNCTION("GOOGLETRANSLATE(G725,""pl"",""en"")"),"street. Red rowan, Banino, Żukowo, Kartuski, Pomeranian")</f>
        <v>street. Red rowan, Banino, Żukowo, Kartuski, Pomeranian</v>
      </c>
      <c r="I725" s="1" t="s">
        <v>21</v>
      </c>
      <c r="J725" s="1" t="s">
        <v>21</v>
      </c>
      <c r="K725" s="1" t="s">
        <v>22</v>
      </c>
      <c r="L725" s="1" t="s">
        <v>3435</v>
      </c>
      <c r="M725" s="1">
        <v>4</v>
      </c>
      <c r="N725" s="1" t="s">
        <v>24</v>
      </c>
      <c r="O725" s="1" t="str">
        <f ca="1">IFERROR(__xludf.DUMMYFUNCTION("GOOGLETRANSLATE(N725,""pl"",""en"")"),"full ownership")</f>
        <v>full ownership</v>
      </c>
      <c r="P725" s="3" t="s">
        <v>3436</v>
      </c>
      <c r="Q725" s="1" t="b">
        <v>1</v>
      </c>
      <c r="R725" s="1" t="s">
        <v>3437</v>
      </c>
    </row>
    <row r="726" spans="1:18" x14ac:dyDescent="0.25">
      <c r="A726" s="2">
        <v>45173</v>
      </c>
      <c r="B726" s="1" t="s">
        <v>3438</v>
      </c>
      <c r="C726" s="1" t="str">
        <f ca="1">IFERROR(__xludf.DUMMYFUNCTION("GOOGLETRANSLATE(B726,""pl"",""en"")"),"Apartment in Ciechocinek - investment cash!")</f>
        <v>Apartment in Ciechocinek - investment cash!</v>
      </c>
      <c r="D726" s="1">
        <v>668000</v>
      </c>
      <c r="E726" s="1" t="s">
        <v>33</v>
      </c>
      <c r="F726" s="1">
        <v>67</v>
      </c>
      <c r="G726" s="1" t="s">
        <v>3439</v>
      </c>
      <c r="H726" s="1" t="str">
        <f ca="1">IFERROR(__xludf.DUMMYFUNCTION("GOOGLETRANSLATE(G726,""pl"",""en"")"),"street. Ogrodowa, Ciechocinek, Aleksandrowski, Kujawsko-Pomeranian Voivodeship")</f>
        <v>street. Ogrodowa, Ciechocinek, Aleksandrowski, Kujawsko-Pomeranian Voivodeship</v>
      </c>
      <c r="I726" s="1" t="s">
        <v>21</v>
      </c>
      <c r="J726" s="1" t="s">
        <v>21</v>
      </c>
      <c r="K726" s="1" t="s">
        <v>22</v>
      </c>
      <c r="L726" s="1" t="s">
        <v>3440</v>
      </c>
      <c r="M726" s="1">
        <v>3</v>
      </c>
      <c r="N726" s="1" t="s">
        <v>24</v>
      </c>
      <c r="O726" s="1" t="str">
        <f ca="1">IFERROR(__xludf.DUMMYFUNCTION("GOOGLETRANSLATE(N726,""pl"",""en"")"),"full ownership")</f>
        <v>full ownership</v>
      </c>
      <c r="P726" s="3" t="s">
        <v>3441</v>
      </c>
      <c r="Q726" s="1" t="b">
        <v>1</v>
      </c>
      <c r="R726" s="1" t="s">
        <v>3442</v>
      </c>
    </row>
    <row r="727" spans="1:18" x14ac:dyDescent="0.25">
      <c r="A727" s="2">
        <v>45133</v>
      </c>
      <c r="B727" s="1" t="s">
        <v>3443</v>
      </c>
      <c r="C727" s="1" t="str">
        <f ca="1">IFERROR(__xludf.DUMMYFUNCTION("GOOGLETRANSLATE(B727,""pl"",""en"")"),"Note Price! I will sell a flat for now!")</f>
        <v>Note Price! I will sell a flat for now!</v>
      </c>
      <c r="D727" s="1">
        <v>299000</v>
      </c>
      <c r="E727" s="1" t="s">
        <v>33</v>
      </c>
      <c r="F727" s="1" t="s">
        <v>3444</v>
      </c>
      <c r="G727" s="1" t="s">
        <v>3445</v>
      </c>
      <c r="H727" s="1" t="str">
        <f ca="1">IFERROR(__xludf.DUMMYFUNCTION("GOOGLETRANSLATE(G727,""pl"",""en"")"),"Longitude: 17.60712 | Latitude: 52,55239")</f>
        <v>Longitude: 17.60712 | Latitude: 52,55239</v>
      </c>
      <c r="I727" s="1" t="s">
        <v>2633</v>
      </c>
      <c r="J727" s="1" t="s">
        <v>21</v>
      </c>
      <c r="K727" s="1" t="s">
        <v>22</v>
      </c>
      <c r="L727" s="1" t="s">
        <v>3446</v>
      </c>
      <c r="M727" s="1">
        <v>2</v>
      </c>
      <c r="N727" s="1" t="s">
        <v>2661</v>
      </c>
      <c r="O727" s="1" t="str">
        <f ca="1">IFERROR(__xludf.DUMMYFUNCTION("GOOGLETRANSLATE(N727,""pl"",""en"")"),"Limited Ownership")</f>
        <v>Limited Ownership</v>
      </c>
      <c r="P727" s="3" t="s">
        <v>3447</v>
      </c>
      <c r="Q727" s="1" t="b">
        <v>1</v>
      </c>
      <c r="R727" s="1" t="s">
        <v>21</v>
      </c>
    </row>
    <row r="728" spans="1:18" x14ac:dyDescent="0.25">
      <c r="A728" s="2">
        <v>45133</v>
      </c>
      <c r="B728" s="1" t="s">
        <v>3448</v>
      </c>
      <c r="C728" s="1" t="str">
        <f ca="1">IFERROR(__xludf.DUMMYFUNCTION("GOOGLETRANSLATE(B728,""pl"",""en"")"),"3-room apartment 71m2 + 2 loggias directly")</f>
        <v>3-room apartment 71m2 + 2 loggias directly</v>
      </c>
      <c r="D728" s="1" t="s">
        <v>21</v>
      </c>
      <c r="F728" s="1" t="s">
        <v>3449</v>
      </c>
      <c r="G728" s="1" t="s">
        <v>3450</v>
      </c>
      <c r="H728" s="1" t="str">
        <f ca="1">IFERROR(__xludf.DUMMYFUNCTION("GOOGLETRANSLATE(G728,""pl"",""en"")"),"Longitude: 21.03804 | Latitude: 52.45968")</f>
        <v>Longitude: 21.03804 | Latitude: 52.45968</v>
      </c>
      <c r="I728" s="1" t="s">
        <v>2590</v>
      </c>
      <c r="J728" s="1" t="s">
        <v>21</v>
      </c>
      <c r="K728" s="1" t="s">
        <v>2644</v>
      </c>
      <c r="L728" s="1" t="s">
        <v>3451</v>
      </c>
      <c r="M728" s="1">
        <v>3</v>
      </c>
      <c r="N728" s="1" t="s">
        <v>2592</v>
      </c>
      <c r="O728" s="1" t="str">
        <f ca="1">IFERROR(__xludf.DUMMYFUNCTION("GOOGLETRANSLATE(N728,""pl"",""en"")"),"full ownership")</f>
        <v>full ownership</v>
      </c>
      <c r="P728" s="3" t="s">
        <v>3452</v>
      </c>
      <c r="Q728" s="1" t="b">
        <v>1</v>
      </c>
      <c r="R728" s="1" t="s">
        <v>21</v>
      </c>
    </row>
    <row r="729" spans="1:18" x14ac:dyDescent="0.25">
      <c r="A729" s="2">
        <v>45132</v>
      </c>
      <c r="B729" s="1" t="s">
        <v>3453</v>
      </c>
      <c r="C729" s="1" t="str">
        <f ca="1">IFERROR(__xludf.DUMMYFUNCTION("GOOGLETRANSLATE(B729,""pl"",""en"")"),"A three -room apartment with a balcony for os.650 years")</f>
        <v>A three -room apartment with a balcony for os.650 years</v>
      </c>
      <c r="D729" s="1">
        <v>260000</v>
      </c>
      <c r="E729" s="1" t="s">
        <v>33</v>
      </c>
      <c r="F729" s="1" t="s">
        <v>3454</v>
      </c>
      <c r="G729" s="1" t="s">
        <v>3455</v>
      </c>
      <c r="H729" s="1" t="str">
        <f ca="1">IFERROR(__xludf.DUMMYFUNCTION("GOOGLETRANSLATE(G729,""pl"",""en"")"),"Longitude: 19.385124004424 | Latitude: 51.860048864406")</f>
        <v>Longitude: 19.385124004424 | Latitude: 51.860048864406</v>
      </c>
      <c r="I729" s="1" t="s">
        <v>2590</v>
      </c>
      <c r="J729" s="1" t="s">
        <v>21</v>
      </c>
      <c r="K729" s="1" t="s">
        <v>22</v>
      </c>
      <c r="L729" s="1" t="s">
        <v>3456</v>
      </c>
      <c r="M729" s="1">
        <v>3</v>
      </c>
      <c r="N729" s="1" t="s">
        <v>21</v>
      </c>
      <c r="O729" s="1" t="str">
        <f ca="1">IFERROR(__xludf.DUMMYFUNCTION("GOOGLETRANSLATE(N729,""pl"",""en"")"),"null")</f>
        <v>null</v>
      </c>
      <c r="P729" s="3" t="s">
        <v>3457</v>
      </c>
      <c r="Q729" s="1" t="b">
        <v>1</v>
      </c>
      <c r="R729" s="1" t="s">
        <v>21</v>
      </c>
    </row>
    <row r="730" spans="1:18" x14ac:dyDescent="0.25">
      <c r="A730" s="2">
        <v>45139</v>
      </c>
      <c r="B730" s="1" t="s">
        <v>3458</v>
      </c>
      <c r="C730" s="1" t="str">
        <f ca="1">IFERROR(__xludf.DUMMYFUNCTION("GOOGLETRANSLATE(B730,""pl"",""en"")"),"Victoria Park 2-room apartment 55.97 m2")</f>
        <v>Victoria Park 2-room apartment 55.97 m2</v>
      </c>
      <c r="D730" s="1">
        <v>360000</v>
      </c>
      <c r="E730" s="1" t="s">
        <v>19</v>
      </c>
      <c r="F730" s="1">
        <v>55.97</v>
      </c>
      <c r="G730" s="1" t="s">
        <v>4796</v>
      </c>
      <c r="H730" s="1" t="str">
        <f ca="1">IFERROR(__xludf.DUMMYFUNCTION("GOOGLETRANSLATE(G730,""pl"",""en"")"),"street. Victory, Nysa, Nysa, Nyski, Opole Voivodeship")</f>
        <v>street. Victory, Nysa, Nysa, Nyski, Opole Voivodeship</v>
      </c>
      <c r="I730" s="1" t="s">
        <v>21</v>
      </c>
      <c r="J730" s="1" t="s">
        <v>21</v>
      </c>
      <c r="K730" s="1" t="s">
        <v>194</v>
      </c>
      <c r="L730" s="1" t="s">
        <v>3459</v>
      </c>
      <c r="M730" s="1">
        <v>2</v>
      </c>
      <c r="N730" s="1" t="s">
        <v>24</v>
      </c>
      <c r="O730" s="1" t="str">
        <f ca="1">IFERROR(__xludf.DUMMYFUNCTION("GOOGLETRANSLATE(N730,""pl"",""en"")"),"full ownership")</f>
        <v>full ownership</v>
      </c>
      <c r="P730" s="3" t="s">
        <v>3460</v>
      </c>
      <c r="Q730" s="1" t="b">
        <v>1</v>
      </c>
      <c r="R730" s="1" t="s">
        <v>21</v>
      </c>
    </row>
    <row r="731" spans="1:18" x14ac:dyDescent="0.25">
      <c r="A731" s="2">
        <v>45138</v>
      </c>
      <c r="B731" s="1" t="s">
        <v>3461</v>
      </c>
      <c r="C731" s="1" t="str">
        <f ca="1">IFERROR(__xludf.DUMMYFUNCTION("GOOGLETRANSLATE(B731,""pl"",""en"")"),"✅ Nice Home Apartment with balcony")</f>
        <v>✅ Nice Home Apartment with balcony</v>
      </c>
      <c r="D731" s="1">
        <v>369000</v>
      </c>
      <c r="E731" s="1" t="s">
        <v>19</v>
      </c>
      <c r="F731" s="1">
        <v>53.74</v>
      </c>
      <c r="G731" s="1" t="s">
        <v>3462</v>
      </c>
      <c r="H731" s="1" t="str">
        <f ca="1">IFERROR(__xludf.DUMMYFUNCTION("GOOGLETRANSLATE(G731,""pl"",""en"")"),"street. Latvian, Słupsk, Pomeranian")</f>
        <v>street. Latvian, Słupsk, Pomeranian</v>
      </c>
      <c r="I731" s="1" t="s">
        <v>21</v>
      </c>
      <c r="J731" s="1" t="s">
        <v>21</v>
      </c>
      <c r="K731" s="1" t="s">
        <v>22</v>
      </c>
      <c r="L731" s="1" t="s">
        <v>3463</v>
      </c>
      <c r="M731" s="1">
        <v>3</v>
      </c>
      <c r="N731" s="1" t="s">
        <v>24</v>
      </c>
      <c r="O731" s="1" t="str">
        <f ca="1">IFERROR(__xludf.DUMMYFUNCTION("GOOGLETRANSLATE(N731,""pl"",""en"")"),"full ownership")</f>
        <v>full ownership</v>
      </c>
      <c r="P731" s="3" t="s">
        <v>3464</v>
      </c>
      <c r="Q731" s="1" t="b">
        <v>1</v>
      </c>
      <c r="R731" s="1" t="s">
        <v>21</v>
      </c>
    </row>
    <row r="732" spans="1:18" x14ac:dyDescent="0.25">
      <c r="A732" s="2">
        <v>45138</v>
      </c>
      <c r="B732" s="1" t="s">
        <v>3465</v>
      </c>
      <c r="C732" s="1" t="str">
        <f ca="1">IFERROR(__xludf.DUMMYFUNCTION("GOOGLETRANSLATE(B732,""pl"",""en"")"),"Without PCC! | Beautiful sunsets Cell in the price!")</f>
        <v>Without PCC! | Beautiful sunsets Cell in the price!</v>
      </c>
      <c r="D732" s="1">
        <v>549000</v>
      </c>
      <c r="E732" s="1" t="s">
        <v>33</v>
      </c>
      <c r="F732" s="1">
        <v>50</v>
      </c>
      <c r="G732" s="1" t="s">
        <v>3466</v>
      </c>
      <c r="H732" s="1" t="str">
        <f ca="1">IFERROR(__xludf.DUMMYFUNCTION("GOOGLETRANSLATE(G732,""pl"",""en"")"),"street. Baltic, Wilkowyja, Rzeszów, Podkarpackie")</f>
        <v>street. Baltic, Wilkowyja, Rzeszów, Podkarpackie</v>
      </c>
      <c r="I732" s="1" t="s">
        <v>21</v>
      </c>
      <c r="J732" s="1" t="s">
        <v>21</v>
      </c>
      <c r="K732" s="1" t="s">
        <v>22</v>
      </c>
      <c r="L732" s="1" t="s">
        <v>3467</v>
      </c>
      <c r="M732" s="1">
        <v>3</v>
      </c>
      <c r="N732" s="1" t="s">
        <v>24</v>
      </c>
      <c r="O732" s="1" t="str">
        <f ca="1">IFERROR(__xludf.DUMMYFUNCTION("GOOGLETRANSLATE(N732,""pl"",""en"")"),"full ownership")</f>
        <v>full ownership</v>
      </c>
      <c r="P732" s="3" t="s">
        <v>3468</v>
      </c>
      <c r="Q732" s="1" t="b">
        <v>1</v>
      </c>
      <c r="R732" s="1" t="s">
        <v>21</v>
      </c>
    </row>
    <row r="733" spans="1:18" x14ac:dyDescent="0.25">
      <c r="A733" s="2">
        <v>45308</v>
      </c>
      <c r="B733" s="1" t="s">
        <v>3469</v>
      </c>
      <c r="C733" s="1" t="str">
        <f ca="1">IFERROR(__xludf.DUMMYFUNCTION("GOOGLETRANSLATE(B733,""pl"",""en"")"),"A spacious 2 -room apartment at a good price")</f>
        <v>A spacious 2 -room apartment at a good price</v>
      </c>
      <c r="D733" s="1">
        <v>209000</v>
      </c>
      <c r="E733" s="1" t="s">
        <v>33</v>
      </c>
      <c r="F733" s="1">
        <v>67.540000000000006</v>
      </c>
      <c r="G733" s="1" t="s">
        <v>3470</v>
      </c>
      <c r="H733" s="1" t="str">
        <f ca="1">IFERROR(__xludf.DUMMYFUNCTION("GOOGLETRANSLATE(G733,""pl"",""en"")"),"street. Nowobytomska, Chebzie, Ruda Śląska, Silesia")</f>
        <v>street. Nowobytomska, Chebzie, Ruda Śląska, Silesia</v>
      </c>
      <c r="I733" s="1" t="b">
        <v>1</v>
      </c>
      <c r="J733" s="1" t="s">
        <v>21</v>
      </c>
      <c r="K733" s="1" t="s">
        <v>22</v>
      </c>
      <c r="L733" s="1" t="s">
        <v>3471</v>
      </c>
      <c r="M733" s="1">
        <v>2</v>
      </c>
      <c r="N733" s="1" t="s">
        <v>85</v>
      </c>
      <c r="O733" s="1" t="str">
        <f ca="1">IFERROR(__xludf.DUMMYFUNCTION("GOOGLETRANSLATE(N733,""pl"",""en"")"),"Cooperative ownership of the right to the premises")</f>
        <v>Cooperative ownership of the right to the premises</v>
      </c>
      <c r="P733" s="3" t="s">
        <v>3472</v>
      </c>
      <c r="Q733" s="1" t="b">
        <v>1</v>
      </c>
      <c r="R733" s="1" t="s">
        <v>3473</v>
      </c>
    </row>
    <row r="734" spans="1:18" x14ac:dyDescent="0.25">
      <c r="A734" s="2">
        <v>45308</v>
      </c>
      <c r="B734" s="1" t="s">
        <v>3474</v>
      </c>
      <c r="C734" s="1" t="str">
        <f ca="1">IFERROR(__xludf.DUMMYFUNCTION("GOOGLETRANSLATE(B734,""pl"",""en"")"),"2 turnkey rooms - 31.40 m2 close to Galaxy")</f>
        <v>2 turnkey rooms - 31.40 m2 close to Galaxy</v>
      </c>
      <c r="D734" s="1">
        <v>308000</v>
      </c>
      <c r="E734" s="1" t="s">
        <v>19</v>
      </c>
      <c r="F734" s="1">
        <v>31.4</v>
      </c>
      <c r="G734" s="1" t="s">
        <v>548</v>
      </c>
      <c r="H734" s="1" t="str">
        <f ca="1">IFERROR(__xludf.DUMMYFUNCTION("GOOGLETRANSLATE(G734,""pl"",""en"")"),"Centrum, Śródmieście, Szczecin, ZachodnioPomeranian Voivodeship")</f>
        <v>Centrum, Śródmieście, Szczecin, ZachodnioPomeranian Voivodeship</v>
      </c>
      <c r="I734" s="1" t="s">
        <v>21</v>
      </c>
      <c r="J734" s="1" t="s">
        <v>21</v>
      </c>
      <c r="K734" s="1" t="s">
        <v>22</v>
      </c>
      <c r="L734" s="1" t="s">
        <v>3475</v>
      </c>
      <c r="M734" s="1">
        <v>2</v>
      </c>
      <c r="N734" s="1" t="s">
        <v>24</v>
      </c>
      <c r="O734" s="1" t="str">
        <f ca="1">IFERROR(__xludf.DUMMYFUNCTION("GOOGLETRANSLATE(N734,""pl"",""en"")"),"full ownership")</f>
        <v>full ownership</v>
      </c>
      <c r="P734" s="3" t="s">
        <v>3476</v>
      </c>
      <c r="Q734" s="1" t="b">
        <v>1</v>
      </c>
      <c r="R734" s="1" t="s">
        <v>3477</v>
      </c>
    </row>
    <row r="735" spans="1:18" x14ac:dyDescent="0.25">
      <c r="A735" s="2">
        <v>45308</v>
      </c>
      <c r="B735" s="1" t="s">
        <v>3478</v>
      </c>
      <c r="C735" s="1" t="str">
        <f ca="1">IFERROR(__xludf.DUMMYFUNCTION("GOOGLETRANSLATE(B735,""pl"",""en"")"),"Apartment with a sea view - Gdańsk Letnica")</f>
        <v>Apartment with a sea view - Gdańsk Letnica</v>
      </c>
      <c r="D735" s="1">
        <v>539000</v>
      </c>
      <c r="E735" s="1" t="s">
        <v>33</v>
      </c>
      <c r="F735" s="1">
        <v>32.25</v>
      </c>
      <c r="G735" s="1" t="s">
        <v>3479</v>
      </c>
      <c r="H735" s="1" t="str">
        <f ca="1">IFERROR(__xludf.DUMMYFUNCTION("GOOGLETRANSLATE(G735,""pl"",""en"")"),"Letnica, Gdańsk, Pomeranian Voivodeship")</f>
        <v>Letnica, Gdańsk, Pomeranian Voivodeship</v>
      </c>
      <c r="I735" s="1" t="b">
        <v>1</v>
      </c>
      <c r="J735" s="1" t="s">
        <v>21</v>
      </c>
      <c r="K735" s="1" t="s">
        <v>45</v>
      </c>
      <c r="L735" s="1" t="s">
        <v>3480</v>
      </c>
      <c r="M735" s="1">
        <v>1</v>
      </c>
      <c r="N735" s="1" t="s">
        <v>24</v>
      </c>
      <c r="O735" s="1" t="str">
        <f ca="1">IFERROR(__xludf.DUMMYFUNCTION("GOOGLETRANSLATE(N735,""pl"",""en"")"),"full ownership")</f>
        <v>full ownership</v>
      </c>
      <c r="P735" s="3" t="s">
        <v>3481</v>
      </c>
      <c r="Q735" s="1" t="b">
        <v>1</v>
      </c>
      <c r="R735" s="1" t="s">
        <v>3482</v>
      </c>
    </row>
    <row r="736" spans="1:18" x14ac:dyDescent="0.25">
      <c r="A736" s="2">
        <v>45308</v>
      </c>
      <c r="B736" s="1" t="s">
        <v>3483</v>
      </c>
      <c r="C736" s="1" t="str">
        <f ca="1">IFERROR(__xludf.DUMMYFUNCTION("GOOGLETRANSLATE(B736,""pl"",""en"")"),"New 2POK apartment. with separate kitchen + balcony")</f>
        <v>New 2POK apartment. with separate kitchen + balcony</v>
      </c>
      <c r="D736" s="1">
        <v>550635</v>
      </c>
      <c r="E736" s="1" t="s">
        <v>19</v>
      </c>
      <c r="F736" s="1">
        <v>48.7</v>
      </c>
      <c r="G736" s="1" t="s">
        <v>3484</v>
      </c>
      <c r="H736" s="1" t="str">
        <f ca="1">IFERROR(__xludf.DUMMYFUNCTION("GOOGLETRANSLATE(G736,""pl"",""en"")"),"Muchobór Wielki, Fabryczna, Wrocław, DolnoSilesian Voivodeship")</f>
        <v>Muchobór Wielki, Fabryczna, Wrocław, DolnoSilesian Voivodeship</v>
      </c>
      <c r="I736" s="1" t="s">
        <v>21</v>
      </c>
      <c r="J736" s="1" t="s">
        <v>21</v>
      </c>
      <c r="K736" s="1" t="s">
        <v>22</v>
      </c>
      <c r="L736" s="1" t="s">
        <v>3485</v>
      </c>
      <c r="M736" s="1">
        <v>2</v>
      </c>
      <c r="N736" s="1" t="s">
        <v>24</v>
      </c>
      <c r="O736" s="1" t="str">
        <f ca="1">IFERROR(__xludf.DUMMYFUNCTION("GOOGLETRANSLATE(N736,""pl"",""en"")"),"full ownership")</f>
        <v>full ownership</v>
      </c>
      <c r="P736" s="3" t="s">
        <v>3486</v>
      </c>
      <c r="Q736" s="1" t="b">
        <v>1</v>
      </c>
      <c r="R736" s="1" t="s">
        <v>3487</v>
      </c>
    </row>
    <row r="737" spans="1:18" x14ac:dyDescent="0.25">
      <c r="A737" s="2">
        <v>45308</v>
      </c>
      <c r="B737" s="1" t="s">
        <v>3488</v>
      </c>
      <c r="C737" s="1" t="str">
        <f ca="1">IFERROR(__xludf.DUMMYFUNCTION("GOOGLETRANSLATE(B737,""pl"",""en"")"),"A beautiful house with premises for sale, Tarnowskie Góry")</f>
        <v>A beautiful house with premises for sale, Tarnowskie Góry</v>
      </c>
      <c r="D737" s="1">
        <v>1200000</v>
      </c>
      <c r="E737" s="1" t="s">
        <v>33</v>
      </c>
      <c r="F737" s="1">
        <v>182</v>
      </c>
      <c r="G737" s="1" t="s">
        <v>3489</v>
      </c>
      <c r="H737" s="1" t="str">
        <f ca="1">IFERROR(__xludf.DUMMYFUNCTION("GOOGLETRANSLATE(G737,""pl"",""en"")"),"street. Pyskowicka, Tarnowskie Góry, Tarnogórski, Silesian Voivodeship")</f>
        <v>street. Pyskowicka, Tarnowskie Góry, Tarnogórski, Silesian Voivodeship</v>
      </c>
      <c r="I737" s="1" t="b">
        <v>1</v>
      </c>
      <c r="J737" s="1" t="s">
        <v>21</v>
      </c>
      <c r="K737" s="1" t="s">
        <v>22</v>
      </c>
      <c r="L737" s="1" t="s">
        <v>3490</v>
      </c>
      <c r="M737" s="1">
        <v>3</v>
      </c>
      <c r="N737" s="1" t="s">
        <v>21</v>
      </c>
      <c r="O737" s="1" t="str">
        <f ca="1">IFERROR(__xludf.DUMMYFUNCTION("GOOGLETRANSLATE(N737,""pl"",""en"")"),"null")</f>
        <v>null</v>
      </c>
      <c r="P737" s="3" t="s">
        <v>3491</v>
      </c>
      <c r="Q737" s="1" t="b">
        <v>1</v>
      </c>
      <c r="R737" s="1" t="s">
        <v>3492</v>
      </c>
    </row>
    <row r="738" spans="1:18" x14ac:dyDescent="0.25">
      <c r="A738" s="2">
        <v>45308</v>
      </c>
      <c r="B738" s="1" t="s">
        <v>3493</v>
      </c>
      <c r="C738" s="1" t="str">
        <f ca="1">IFERROR(__xludf.DUMMYFUNCTION("GOOGLETRANSLATE(B738,""pl"",""en"")"),"A luxury apartment for sale, Poznań/Jeżyce.")</f>
        <v>A luxury apartment for sale, Poznań/Jeżyce.</v>
      </c>
      <c r="D738" s="1">
        <v>945000</v>
      </c>
      <c r="E738" s="1" t="s">
        <v>33</v>
      </c>
      <c r="F738" s="1">
        <v>77</v>
      </c>
      <c r="G738" s="1" t="s">
        <v>4797</v>
      </c>
      <c r="H738" s="1" t="str">
        <f ca="1">IFERROR(__xludf.DUMMYFUNCTION("GOOGLETRANSLATE(G738,""pl"",""en"")"),"Jeżyce, Jeżyce, Poznań, Greater Poland")</f>
        <v>Jeżyce, Jeżyce, Poznań, Greater Poland</v>
      </c>
      <c r="I738" s="1" t="b">
        <v>1</v>
      </c>
      <c r="J738" s="1" t="s">
        <v>21</v>
      </c>
      <c r="K738" s="1" t="s">
        <v>22</v>
      </c>
      <c r="L738" s="1" t="s">
        <v>3494</v>
      </c>
      <c r="M738" s="1">
        <v>3</v>
      </c>
      <c r="N738" s="1" t="s">
        <v>24</v>
      </c>
      <c r="O738" s="1" t="str">
        <f ca="1">IFERROR(__xludf.DUMMYFUNCTION("GOOGLETRANSLATE(N738,""pl"",""en"")"),"full ownership")</f>
        <v>full ownership</v>
      </c>
      <c r="P738" s="3" t="s">
        <v>3495</v>
      </c>
      <c r="Q738" s="1" t="b">
        <v>1</v>
      </c>
      <c r="R738" s="1" t="s">
        <v>3496</v>
      </c>
    </row>
    <row r="739" spans="1:18" x14ac:dyDescent="0.25">
      <c r="A739" s="2">
        <v>45308</v>
      </c>
      <c r="B739" s="1" t="s">
        <v>3497</v>
      </c>
      <c r="C739" s="1" t="str">
        <f ca="1">IFERROR(__xludf.DUMMYFUNCTION("GOOGLETRANSLATE(B739,""pl"",""en"")"),"Large reduction 2pok. The ground floor and the Garden of Suchostrzyg")</f>
        <v>Large reduction 2pok. The ground floor and the Garden of Suchostrzyg</v>
      </c>
      <c r="D739" s="1">
        <v>339000</v>
      </c>
      <c r="E739" s="1" t="s">
        <v>33</v>
      </c>
      <c r="F739" s="1">
        <v>50</v>
      </c>
      <c r="G739" s="1" t="s">
        <v>3498</v>
      </c>
      <c r="H739" s="1" t="str">
        <f ca="1">IFERROR(__xludf.DUMMYFUNCTION("GOOGLETRANSLATE(G739,""pl"",""en"")"),"Tczew, Tczewski, Pomeranian Voivodeship")</f>
        <v>Tczew, Tczewski, Pomeranian Voivodeship</v>
      </c>
      <c r="I739" s="1" t="s">
        <v>21</v>
      </c>
      <c r="J739" s="1" t="s">
        <v>21</v>
      </c>
      <c r="K739" s="1" t="s">
        <v>22</v>
      </c>
      <c r="L739" s="1" t="s">
        <v>3499</v>
      </c>
      <c r="M739" s="1">
        <v>2</v>
      </c>
      <c r="N739" s="1" t="s">
        <v>24</v>
      </c>
      <c r="O739" s="1" t="str">
        <f ca="1">IFERROR(__xludf.DUMMYFUNCTION("GOOGLETRANSLATE(N739,""pl"",""en"")"),"full ownership")</f>
        <v>full ownership</v>
      </c>
      <c r="P739" s="3" t="s">
        <v>3500</v>
      </c>
      <c r="Q739" s="1" t="b">
        <v>1</v>
      </c>
      <c r="R739" s="1" t="s">
        <v>3501</v>
      </c>
    </row>
    <row r="740" spans="1:18" x14ac:dyDescent="0.25">
      <c r="A740" s="2">
        <v>45308</v>
      </c>
      <c r="B740" s="1" t="s">
        <v>3502</v>
      </c>
      <c r="C740" s="1" t="str">
        <f ca="1">IFERROR(__xludf.DUMMYFUNCTION("GOOGLETRANSLATE(B740,""pl"",""en"")"),"Apartment in the heart of Stara Zielonka, 136.40m2, 2%")</f>
        <v>Apartment in the heart of Stara Zielonka, 136.40m2, 2%</v>
      </c>
      <c r="D740" s="1">
        <v>800000</v>
      </c>
      <c r="E740" s="1" t="s">
        <v>19</v>
      </c>
      <c r="F740" s="1">
        <v>136.4</v>
      </c>
      <c r="G740" s="1" t="s">
        <v>3503</v>
      </c>
      <c r="H740" s="1" t="str">
        <f ca="1">IFERROR(__xludf.DUMMYFUNCTION("GOOGLETRANSLATE(G740,""pl"",""en"")"),"Zielonka, Wołomiński, Masovian Voivodeship")</f>
        <v>Zielonka, Wołomiński, Masovian Voivodeship</v>
      </c>
      <c r="I740" s="1" t="b">
        <v>1</v>
      </c>
      <c r="J740" s="1" t="s">
        <v>21</v>
      </c>
      <c r="K740" s="1" t="s">
        <v>194</v>
      </c>
      <c r="L740" s="1" t="s">
        <v>3504</v>
      </c>
      <c r="M740" s="1">
        <v>5</v>
      </c>
      <c r="N740" s="1" t="s">
        <v>24</v>
      </c>
      <c r="O740" s="1" t="str">
        <f ca="1">IFERROR(__xludf.DUMMYFUNCTION("GOOGLETRANSLATE(N740,""pl"",""en"")"),"full ownership")</f>
        <v>full ownership</v>
      </c>
      <c r="P740" s="3" t="s">
        <v>3505</v>
      </c>
      <c r="Q740" s="1" t="b">
        <v>1</v>
      </c>
      <c r="R740" s="1" t="s">
        <v>3506</v>
      </c>
    </row>
    <row r="741" spans="1:18" x14ac:dyDescent="0.25">
      <c r="A741" s="2">
        <v>45308</v>
      </c>
      <c r="B741" s="1" t="s">
        <v>3507</v>
      </c>
      <c r="C741" s="1" t="str">
        <f ca="1">IFERROR(__xludf.DUMMYFUNCTION("GOOGLETRANSLATE(B741,""pl"",""en"")"),"Ready beach apartments - Międzywodzie")</f>
        <v>Ready beach apartments - Międzywodzie</v>
      </c>
      <c r="D741" s="1">
        <v>672450</v>
      </c>
      <c r="E741" s="1" t="s">
        <v>19</v>
      </c>
      <c r="F741" s="1">
        <v>44.83</v>
      </c>
      <c r="G741" s="1" t="s">
        <v>3508</v>
      </c>
      <c r="H741" s="1" t="str">
        <f ca="1">IFERROR(__xludf.DUMMYFUNCTION("GOOGLETRANSLATE(G741,""pl"",""en"")"),"street. Wojska Polskiego 26a, Międzywodzie, Dziwnów, Kamieński, West Pomeranian Voivodeship")</f>
        <v>street. Wojska Polskiego 26a, Międzywodzie, Dziwnów, Kamieński, West Pomeranian Voivodeship</v>
      </c>
      <c r="I741" s="1" t="b">
        <v>1</v>
      </c>
      <c r="J741" s="1" t="s">
        <v>21</v>
      </c>
      <c r="K741" s="1" t="s">
        <v>22</v>
      </c>
      <c r="L741" s="1" t="s">
        <v>3509</v>
      </c>
      <c r="M741" s="1">
        <v>1</v>
      </c>
      <c r="N741" s="1" t="s">
        <v>24</v>
      </c>
      <c r="O741" s="1" t="str">
        <f ca="1">IFERROR(__xludf.DUMMYFUNCTION("GOOGLETRANSLATE(N741,""pl"",""en"")"),"full ownership")</f>
        <v>full ownership</v>
      </c>
      <c r="P741" s="3" t="s">
        <v>3510</v>
      </c>
      <c r="Q741" s="1" t="b">
        <v>1</v>
      </c>
      <c r="R741" s="1" t="s">
        <v>3511</v>
      </c>
    </row>
    <row r="742" spans="1:18" x14ac:dyDescent="0.25">
      <c r="A742" s="2">
        <v>45308</v>
      </c>
      <c r="B742" s="1" t="s">
        <v>3512</v>
      </c>
      <c r="C742" s="1" t="str">
        <f ca="1">IFERROR(__xludf.DUMMYFUNCTION("GOOGLETRANSLATE(B742,""pl"",""en"")"),"House in the countryside with large buildings. economic.")</f>
        <v>House in the countryside with large buildings. economic.</v>
      </c>
      <c r="D742" s="1">
        <v>299000</v>
      </c>
      <c r="E742" s="1" t="s">
        <v>33</v>
      </c>
      <c r="F742" s="1">
        <v>130</v>
      </c>
      <c r="G742" s="1" t="s">
        <v>3513</v>
      </c>
      <c r="H742" s="1" t="str">
        <f ca="1">IFERROR(__xludf.DUMMYFUNCTION("GOOGLETRANSLATE(G742,""pl"",""en"")"),"Kierzków, Myślibórz, Myśliborski, West Pomeranian Voivodeship")</f>
        <v>Kierzków, Myślibórz, Myśliborski, West Pomeranian Voivodeship</v>
      </c>
      <c r="I742" s="1" t="b">
        <v>1</v>
      </c>
      <c r="J742" s="1" t="s">
        <v>21</v>
      </c>
      <c r="K742" s="1" t="s">
        <v>22</v>
      </c>
      <c r="L742" s="1" t="s">
        <v>3514</v>
      </c>
      <c r="M742" s="1">
        <v>4</v>
      </c>
      <c r="N742" s="1" t="s">
        <v>21</v>
      </c>
      <c r="O742" s="1" t="str">
        <f ca="1">IFERROR(__xludf.DUMMYFUNCTION("GOOGLETRANSLATE(N742,""pl"",""en"")"),"null")</f>
        <v>null</v>
      </c>
      <c r="P742" s="3" t="s">
        <v>3515</v>
      </c>
      <c r="Q742" s="1" t="b">
        <v>1</v>
      </c>
      <c r="R742" s="1" t="s">
        <v>3516</v>
      </c>
    </row>
    <row r="743" spans="1:18" x14ac:dyDescent="0.25">
      <c r="A743" s="2">
        <v>45308</v>
      </c>
      <c r="B743" s="1" t="s">
        <v>3517</v>
      </c>
      <c r="C743" s="1" t="str">
        <f ca="1">IFERROR(__xludf.DUMMYFUNCTION("GOOGLETRANSLATE(B743,""pl"",""en"")"),"Detached house/3 separate apartments/Garden/Zębice")</f>
        <v>Detached house/3 separate apartments/Garden/Zębice</v>
      </c>
      <c r="D743" s="1">
        <v>1190000</v>
      </c>
      <c r="E743" s="1" t="s">
        <v>33</v>
      </c>
      <c r="F743" s="1">
        <v>336.75</v>
      </c>
      <c r="G743" s="1" t="s">
        <v>3518</v>
      </c>
      <c r="H743" s="1" t="str">
        <f ca="1">IFERROR(__xludf.DUMMYFUNCTION("GOOGLETRANSLATE(G743,""pl"",""en"")"),"Zębice, Siechnice, Wrocław, DolnoSilesian Voivodeship")</f>
        <v>Zębice, Siechnice, Wrocław, DolnoSilesian Voivodeship</v>
      </c>
      <c r="I743" s="1" t="b">
        <v>1</v>
      </c>
      <c r="J743" s="1" t="s">
        <v>21</v>
      </c>
      <c r="K743" s="1" t="s">
        <v>22</v>
      </c>
      <c r="L743" s="1" t="s">
        <v>3519</v>
      </c>
      <c r="M743" s="1">
        <v>6</v>
      </c>
      <c r="N743" s="1" t="s">
        <v>21</v>
      </c>
      <c r="O743" s="1" t="str">
        <f ca="1">IFERROR(__xludf.DUMMYFUNCTION("GOOGLETRANSLATE(N743,""pl"",""en"")"),"null")</f>
        <v>null</v>
      </c>
      <c r="P743" s="3" t="s">
        <v>3520</v>
      </c>
      <c r="Q743" s="1" t="b">
        <v>1</v>
      </c>
      <c r="R743" s="1" t="s">
        <v>3521</v>
      </c>
    </row>
    <row r="744" spans="1:18" x14ac:dyDescent="0.25">
      <c r="A744" s="2">
        <v>45308</v>
      </c>
      <c r="B744" s="1" t="s">
        <v>3522</v>
      </c>
      <c r="C744" s="1" t="str">
        <f ca="1">IFERROR(__xludf.DUMMYFUNCTION("GOOGLETRANSLATE(B744,""pl"",""en"")"),"Apartment with a large terrace")</f>
        <v>Apartment with a large terrace</v>
      </c>
      <c r="D744" s="1">
        <v>1891706</v>
      </c>
      <c r="E744" s="1" t="s">
        <v>19</v>
      </c>
      <c r="F744" s="1">
        <v>94.68</v>
      </c>
      <c r="G744" s="1" t="s">
        <v>4798</v>
      </c>
      <c r="H744" s="1" t="str">
        <f ca="1">IFERROR(__xludf.DUMMYFUNCTION("GOOGLETRANSLATE(G744,""pl"",""en"")"),"Łobzów, Krowodrza, Kraków, Lesser Poland")</f>
        <v>Łobzów, Krowodrza, Kraków, Lesser Poland</v>
      </c>
      <c r="I744" s="1" t="s">
        <v>21</v>
      </c>
      <c r="J744" s="1" t="s">
        <v>21</v>
      </c>
      <c r="K744" s="1" t="s">
        <v>22</v>
      </c>
      <c r="L744" s="1" t="s">
        <v>3523</v>
      </c>
      <c r="M744" s="1">
        <v>2</v>
      </c>
      <c r="N744" s="1" t="s">
        <v>24</v>
      </c>
      <c r="O744" s="1" t="str">
        <f ca="1">IFERROR(__xludf.DUMMYFUNCTION("GOOGLETRANSLATE(N744,""pl"",""en"")"),"full ownership")</f>
        <v>full ownership</v>
      </c>
      <c r="P744" s="3" t="s">
        <v>3524</v>
      </c>
      <c r="Q744" s="1" t="b">
        <v>1</v>
      </c>
      <c r="R744" s="1" t="s">
        <v>3525</v>
      </c>
    </row>
    <row r="745" spans="1:18" x14ac:dyDescent="0.25">
      <c r="A745" s="2">
        <v>45173</v>
      </c>
      <c r="B745" s="1" t="s">
        <v>3526</v>
      </c>
      <c r="C745" s="1" t="str">
        <f ca="1">IFERROR(__xludf.DUMMYFUNCTION("GOOGLETRANSLATE(B745,""pl"",""en"")"),"A modern apartment near Yacht Park")</f>
        <v>A modern apartment near Yacht Park</v>
      </c>
      <c r="D745" s="1">
        <v>895620</v>
      </c>
      <c r="E745" s="1" t="s">
        <v>33</v>
      </c>
      <c r="F745" s="1">
        <v>38.94</v>
      </c>
      <c r="G745" s="1" t="s">
        <v>3527</v>
      </c>
      <c r="H745" s="1" t="str">
        <f ca="1">IFERROR(__xludf.DUMMYFUNCTION("GOOGLETRANSLATE(G745,""pl"",""en"")"),"street. Stefan Żeromski, Śródmieście, Gdynia, Pomeranian")</f>
        <v>street. Stefan Żeromski, Śródmieście, Gdynia, Pomeranian</v>
      </c>
      <c r="I745" s="1" t="s">
        <v>21</v>
      </c>
      <c r="J745" s="1" t="s">
        <v>21</v>
      </c>
      <c r="K745" s="1" t="s">
        <v>22</v>
      </c>
      <c r="L745" s="1" t="s">
        <v>3528</v>
      </c>
      <c r="M745" s="1">
        <v>2</v>
      </c>
      <c r="N745" s="1" t="s">
        <v>24</v>
      </c>
      <c r="O745" s="1" t="str">
        <f ca="1">IFERROR(__xludf.DUMMYFUNCTION("GOOGLETRANSLATE(N745,""pl"",""en"")"),"full ownership")</f>
        <v>full ownership</v>
      </c>
      <c r="P745" s="3" t="s">
        <v>3529</v>
      </c>
      <c r="Q745" s="1" t="b">
        <v>1</v>
      </c>
      <c r="R745" s="1" t="s">
        <v>3530</v>
      </c>
    </row>
    <row r="746" spans="1:18" x14ac:dyDescent="0.25">
      <c r="A746" s="2">
        <v>45173</v>
      </c>
      <c r="B746" s="1" t="s">
        <v>3531</v>
      </c>
      <c r="C746" s="1" t="str">
        <f ca="1">IFERROR(__xludf.DUMMYFUNCTION("GOOGLETRANSLATE(B746,""pl"",""en"")"),"Modern house 120m2 Swoszowice- Kraków 8000 PLN/m2")</f>
        <v>Modern house 120m2 Swoszowice- Kraków 8000 PLN/m2</v>
      </c>
      <c r="D746" s="1">
        <v>959000</v>
      </c>
      <c r="E746" s="1" t="s">
        <v>19</v>
      </c>
      <c r="F746" s="1">
        <v>120</v>
      </c>
      <c r="G746" s="1" t="s">
        <v>4799</v>
      </c>
      <c r="H746" s="1" t="str">
        <f ca="1">IFERROR(__xludf.DUMMYFUNCTION("GOOGLETRANSLATE(G746,""pl"",""en"")"),"street. Mirosława Krzyżański, Wróblowice, Swoszowice, Kraków, Lesser Poland")</f>
        <v>street. Mirosława Krzyżański, Wróblowice, Swoszowice, Kraków, Lesser Poland</v>
      </c>
      <c r="I746" s="1" t="b">
        <v>1</v>
      </c>
      <c r="J746" s="1" t="s">
        <v>21</v>
      </c>
      <c r="K746" s="1" t="s">
        <v>22</v>
      </c>
      <c r="L746" s="1" t="s">
        <v>3532</v>
      </c>
      <c r="M746" s="1">
        <v>4</v>
      </c>
      <c r="N746" s="1" t="s">
        <v>21</v>
      </c>
      <c r="O746" s="1" t="str">
        <f ca="1">IFERROR(__xludf.DUMMYFUNCTION("GOOGLETRANSLATE(N746,""pl"",""en"")"),"null")</f>
        <v>null</v>
      </c>
      <c r="P746" s="3" t="s">
        <v>3533</v>
      </c>
      <c r="Q746" s="1" t="b">
        <v>1</v>
      </c>
      <c r="R746" s="1" t="s">
        <v>3534</v>
      </c>
    </row>
    <row r="747" spans="1:18" x14ac:dyDescent="0.25">
      <c r="A747" s="2">
        <v>45173</v>
      </c>
      <c r="B747" s="1" t="s">
        <v>3535</v>
      </c>
      <c r="C747" s="1" t="str">
        <f ca="1">IFERROR(__xludf.DUMMYFUNCTION("GOOGLETRANSLATE(B747,""pl"",""en"")"),"Apartment with a view of the Jizera Mountains 82.3 m2")</f>
        <v>Apartment with a view of the Jizera Mountains 82.3 m2</v>
      </c>
      <c r="D747" s="1">
        <v>419000</v>
      </c>
      <c r="E747" s="1" t="s">
        <v>33</v>
      </c>
      <c r="F747" s="1">
        <v>82.3</v>
      </c>
      <c r="G747" s="1" t="s">
        <v>3536</v>
      </c>
      <c r="H747" s="1" t="str">
        <f ca="1">IFERROR(__xludf.DUMMYFUNCTION("GOOGLETRANSLATE(G747,""pl"",""en"")"),"street. Strzegnicza, Gryfów Śląski, Gryfów Śląski, Lwówecki, Lower Silesia")</f>
        <v>street. Strzegnicza, Gryfów Śląski, Gryfów Śląski, Lwówecki, Lower Silesia</v>
      </c>
      <c r="I747" s="1" t="s">
        <v>21</v>
      </c>
      <c r="J747" s="1" t="s">
        <v>21</v>
      </c>
      <c r="K747" s="1" t="s">
        <v>45</v>
      </c>
      <c r="L747" s="1" t="s">
        <v>3537</v>
      </c>
      <c r="M747" s="1">
        <v>4</v>
      </c>
      <c r="N747" s="1" t="s">
        <v>24</v>
      </c>
      <c r="O747" s="1" t="str">
        <f ca="1">IFERROR(__xludf.DUMMYFUNCTION("GOOGLETRANSLATE(N747,""pl"",""en"")"),"full ownership")</f>
        <v>full ownership</v>
      </c>
      <c r="P747" s="3" t="s">
        <v>3538</v>
      </c>
      <c r="Q747" s="1" t="b">
        <v>1</v>
      </c>
      <c r="R747" s="1" t="s">
        <v>3539</v>
      </c>
    </row>
    <row r="748" spans="1:18" x14ac:dyDescent="0.25">
      <c r="A748" s="2">
        <v>45308</v>
      </c>
      <c r="B748" s="1" t="s">
        <v>3540</v>
      </c>
      <c r="C748" s="1" t="str">
        <f ca="1">IFERROR(__xludf.DUMMYFUNCTION("GOOGLETRANSLATE(B748,""pl"",""en"")"),"Series - Rhine estate - we recommend")</f>
        <v>Series - Rhine estate - we recommend</v>
      </c>
      <c r="D748" s="1">
        <v>725000</v>
      </c>
      <c r="E748" s="1" t="s">
        <v>19</v>
      </c>
      <c r="F748" s="1">
        <v>129.24</v>
      </c>
      <c r="G748" s="1" t="s">
        <v>3541</v>
      </c>
      <c r="H748" s="1" t="str">
        <f ca="1">IFERROR(__xludf.DUMMYFUNCTION("GOOGLETRANSLATE(G748,""pl"",""en"")"),"Oława, Oławski, DolnoSilesian Voivodeship")</f>
        <v>Oława, Oławski, DolnoSilesian Voivodeship</v>
      </c>
      <c r="I748" s="1" t="b">
        <v>1</v>
      </c>
      <c r="J748" s="1" t="s">
        <v>21</v>
      </c>
      <c r="K748" s="1" t="s">
        <v>22</v>
      </c>
      <c r="L748" s="1" t="s">
        <v>3542</v>
      </c>
      <c r="M748" s="1">
        <v>1</v>
      </c>
      <c r="N748" s="1" t="s">
        <v>21</v>
      </c>
      <c r="O748" s="1" t="str">
        <f ca="1">IFERROR(__xludf.DUMMYFUNCTION("GOOGLETRANSLATE(N748,""pl"",""en"")"),"null")</f>
        <v>null</v>
      </c>
      <c r="P748" s="3" t="s">
        <v>3543</v>
      </c>
      <c r="Q748" s="1" t="b">
        <v>1</v>
      </c>
      <c r="R748" s="1" t="s">
        <v>3544</v>
      </c>
    </row>
    <row r="749" spans="1:18" x14ac:dyDescent="0.25">
      <c r="A749" s="2">
        <v>45308</v>
      </c>
      <c r="B749" s="1" t="s">
        <v>3545</v>
      </c>
      <c r="C749" s="1" t="str">
        <f ca="1">IFERROR(__xludf.DUMMYFUNCTION("GOOGLETRANSLATE(B749,""pl"",""en"")"),"M2 for the family, garden, cell, garage, ready")</f>
        <v>M2 for the family, garden, cell, garage, ready</v>
      </c>
      <c r="D749" s="1">
        <v>640118</v>
      </c>
      <c r="E749" s="1" t="s">
        <v>19</v>
      </c>
      <c r="F749" s="1">
        <v>52.66</v>
      </c>
      <c r="G749" s="1" t="s">
        <v>3546</v>
      </c>
      <c r="H749" s="1" t="str">
        <f ca="1">IFERROR(__xludf.DUMMYFUNCTION("GOOGLETRANSLATE(G749,""pl"",""en"")"),"street. Dedicated, dedicated, Psie Pole, Wrocław, DolnoSilesian Voivodeship")</f>
        <v>street. Dedicated, dedicated, Psie Pole, Wrocław, DolnoSilesian Voivodeship</v>
      </c>
      <c r="I749" s="1" t="s">
        <v>21</v>
      </c>
      <c r="J749" s="1" t="s">
        <v>21</v>
      </c>
      <c r="K749" s="1" t="s">
        <v>22</v>
      </c>
      <c r="L749" s="1" t="s">
        <v>3547</v>
      </c>
      <c r="M749" s="1">
        <v>2</v>
      </c>
      <c r="N749" s="1" t="s">
        <v>24</v>
      </c>
      <c r="O749" s="1" t="str">
        <f ca="1">IFERROR(__xludf.DUMMYFUNCTION("GOOGLETRANSLATE(N749,""pl"",""en"")"),"full ownership")</f>
        <v>full ownership</v>
      </c>
      <c r="P749" s="3" t="s">
        <v>3548</v>
      </c>
      <c r="Q749" s="1" t="b">
        <v>1</v>
      </c>
      <c r="R749" s="1" t="s">
        <v>3549</v>
      </c>
    </row>
    <row r="750" spans="1:18" x14ac:dyDescent="0.25">
      <c r="A750" s="2">
        <v>45308</v>
      </c>
      <c r="B750" s="1" t="s">
        <v>3550</v>
      </c>
      <c r="C750" s="1" t="str">
        <f ca="1">IFERROR(__xludf.DUMMYFUNCTION("GOOGLETRANSLATE(B750,""pl"",""en"")"),"Comfortable 2-room")</f>
        <v>Comfortable 2-room</v>
      </c>
      <c r="D750" s="1">
        <v>535535</v>
      </c>
      <c r="E750" s="1" t="s">
        <v>19</v>
      </c>
      <c r="F750" s="1">
        <v>69.55</v>
      </c>
      <c r="G750" s="1" t="s">
        <v>3551</v>
      </c>
      <c r="H750" s="1" t="str">
        <f ca="1">IFERROR(__xludf.DUMMYFUNCTION("GOOGLETRANSLATE(G750,""pl"",""en"")"),"street. Zamkowa, Tczew, Tczewski, Pomeranian Voivodeship")</f>
        <v>street. Zamkowa, Tczew, Tczewski, Pomeranian Voivodeship</v>
      </c>
      <c r="I750" s="1" t="s">
        <v>21</v>
      </c>
      <c r="J750" s="1" t="s">
        <v>21</v>
      </c>
      <c r="K750" s="1" t="s">
        <v>22</v>
      </c>
      <c r="L750" s="1" t="s">
        <v>3552</v>
      </c>
      <c r="M750" s="1">
        <v>2</v>
      </c>
      <c r="N750" s="1" t="s">
        <v>24</v>
      </c>
      <c r="O750" s="1" t="str">
        <f ca="1">IFERROR(__xludf.DUMMYFUNCTION("GOOGLETRANSLATE(N750,""pl"",""en"")"),"full ownership")</f>
        <v>full ownership</v>
      </c>
      <c r="P750" s="3" t="s">
        <v>3553</v>
      </c>
      <c r="Q750" s="1" t="b">
        <v>1</v>
      </c>
      <c r="R750" s="1" t="s">
        <v>3554</v>
      </c>
    </row>
    <row r="751" spans="1:18" x14ac:dyDescent="0.25">
      <c r="A751" s="2">
        <v>45308</v>
      </c>
      <c r="B751" s="1" t="s">
        <v>3555</v>
      </c>
      <c r="C751" s="1" t="str">
        <f ca="1">IFERROR(__xludf.DUMMYFUNCTION("GOOGLETRANSLATE(B751,""pl"",""en"")"),"Studio in the style of the Italian 1970s Prague port")</f>
        <v>Studio in the style of the Italian 1970s Prague port</v>
      </c>
      <c r="D751" s="1">
        <v>1000000</v>
      </c>
      <c r="E751" s="1" t="s">
        <v>33</v>
      </c>
      <c r="F751" s="1">
        <v>30.74</v>
      </c>
      <c r="G751" s="1" t="s">
        <v>3556</v>
      </c>
      <c r="H751" s="1" t="str">
        <f ca="1">IFERROR(__xludf.DUMMYFUNCTION("GOOGLETRANSLATE(G751,""pl"",""en"")"),"street. Józef Sierakowski, Stara Praga, Praga-Północ, Warsaw, Masovian Voivodeship")</f>
        <v>street. Józef Sierakowski, Stara Praga, Praga-Północ, Warsaw, Masovian Voivodeship</v>
      </c>
      <c r="I751" s="1" t="s">
        <v>21</v>
      </c>
      <c r="J751" s="1" t="s">
        <v>21</v>
      </c>
      <c r="K751" s="1" t="s">
        <v>22</v>
      </c>
      <c r="L751" s="1" t="s">
        <v>3557</v>
      </c>
      <c r="M751" s="1">
        <v>1</v>
      </c>
      <c r="N751" s="1" t="s">
        <v>24</v>
      </c>
      <c r="O751" s="1" t="str">
        <f ca="1">IFERROR(__xludf.DUMMYFUNCTION("GOOGLETRANSLATE(N751,""pl"",""en"")"),"full ownership")</f>
        <v>full ownership</v>
      </c>
      <c r="P751" s="3" t="s">
        <v>3558</v>
      </c>
      <c r="Q751" s="1" t="b">
        <v>1</v>
      </c>
      <c r="R751" s="1" t="s">
        <v>3559</v>
      </c>
    </row>
    <row r="752" spans="1:18" x14ac:dyDescent="0.25">
      <c r="A752" s="2">
        <v>45308</v>
      </c>
      <c r="B752" s="1" t="s">
        <v>3560</v>
      </c>
      <c r="C752" s="1" t="str">
        <f ca="1">IFERROR(__xludf.DUMMYFUNCTION("GOOGLETRANSLATE(B752,""pl"",""en"")"),"The center itself - all close/Spodek/KTW/Dworzec")</f>
        <v>The center itself - all close/Spodek/KTW/Dworzec</v>
      </c>
      <c r="D752" s="1">
        <v>399000</v>
      </c>
      <c r="E752" s="1" t="s">
        <v>33</v>
      </c>
      <c r="F752" s="1">
        <v>36.799999999999997</v>
      </c>
      <c r="G752" s="1" t="s">
        <v>3561</v>
      </c>
      <c r="H752" s="1" t="str">
        <f ca="1">IFERROR(__xludf.DUMMYFUNCTION("GOOGLETRANSLATE(G752,""pl"",""en"")"),"street. Sokolska, Śródmieście, Katowice, Silesian Voivodeship")</f>
        <v>street. Sokolska, Śródmieście, Katowice, Silesian Voivodeship</v>
      </c>
      <c r="I752" s="1" t="s">
        <v>21</v>
      </c>
      <c r="J752" s="1" t="s">
        <v>21</v>
      </c>
      <c r="K752" s="1" t="s">
        <v>22</v>
      </c>
      <c r="L752" s="1" t="s">
        <v>3562</v>
      </c>
      <c r="M752" s="1">
        <v>2</v>
      </c>
      <c r="N752" s="1" t="s">
        <v>24</v>
      </c>
      <c r="O752" s="1" t="str">
        <f ca="1">IFERROR(__xludf.DUMMYFUNCTION("GOOGLETRANSLATE(N752,""pl"",""en"")"),"full ownership")</f>
        <v>full ownership</v>
      </c>
      <c r="P752" s="3" t="s">
        <v>3563</v>
      </c>
      <c r="Q752" s="1" t="b">
        <v>1</v>
      </c>
      <c r="R752" s="1" t="s">
        <v>3564</v>
      </c>
    </row>
    <row r="753" spans="1:18" x14ac:dyDescent="0.25">
      <c r="A753" s="2">
        <v>45308</v>
      </c>
      <c r="B753" s="1" t="s">
        <v>3565</v>
      </c>
      <c r="C753" s="1" t="str">
        <f ca="1">IFERROR(__xludf.DUMMYFUNCTION("GOOGLETRANSLATE(B753,""pl"",""en"")"),"Attractive, furnished apartment 76 m2")</f>
        <v>Attractive, furnished apartment 76 m2</v>
      </c>
      <c r="D753" s="1">
        <v>679000</v>
      </c>
      <c r="E753" s="1" t="s">
        <v>33</v>
      </c>
      <c r="F753" s="1">
        <v>75</v>
      </c>
      <c r="G753" s="1" t="s">
        <v>3566</v>
      </c>
      <c r="H753" s="1" t="str">
        <f ca="1">IFERROR(__xludf.DUMMYFUNCTION("GOOGLETRANSLATE(G753,""pl"",""en"")"),"Szwederowo, Bydgoszcz, Kujawsko-Pomeranian Voivodeship")</f>
        <v>Szwederowo, Bydgoszcz, Kujawsko-Pomeranian Voivodeship</v>
      </c>
      <c r="I753" s="1" t="s">
        <v>21</v>
      </c>
      <c r="J753" s="1" t="s">
        <v>21</v>
      </c>
      <c r="K753" s="1" t="s">
        <v>22</v>
      </c>
      <c r="L753" s="1" t="s">
        <v>3567</v>
      </c>
      <c r="M753" s="1">
        <v>2</v>
      </c>
      <c r="N753" s="1" t="s">
        <v>24</v>
      </c>
      <c r="O753" s="1" t="str">
        <f ca="1">IFERROR(__xludf.DUMMYFUNCTION("GOOGLETRANSLATE(N753,""pl"",""en"")"),"full ownership")</f>
        <v>full ownership</v>
      </c>
      <c r="P753" s="3" t="s">
        <v>3568</v>
      </c>
      <c r="Q753" s="1" t="b">
        <v>1</v>
      </c>
      <c r="R753" s="1" t="s">
        <v>3569</v>
      </c>
    </row>
    <row r="754" spans="1:18" x14ac:dyDescent="0.25">
      <c r="A754" s="2">
        <v>45308</v>
      </c>
      <c r="B754" s="1" t="s">
        <v>3570</v>
      </c>
      <c r="C754" s="1" t="str">
        <f ca="1">IFERROR(__xludf.DUMMYFUNCTION("GOOGLETRANSLATE(B754,""pl"",""en"")"),"4pok., Two -level, balcony, K.Lokatorska, Maślice")</f>
        <v>4pok., Two -level, balcony, K.Lokatorska, Maślice</v>
      </c>
      <c r="D754" s="1">
        <v>929000</v>
      </c>
      <c r="E754" s="1" t="s">
        <v>33</v>
      </c>
      <c r="F754" s="1">
        <v>81.34</v>
      </c>
      <c r="G754" s="1" t="s">
        <v>3571</v>
      </c>
      <c r="H754" s="1" t="str">
        <f ca="1">IFERROR(__xludf.DUMMYFUNCTION("GOOGLETRANSLATE(G754,""pl"",""en"")"),"street. Królewiecka, Maślice, Fabryczna, Wrocław, DolnoSilesian Voivodeship")</f>
        <v>street. Królewiecka, Maślice, Fabryczna, Wrocław, DolnoSilesian Voivodeship</v>
      </c>
      <c r="I754" s="1" t="s">
        <v>21</v>
      </c>
      <c r="J754" s="1" t="s">
        <v>21</v>
      </c>
      <c r="K754" s="1" t="s">
        <v>22</v>
      </c>
      <c r="L754" s="1" t="s">
        <v>3572</v>
      </c>
      <c r="M754" s="1">
        <v>4</v>
      </c>
      <c r="N754" s="1" t="s">
        <v>24</v>
      </c>
      <c r="O754" s="1" t="str">
        <f ca="1">IFERROR(__xludf.DUMMYFUNCTION("GOOGLETRANSLATE(N754,""pl"",""en"")"),"full ownership")</f>
        <v>full ownership</v>
      </c>
      <c r="P754" s="3" t="s">
        <v>3573</v>
      </c>
      <c r="Q754" s="1" t="b">
        <v>1</v>
      </c>
      <c r="R754" s="1" t="s">
        <v>3574</v>
      </c>
    </row>
    <row r="755" spans="1:18" x14ac:dyDescent="0.25">
      <c r="A755" s="2">
        <v>45173</v>
      </c>
      <c r="B755" s="1" t="s">
        <v>3575</v>
      </c>
      <c r="C755" s="1" t="str">
        <f ca="1">IFERROR(__xludf.DUMMYFUNCTION("GOOGLETRANSLATE(B755,""pl"",""en"")"),"Apartment with a garden in Ciechocinek (M7)")</f>
        <v>Apartment with a garden in Ciechocinek (M7)</v>
      </c>
      <c r="D755" s="1">
        <v>434475</v>
      </c>
      <c r="E755" s="1" t="s">
        <v>19</v>
      </c>
      <c r="F755" s="1">
        <v>57.93</v>
      </c>
      <c r="G755" s="1" t="s">
        <v>3576</v>
      </c>
      <c r="H755" s="1" t="str">
        <f ca="1">IFERROR(__xludf.DUMMYFUNCTION("GOOGLETRANSLATE(G755,""pl"",""en"")"),"Ciechocinek, Aleksandrowski, Kujawsko-Pomeranian Voivodeship")</f>
        <v>Ciechocinek, Aleksandrowski, Kujawsko-Pomeranian Voivodeship</v>
      </c>
      <c r="I755" s="1" t="s">
        <v>21</v>
      </c>
      <c r="J755" s="1" t="s">
        <v>21</v>
      </c>
      <c r="K755" s="1" t="s">
        <v>194</v>
      </c>
      <c r="L755" s="1" t="s">
        <v>3577</v>
      </c>
      <c r="M755" s="1">
        <v>3</v>
      </c>
      <c r="N755" s="1" t="s">
        <v>24</v>
      </c>
      <c r="O755" s="1" t="str">
        <f ca="1">IFERROR(__xludf.DUMMYFUNCTION("GOOGLETRANSLATE(N755,""pl"",""en"")"),"full ownership")</f>
        <v>full ownership</v>
      </c>
      <c r="P755" s="3" t="s">
        <v>3578</v>
      </c>
      <c r="Q755" s="1" t="b">
        <v>1</v>
      </c>
      <c r="R755" s="1" t="s">
        <v>3579</v>
      </c>
    </row>
    <row r="756" spans="1:18" x14ac:dyDescent="0.25">
      <c r="A756" s="2">
        <v>45173</v>
      </c>
      <c r="B756" s="1" t="s">
        <v>3580</v>
      </c>
      <c r="C756" s="1" t="str">
        <f ca="1">IFERROR(__xludf.DUMMYFUNCTION("GOOGLETRANSLATE(B756,""pl"",""en"")"),"Energy -saving smart house with a garden and fireplace.")</f>
        <v>Energy -saving smart house with a garden and fireplace.</v>
      </c>
      <c r="D756" s="1">
        <v>1050000</v>
      </c>
      <c r="E756" s="1" t="s">
        <v>33</v>
      </c>
      <c r="F756" s="1">
        <v>163</v>
      </c>
      <c r="G756" s="1" t="s">
        <v>3581</v>
      </c>
      <c r="H756" s="1" t="str">
        <f ca="1">IFERROR(__xludf.DUMMYFUNCTION("GOOGLETRANSLATE(G756,""pl"",""en"")"),"Dąbrowa, Miszewko, Żukowo, Kartuski, Pomeranian")</f>
        <v>Dąbrowa, Miszewko, Żukowo, Kartuski, Pomeranian</v>
      </c>
      <c r="I756" s="1" t="b">
        <v>1</v>
      </c>
      <c r="J756" s="1" t="s">
        <v>21</v>
      </c>
      <c r="K756" s="1" t="s">
        <v>22</v>
      </c>
      <c r="L756" s="1" t="s">
        <v>3582</v>
      </c>
      <c r="M756" s="1">
        <v>5</v>
      </c>
      <c r="N756" s="1" t="s">
        <v>21</v>
      </c>
      <c r="O756" s="1" t="str">
        <f ca="1">IFERROR(__xludf.DUMMYFUNCTION("GOOGLETRANSLATE(N756,""pl"",""en"")"),"null")</f>
        <v>null</v>
      </c>
      <c r="P756" s="3" t="s">
        <v>3583</v>
      </c>
      <c r="Q756" s="1" t="b">
        <v>1</v>
      </c>
      <c r="R756" s="1" t="s">
        <v>3584</v>
      </c>
    </row>
    <row r="757" spans="1:18" x14ac:dyDescent="0.25">
      <c r="A757" s="2">
        <v>45173</v>
      </c>
      <c r="B757" s="1" t="s">
        <v>3585</v>
      </c>
      <c r="C757" s="1" t="str">
        <f ca="1">IFERROR(__xludf.DUMMYFUNCTION("GOOGLETRANSLATE(B757,""pl"",""en"")"),"Hunting and 43m and 2 rooms and BK 2% and directly")</f>
        <v>Hunting and 43m and 2 rooms and BK 2% and directly</v>
      </c>
      <c r="D757" s="1">
        <v>694000</v>
      </c>
      <c r="E757" s="1" t="s">
        <v>33</v>
      </c>
      <c r="F757" s="1">
        <v>43.38</v>
      </c>
      <c r="G757" s="1" t="s">
        <v>4800</v>
      </c>
      <c r="H757" s="1" t="str">
        <f ca="1">IFERROR(__xludf.DUMMYFUNCTION("GOOGLETRANSLATE(G757,""pl"",""en"")"),"street. Myśliwska, Płaszów, Podgórze, Kraków, Lesser Poland")</f>
        <v>street. Myśliwska, Płaszów, Podgórze, Kraków, Lesser Poland</v>
      </c>
      <c r="I757" s="1" t="s">
        <v>21</v>
      </c>
      <c r="J757" s="1" t="s">
        <v>21</v>
      </c>
      <c r="K757" s="1" t="s">
        <v>45</v>
      </c>
      <c r="L757" s="1" t="s">
        <v>3586</v>
      </c>
      <c r="M757" s="1">
        <v>2</v>
      </c>
      <c r="N757" s="1" t="s">
        <v>24</v>
      </c>
      <c r="O757" s="1" t="str">
        <f ca="1">IFERROR(__xludf.DUMMYFUNCTION("GOOGLETRANSLATE(N757,""pl"",""en"")"),"full ownership")</f>
        <v>full ownership</v>
      </c>
      <c r="P757" s="3" t="s">
        <v>3587</v>
      </c>
      <c r="Q757" s="1" t="b">
        <v>1</v>
      </c>
      <c r="R757" s="1" t="s">
        <v>3588</v>
      </c>
    </row>
    <row r="758" spans="1:18" x14ac:dyDescent="0.25">
      <c r="A758" s="2">
        <v>45173</v>
      </c>
      <c r="B758" s="1" t="s">
        <v>3589</v>
      </c>
      <c r="C758" s="1" t="str">
        <f ca="1">IFERROR(__xludf.DUMMYFUNCTION("GOOGLETRANSLATE(B758,""pl"",""en"")"),"A flat with potential at the Nałkowskie estate")</f>
        <v>A flat with potential at the Nałkowskie estate</v>
      </c>
      <c r="D758" s="1">
        <v>380000</v>
      </c>
      <c r="E758" s="1" t="s">
        <v>33</v>
      </c>
      <c r="F758" s="1">
        <v>68</v>
      </c>
      <c r="G758" s="1" t="s">
        <v>3590</v>
      </c>
      <c r="H758" s="1" t="str">
        <f ca="1">IFERROR(__xludf.DUMMYFUNCTION("GOOGLETRANSLATE(G758,""pl"",""en"")"),"street. Jana Samsonowicz 27, Wrotków, Lublin, Lublin Voivodeship")</f>
        <v>street. Jana Samsonowicz 27, Wrotków, Lublin, Lublin Voivodeship</v>
      </c>
      <c r="I758" s="1" t="s">
        <v>21</v>
      </c>
      <c r="J758" s="1" t="s">
        <v>21</v>
      </c>
      <c r="K758" s="1" t="s">
        <v>45</v>
      </c>
      <c r="L758" s="1" t="s">
        <v>3591</v>
      </c>
      <c r="M758" s="1">
        <v>4</v>
      </c>
      <c r="N758" s="1" t="s">
        <v>24</v>
      </c>
      <c r="O758" s="1" t="str">
        <f ca="1">IFERROR(__xludf.DUMMYFUNCTION("GOOGLETRANSLATE(N758,""pl"",""en"")"),"full ownership")</f>
        <v>full ownership</v>
      </c>
      <c r="P758" s="3" t="s">
        <v>3592</v>
      </c>
      <c r="Q758" s="1" t="b">
        <v>1</v>
      </c>
      <c r="R758" s="1" t="s">
        <v>3593</v>
      </c>
    </row>
    <row r="759" spans="1:18" x14ac:dyDescent="0.25">
      <c r="A759" s="2">
        <v>45173</v>
      </c>
      <c r="B759" s="1" t="s">
        <v>3594</v>
      </c>
      <c r="C759" s="1" t="str">
        <f ca="1">IFERROR(__xludf.DUMMYFUNCTION("GOOGLETRANSLATE(B759,""pl"",""en"")"),"House Rybnik-Radziejów for sale! Large plot!")</f>
        <v>House Rybnik-Radziejów for sale! Large plot!</v>
      </c>
      <c r="D759" s="1">
        <v>359000</v>
      </c>
      <c r="E759" s="1" t="s">
        <v>33</v>
      </c>
      <c r="F759" s="1">
        <v>110</v>
      </c>
      <c r="G759" s="1" t="s">
        <v>3595</v>
      </c>
      <c r="H759" s="1" t="str">
        <f ca="1">IFERROR(__xludf.DUMMYFUNCTION("GOOGLETRANSLATE(G759,""pl"",""en"")"),"street. Three Krzyży, Radziejów, Rybnik, Silesian Voivodeship")</f>
        <v>street. Three Krzyży, Radziejów, Rybnik, Silesian Voivodeship</v>
      </c>
      <c r="I759" s="1" t="b">
        <v>1</v>
      </c>
      <c r="J759" s="1" t="s">
        <v>21</v>
      </c>
      <c r="K759" s="1" t="s">
        <v>22</v>
      </c>
      <c r="L759" s="1" t="s">
        <v>3596</v>
      </c>
      <c r="M759" s="1">
        <v>6</v>
      </c>
      <c r="N759" s="1" t="s">
        <v>21</v>
      </c>
      <c r="O759" s="1" t="str">
        <f ca="1">IFERROR(__xludf.DUMMYFUNCTION("GOOGLETRANSLATE(N759,""pl"",""en"")"),"null")</f>
        <v>null</v>
      </c>
      <c r="P759" s="3" t="s">
        <v>3597</v>
      </c>
      <c r="Q759" s="1" t="b">
        <v>1</v>
      </c>
      <c r="R759" s="1" t="s">
        <v>3598</v>
      </c>
    </row>
    <row r="760" spans="1:18" x14ac:dyDescent="0.25">
      <c r="A760" s="2">
        <v>45173</v>
      </c>
      <c r="B760" s="1" t="s">
        <v>3599</v>
      </c>
      <c r="C760" s="1" t="str">
        <f ca="1">IFERROR(__xludf.DUMMYFUNCTION("GOOGLETRANSLATE(B760,""pl"",""en"")"),"ecosegments heat pump recuperation loan 2%")</f>
        <v>ecosegments heat pump recuperation loan 2%</v>
      </c>
      <c r="D760" s="1">
        <v>649000</v>
      </c>
      <c r="E760" s="1" t="s">
        <v>19</v>
      </c>
      <c r="F760" s="1">
        <v>93</v>
      </c>
      <c r="G760" s="1" t="s">
        <v>3600</v>
      </c>
      <c r="H760" s="1" t="str">
        <f ca="1">IFERROR(__xludf.DUMMYFUNCTION("GOOGLETRANSLATE(G760,""pl"",""en"")"),"Lesznowola, Lesznowola, Piaseczyński, Masovian Voivodeship")</f>
        <v>Lesznowola, Lesznowola, Piaseczyński, Masovian Voivodeship</v>
      </c>
      <c r="I760" s="1" t="b">
        <v>1</v>
      </c>
      <c r="J760" s="1" t="s">
        <v>21</v>
      </c>
      <c r="K760" s="1" t="s">
        <v>45</v>
      </c>
      <c r="L760" s="1" t="s">
        <v>3601</v>
      </c>
      <c r="M760" s="1">
        <v>4</v>
      </c>
      <c r="N760" s="1" t="s">
        <v>21</v>
      </c>
      <c r="O760" s="1" t="str">
        <f ca="1">IFERROR(__xludf.DUMMYFUNCTION("GOOGLETRANSLATE(N760,""pl"",""en"")"),"null")</f>
        <v>null</v>
      </c>
      <c r="P760" s="3" t="s">
        <v>3602</v>
      </c>
      <c r="Q760" s="1" t="b">
        <v>1</v>
      </c>
      <c r="R760" s="1" t="s">
        <v>3603</v>
      </c>
    </row>
    <row r="761" spans="1:18" x14ac:dyDescent="0.25">
      <c r="A761" s="2">
        <v>45173</v>
      </c>
      <c r="B761" s="1" t="s">
        <v>3604</v>
      </c>
      <c r="C761" s="1" t="str">
        <f ca="1">IFERROR(__xludf.DUMMYFUNCTION("GOOGLETRANSLATE(B761,""pl"",""en"")"),"Possible installation of photovoltaics!")</f>
        <v>Possible installation of photovoltaics!</v>
      </c>
      <c r="D761" s="1">
        <v>863430</v>
      </c>
      <c r="E761" s="1" t="s">
        <v>19</v>
      </c>
      <c r="F761" s="1">
        <v>101.58</v>
      </c>
      <c r="G761" s="1" t="s">
        <v>4727</v>
      </c>
      <c r="H761" s="1" t="str">
        <f ca="1">IFERROR(__xludf.DUMMYFUNCTION("GOOGLETRANSLATE(G761,""pl"",""en"")"),"Bieżanów, Bieżanów-Prokocim, Kraków, Lesser Poland")</f>
        <v>Bieżanów, Bieżanów-Prokocim, Kraków, Lesser Poland</v>
      </c>
      <c r="I761" s="1" t="s">
        <v>21</v>
      </c>
      <c r="J761" s="1" t="s">
        <v>21</v>
      </c>
      <c r="K761" s="1" t="s">
        <v>22</v>
      </c>
      <c r="L761" s="1" t="s">
        <v>3605</v>
      </c>
      <c r="M761" s="1">
        <v>5</v>
      </c>
      <c r="N761" s="1" t="s">
        <v>24</v>
      </c>
      <c r="O761" s="1" t="str">
        <f ca="1">IFERROR(__xludf.DUMMYFUNCTION("GOOGLETRANSLATE(N761,""pl"",""en"")"),"full ownership")</f>
        <v>full ownership</v>
      </c>
      <c r="P761" s="3" t="s">
        <v>3606</v>
      </c>
      <c r="Q761" s="1" t="b">
        <v>1</v>
      </c>
      <c r="R761" s="1" t="s">
        <v>3607</v>
      </c>
    </row>
    <row r="762" spans="1:18" x14ac:dyDescent="0.25">
      <c r="A762" s="2">
        <v>45308</v>
      </c>
      <c r="B762" s="1" t="s">
        <v>3608</v>
      </c>
      <c r="C762" s="1" t="str">
        <f ca="1">IFERROR(__xludf.DUMMYFUNCTION("GOOGLETRANSLATE(B762,""pl"",""en"")"),"Two -level apartments with an independent entrance !!")</f>
        <v>Two -level apartments with an independent entrance !!</v>
      </c>
      <c r="D762" s="1">
        <v>549000</v>
      </c>
      <c r="E762" s="1" t="s">
        <v>33</v>
      </c>
      <c r="F762" s="1">
        <v>90</v>
      </c>
      <c r="G762" s="1" t="s">
        <v>3609</v>
      </c>
      <c r="H762" s="1" t="str">
        <f ca="1">IFERROR(__xludf.DUMMYFUNCTION("GOOGLETRANSLATE(G762,""pl"",""en"")"),"street. Gdynia, Słupsk, Pomeranian")</f>
        <v>street. Gdynia, Słupsk, Pomeranian</v>
      </c>
      <c r="I762" s="1" t="s">
        <v>21</v>
      </c>
      <c r="J762" s="1" t="s">
        <v>21</v>
      </c>
      <c r="K762" s="1" t="s">
        <v>22</v>
      </c>
      <c r="L762" s="1" t="s">
        <v>3610</v>
      </c>
      <c r="M762" s="1">
        <v>4</v>
      </c>
      <c r="N762" s="1" t="s">
        <v>24</v>
      </c>
      <c r="O762" s="1" t="str">
        <f ca="1">IFERROR(__xludf.DUMMYFUNCTION("GOOGLETRANSLATE(N762,""pl"",""en"")"),"full ownership")</f>
        <v>full ownership</v>
      </c>
      <c r="P762" s="3" t="s">
        <v>3611</v>
      </c>
      <c r="Q762" s="1" t="b">
        <v>1</v>
      </c>
      <c r="R762" s="1" t="s">
        <v>3612</v>
      </c>
    </row>
    <row r="763" spans="1:18" x14ac:dyDescent="0.25">
      <c r="A763" s="2">
        <v>45308</v>
      </c>
      <c r="B763" s="1" t="s">
        <v>3613</v>
      </c>
      <c r="C763" s="1" t="str">
        <f ca="1">IFERROR(__xludf.DUMMYFUNCTION("GOOGLETRANSLATE(B763,""pl"",""en"")"),"Comfortable/2balkony/ground floor/closed area/center")</f>
        <v>Comfortable/2balkony/ground floor/closed area/center</v>
      </c>
      <c r="D763" s="1">
        <v>540000</v>
      </c>
      <c r="E763" s="1" t="s">
        <v>33</v>
      </c>
      <c r="F763" s="1">
        <v>84.84</v>
      </c>
      <c r="G763" s="1" t="s">
        <v>3614</v>
      </c>
      <c r="H763" s="1" t="str">
        <f ca="1">IFERROR(__xludf.DUMMYFUNCTION("GOOGLETRANSLATE(G763,""pl"",""en"")"),"street. Zielona, ​​Szczecinek, Szczecin, West Pomeranian Voivodeship")</f>
        <v>street. Zielona, ​​Szczecinek, Szczecin, West Pomeranian Voivodeship</v>
      </c>
      <c r="I763" s="1" t="b">
        <v>1</v>
      </c>
      <c r="J763" s="1" t="s">
        <v>21</v>
      </c>
      <c r="K763" s="1" t="s">
        <v>22</v>
      </c>
      <c r="L763" s="1" t="s">
        <v>3615</v>
      </c>
      <c r="M763" s="1">
        <v>3</v>
      </c>
      <c r="N763" s="1" t="s">
        <v>24</v>
      </c>
      <c r="O763" s="1" t="str">
        <f ca="1">IFERROR(__xludf.DUMMYFUNCTION("GOOGLETRANSLATE(N763,""pl"",""en"")"),"full ownership")</f>
        <v>full ownership</v>
      </c>
      <c r="P763" s="3" t="s">
        <v>3616</v>
      </c>
      <c r="Q763" s="1" t="b">
        <v>1</v>
      </c>
      <c r="R763" s="1" t="s">
        <v>3617</v>
      </c>
    </row>
    <row r="764" spans="1:18" x14ac:dyDescent="0.25">
      <c r="A764" s="2">
        <v>45308</v>
      </c>
      <c r="B764" s="1" t="s">
        <v>3618</v>
      </c>
      <c r="C764" s="1" t="str">
        <f ca="1">IFERROR(__xludf.DUMMYFUNCTION("GOOGLETRANSLATE(B764,""pl"",""en"")"),"Parking space included in the price")</f>
        <v>Parking space included in the price</v>
      </c>
      <c r="D764" s="1">
        <v>670000</v>
      </c>
      <c r="E764" s="1" t="s">
        <v>33</v>
      </c>
      <c r="F764" s="1">
        <v>64.400000000000006</v>
      </c>
      <c r="G764" s="1" t="s">
        <v>3619</v>
      </c>
      <c r="H764" s="1" t="str">
        <f ca="1">IFERROR(__xludf.DUMMYFUNCTION("GOOGLETRANSLATE(G764,""pl"",""en"")"),"street. Jstreetianowska, Piaseczno, Piaseczno, Piaseczyński, Masovian Voivodeship")</f>
        <v>street. Jstreetianowska, Piaseczno, Piaseczno, Piaseczyński, Masovian Voivodeship</v>
      </c>
      <c r="I764" s="1" t="s">
        <v>21</v>
      </c>
      <c r="J764" s="1" t="s">
        <v>21</v>
      </c>
      <c r="K764" s="1" t="s">
        <v>22</v>
      </c>
      <c r="L764" s="1" t="s">
        <v>3620</v>
      </c>
      <c r="M764" s="1">
        <v>2</v>
      </c>
      <c r="N764" s="1" t="s">
        <v>24</v>
      </c>
      <c r="O764" s="1" t="str">
        <f ca="1">IFERROR(__xludf.DUMMYFUNCTION("GOOGLETRANSLATE(N764,""pl"",""en"")"),"full ownership")</f>
        <v>full ownership</v>
      </c>
      <c r="P764" s="3" t="s">
        <v>3621</v>
      </c>
      <c r="Q764" s="1" t="b">
        <v>1</v>
      </c>
      <c r="R764" s="1" t="s">
        <v>3622</v>
      </c>
    </row>
    <row r="765" spans="1:18" x14ac:dyDescent="0.25">
      <c r="A765" s="2">
        <v>45308</v>
      </c>
      <c r="B765" s="1" t="s">
        <v>3623</v>
      </c>
      <c r="C765" s="1" t="str">
        <f ca="1">IFERROR(__xludf.DUMMYFUNCTION("GOOGLETRANSLATE(B765,""pl"",""en"")"),"51.73 m2 Gdańsk Wrzeszcz-Morena 2/5 floor!")</f>
        <v>51.73 m2 Gdańsk Wrzeszcz-Morena 2/5 floor!</v>
      </c>
      <c r="D765" s="1">
        <v>695251</v>
      </c>
      <c r="E765" s="1" t="s">
        <v>19</v>
      </c>
      <c r="F765" s="1">
        <v>51.73</v>
      </c>
      <c r="G765" s="1" t="s">
        <v>3624</v>
      </c>
      <c r="H765" s="1" t="str">
        <f ca="1">IFERROR(__xludf.DUMMYFUNCTION("GOOGLETRANSLATE(G765,""pl"",""en"")"),"Piecki-Migowo, Gdańsk, Pomeranian Voivodeship")</f>
        <v>Piecki-Migowo, Gdańsk, Pomeranian Voivodeship</v>
      </c>
      <c r="I765" s="1" t="s">
        <v>21</v>
      </c>
      <c r="J765" s="1" t="s">
        <v>21</v>
      </c>
      <c r="K765" s="1" t="s">
        <v>22</v>
      </c>
      <c r="L765" s="1" t="s">
        <v>3625</v>
      </c>
      <c r="M765" s="1">
        <v>2</v>
      </c>
      <c r="N765" s="1" t="s">
        <v>24</v>
      </c>
      <c r="O765" s="1" t="str">
        <f ca="1">IFERROR(__xludf.DUMMYFUNCTION("GOOGLETRANSLATE(N765,""pl"",""en"")"),"full ownership")</f>
        <v>full ownership</v>
      </c>
      <c r="P765" s="3" t="s">
        <v>3626</v>
      </c>
      <c r="Q765" s="1" t="b">
        <v>1</v>
      </c>
      <c r="R765" s="1" t="s">
        <v>3627</v>
      </c>
    </row>
    <row r="766" spans="1:18" x14ac:dyDescent="0.25">
      <c r="A766" s="2">
        <v>45308</v>
      </c>
      <c r="B766" s="1" t="s">
        <v>3628</v>
      </c>
      <c r="C766" s="1" t="str">
        <f ca="1">IFERROR(__xludf.DUMMYFUNCTION("GOOGLETRANSLATE(B766,""pl"",""en"")"),"4 -room apartment ul. DOCKA 1 FLOOR")</f>
        <v>4 -room apartment ul. DOCKA 1 FLOOR</v>
      </c>
      <c r="D766" s="1">
        <v>495000</v>
      </c>
      <c r="E766" s="1" t="s">
        <v>33</v>
      </c>
      <c r="F766" s="1">
        <v>75.08</v>
      </c>
      <c r="G766" s="1" t="s">
        <v>3629</v>
      </c>
      <c r="H766" s="1" t="str">
        <f ca="1">IFERROR(__xludf.DUMMYFUNCTION("GOOGLETRANSLATE(G766,""pl"",""en"")"),"street. DOKERÓW, Koszalin, West Pomeranian Voivodeship")</f>
        <v>street. DOKERÓW, Koszalin, West Pomeranian Voivodeship</v>
      </c>
      <c r="I766" s="1" t="b">
        <v>1</v>
      </c>
      <c r="J766" s="1" t="s">
        <v>21</v>
      </c>
      <c r="K766" s="1" t="s">
        <v>22</v>
      </c>
      <c r="L766" s="1" t="s">
        <v>3630</v>
      </c>
      <c r="M766" s="1">
        <v>4</v>
      </c>
      <c r="N766" s="1" t="s">
        <v>24</v>
      </c>
      <c r="O766" s="1" t="str">
        <f ca="1">IFERROR(__xludf.DUMMYFUNCTION("GOOGLETRANSLATE(N766,""pl"",""en"")"),"full ownership")</f>
        <v>full ownership</v>
      </c>
      <c r="P766" s="3" t="s">
        <v>3631</v>
      </c>
      <c r="Q766" s="1" t="b">
        <v>1</v>
      </c>
      <c r="R766" s="1" t="s">
        <v>3632</v>
      </c>
    </row>
    <row r="767" spans="1:18" x14ac:dyDescent="0.25">
      <c r="A767" s="2">
        <v>45308</v>
      </c>
      <c r="B767" s="1" t="s">
        <v>3633</v>
      </c>
      <c r="C767" s="1" t="str">
        <f ca="1">IFERROR(__xludf.DUMMYFUNCTION("GOOGLETRANSLATE(B767,""pl"",""en"")"),"2 -room apartment in Szwederów")</f>
        <v>2 -room apartment in Szwederów</v>
      </c>
      <c r="D767" s="1">
        <v>430000</v>
      </c>
      <c r="E767" s="1" t="s">
        <v>33</v>
      </c>
      <c r="F767" s="1">
        <v>48.5</v>
      </c>
      <c r="G767" s="1" t="s">
        <v>3059</v>
      </c>
      <c r="H767" s="1" t="str">
        <f ca="1">IFERROR(__xludf.DUMMYFUNCTION("GOOGLETRANSLATE(G767,""pl"",""en"")"),"Górzykowo, Bydgoszcz, Kujawsko-Pomeranian Voivodeship")</f>
        <v>Górzykowo, Bydgoszcz, Kujawsko-Pomeranian Voivodeship</v>
      </c>
      <c r="I767" s="1" t="s">
        <v>21</v>
      </c>
      <c r="J767" s="1" t="s">
        <v>21</v>
      </c>
      <c r="K767" s="1" t="s">
        <v>22</v>
      </c>
      <c r="L767" s="1" t="s">
        <v>3634</v>
      </c>
      <c r="M767" s="1">
        <v>2</v>
      </c>
      <c r="N767" s="1" t="s">
        <v>24</v>
      </c>
      <c r="O767" s="1" t="str">
        <f ca="1">IFERROR(__xludf.DUMMYFUNCTION("GOOGLETRANSLATE(N767,""pl"",""en"")"),"full ownership")</f>
        <v>full ownership</v>
      </c>
      <c r="P767" s="3" t="s">
        <v>3635</v>
      </c>
      <c r="Q767" s="1" t="b">
        <v>1</v>
      </c>
      <c r="R767" s="1" t="s">
        <v>3636</v>
      </c>
    </row>
    <row r="768" spans="1:18" x14ac:dyDescent="0.25">
      <c r="A768" s="2">
        <v>45308</v>
      </c>
      <c r="B768" s="1" t="s">
        <v>3637</v>
      </c>
      <c r="C768" s="1" t="str">
        <f ca="1">IFERROR(__xludf.DUMMYFUNCTION("GOOGLETRANSLATE(B768,""pl"",""en"")"),"Apartment 48.4 m2 in Krakow (booking up to 5/2)")</f>
        <v>Apartment 48.4 m2 in Krakow (booking up to 5/2)</v>
      </c>
      <c r="D768" s="1">
        <v>659000</v>
      </c>
      <c r="E768" s="1" t="s">
        <v>33</v>
      </c>
      <c r="F768" s="1">
        <v>48.4</v>
      </c>
      <c r="G768" s="1" t="s">
        <v>4727</v>
      </c>
      <c r="H768" s="1" t="str">
        <f ca="1">IFERROR(__xludf.DUMMYFUNCTION("GOOGLETRANSLATE(G768,""pl"",""en"")"),"Bieżanów, Bieżanów-Prokocim, Kraków, Lesser Poland")</f>
        <v>Bieżanów, Bieżanów-Prokocim, Kraków, Lesser Poland</v>
      </c>
      <c r="I768" s="1" t="s">
        <v>21</v>
      </c>
      <c r="J768" s="1" t="s">
        <v>21</v>
      </c>
      <c r="K768" s="1" t="s">
        <v>45</v>
      </c>
      <c r="L768" s="1" t="s">
        <v>3638</v>
      </c>
      <c r="M768" s="1">
        <v>2</v>
      </c>
      <c r="N768" s="1" t="s">
        <v>24</v>
      </c>
      <c r="O768" s="1" t="str">
        <f ca="1">IFERROR(__xludf.DUMMYFUNCTION("GOOGLETRANSLATE(N768,""pl"",""en"")"),"full ownership")</f>
        <v>full ownership</v>
      </c>
      <c r="P768" s="3" t="s">
        <v>3639</v>
      </c>
      <c r="Q768" s="1" t="b">
        <v>1</v>
      </c>
      <c r="R768" s="1" t="s">
        <v>3640</v>
      </c>
    </row>
    <row r="769" spans="1:18" x14ac:dyDescent="0.25">
      <c r="A769" s="2">
        <v>45173</v>
      </c>
      <c r="B769" s="1" t="s">
        <v>3641</v>
      </c>
      <c r="C769" s="1" t="str">
        <f ca="1">IFERROR(__xludf.DUMMYFUNCTION("GOOGLETRANSLATE(B769,""pl"",""en"")"),"apartment with a garden in Gdańsk!")</f>
        <v>apartment with a garden in Gdańsk!</v>
      </c>
      <c r="D769" s="1">
        <v>317000</v>
      </c>
      <c r="E769" s="1" t="s">
        <v>33</v>
      </c>
      <c r="F769" s="1">
        <v>50.6</v>
      </c>
      <c r="G769" s="1" t="s">
        <v>3642</v>
      </c>
      <c r="H769" s="1" t="str">
        <f ca="1">IFERROR(__xludf.DUMMYFUNCTION("GOOGLETRANSLATE(G769,""pl"",""en"")"),"street. Nowiny, Orunia-Św. Wojciech-Lipka, Gdańsk, Pomeranian Voivodeship")</f>
        <v>street. Nowiny, Orunia-Św. Wojciech-Lipka, Gdańsk, Pomeranian Voivodeship</v>
      </c>
      <c r="I769" s="1" t="s">
        <v>21</v>
      </c>
      <c r="J769" s="1" t="s">
        <v>21</v>
      </c>
      <c r="K769" s="1" t="s">
        <v>22</v>
      </c>
      <c r="L769" s="1" t="s">
        <v>3643</v>
      </c>
      <c r="M769" s="1">
        <v>2</v>
      </c>
      <c r="N769" s="1" t="s">
        <v>24</v>
      </c>
      <c r="O769" s="1" t="str">
        <f ca="1">IFERROR(__xludf.DUMMYFUNCTION("GOOGLETRANSLATE(N769,""pl"",""en"")"),"full ownership")</f>
        <v>full ownership</v>
      </c>
      <c r="P769" s="3" t="s">
        <v>3644</v>
      </c>
      <c r="Q769" s="1" t="b">
        <v>1</v>
      </c>
      <c r="R769" s="1" t="s">
        <v>3645</v>
      </c>
    </row>
    <row r="770" spans="1:18" x14ac:dyDescent="0.25">
      <c r="A770" s="2">
        <v>45173</v>
      </c>
      <c r="B770" s="1" t="s">
        <v>3646</v>
      </c>
      <c r="C770" s="1" t="str">
        <f ca="1">IFERROR(__xludf.DUMMYFUNCTION("GOOGLETRANSLATE(B770,""pl"",""en"")"),"Ecoharmony - residential premises")</f>
        <v>Ecoharmony - residential premises</v>
      </c>
      <c r="D770" s="1">
        <v>326000</v>
      </c>
      <c r="E770" s="1" t="s">
        <v>19</v>
      </c>
      <c r="F770" s="1">
        <v>49.23</v>
      </c>
      <c r="G770" s="1" t="s">
        <v>4801</v>
      </c>
      <c r="H770" s="1" t="str">
        <f ca="1">IFERROR(__xludf.DUMMYFUNCTION("GOOGLETRANSLATE(G770,""pl"",""en"")"),"street. Jaśminowa, Środa Wielkopolska, Środa Wielkopolska, Średzki, Greater Poland")</f>
        <v>street. Jaśminowa, Środa Wielkopolska, Środa Wielkopolska, Średzki, Greater Poland</v>
      </c>
      <c r="I770" s="1" t="s">
        <v>21</v>
      </c>
      <c r="J770" s="1" t="s">
        <v>21</v>
      </c>
      <c r="K770" s="1" t="s">
        <v>194</v>
      </c>
      <c r="L770" s="4" t="s">
        <v>4802</v>
      </c>
      <c r="M770" s="1">
        <v>3</v>
      </c>
      <c r="N770" s="1" t="s">
        <v>24</v>
      </c>
      <c r="O770" s="1" t="str">
        <f ca="1">IFERROR(__xludf.DUMMYFUNCTION("GOOGLETRANSLATE(N770,""pl"",""en"")"),"full ownership")</f>
        <v>full ownership</v>
      </c>
      <c r="P770" s="3" t="s">
        <v>3647</v>
      </c>
      <c r="Q770" s="1" t="b">
        <v>1</v>
      </c>
      <c r="R770" s="1" t="s">
        <v>3648</v>
      </c>
    </row>
    <row r="771" spans="1:18" x14ac:dyDescent="0.25">
      <c r="A771" s="2">
        <v>45138</v>
      </c>
      <c r="B771" s="1" t="s">
        <v>3649</v>
      </c>
      <c r="C771" s="1" t="str">
        <f ca="1">IFERROR(__xludf.DUMMYFUNCTION("GOOGLETRANSLATE(B771,""pl"",""en"")"),"New 3 -room apartment 51.70 m2 and floor A15")</f>
        <v>New 3 -room apartment 51.70 m2 and floor A15</v>
      </c>
      <c r="D771" s="1">
        <v>341220</v>
      </c>
      <c r="E771" s="1" t="s">
        <v>19</v>
      </c>
      <c r="F771" s="1">
        <v>51.7</v>
      </c>
      <c r="G771" s="1" t="s">
        <v>3650</v>
      </c>
      <c r="H771" s="1" t="str">
        <f ca="1">IFERROR(__xludf.DUMMYFUNCTION("GOOGLETRANSLATE(G771,""pl"",""en"")"),"street. Lipowa, Białogard, Białogardzki, West Pomeranian Voivodeship")</f>
        <v>street. Lipowa, Białogard, Białogardzki, West Pomeranian Voivodeship</v>
      </c>
      <c r="I771" s="1" t="s">
        <v>21</v>
      </c>
      <c r="J771" s="1" t="s">
        <v>21</v>
      </c>
      <c r="K771" s="1" t="s">
        <v>194</v>
      </c>
      <c r="L771" s="1" t="s">
        <v>3651</v>
      </c>
      <c r="M771" s="1">
        <v>3</v>
      </c>
      <c r="N771" s="1" t="s">
        <v>24</v>
      </c>
      <c r="O771" s="1" t="str">
        <f ca="1">IFERROR(__xludf.DUMMYFUNCTION("GOOGLETRANSLATE(N771,""pl"",""en"")"),"full ownership")</f>
        <v>full ownership</v>
      </c>
      <c r="P771" s="3" t="s">
        <v>3652</v>
      </c>
      <c r="Q771" s="1" t="b">
        <v>1</v>
      </c>
      <c r="R771" s="1" t="s">
        <v>21</v>
      </c>
    </row>
    <row r="772" spans="1:18" x14ac:dyDescent="0.25">
      <c r="A772" s="2">
        <v>45173</v>
      </c>
      <c r="B772" s="1" t="s">
        <v>3653</v>
      </c>
      <c r="C772" s="1" t="str">
        <f ca="1">IFERROR(__xludf.DUMMYFUNCTION("GOOGLETRANSLATE(B772,""pl"",""en"")"),"Beautiful apartments at the Vistula Lagoon")</f>
        <v>Beautiful apartments at the Vistula Lagoon</v>
      </c>
      <c r="D772" s="1">
        <v>299000</v>
      </c>
      <c r="E772" s="1" t="s">
        <v>33</v>
      </c>
      <c r="F772" s="1">
        <v>44.16</v>
      </c>
      <c r="G772" s="1" t="s">
        <v>3654</v>
      </c>
      <c r="H772" s="1" t="str">
        <f ca="1">IFERROR(__xludf.DUMMYFUNCTION("GOOGLETRANSLATE(G772,""pl"",""en"")"),"street. Copernicus, Frombork, Frombork, Braniewski, Warmian-Masurian Voivodeship")</f>
        <v>street. Copernicus, Frombork, Frombork, Braniewski, Warmian-Masurian Voivodeship</v>
      </c>
      <c r="I772" s="1" t="s">
        <v>21</v>
      </c>
      <c r="J772" s="1" t="s">
        <v>21</v>
      </c>
      <c r="K772" s="1" t="s">
        <v>22</v>
      </c>
      <c r="L772" s="1" t="s">
        <v>3655</v>
      </c>
      <c r="M772" s="1">
        <v>2</v>
      </c>
      <c r="N772" s="1" t="s">
        <v>24</v>
      </c>
      <c r="O772" s="1" t="str">
        <f ca="1">IFERROR(__xludf.DUMMYFUNCTION("GOOGLETRANSLATE(N772,""pl"",""en"")"),"full ownership")</f>
        <v>full ownership</v>
      </c>
      <c r="P772" s="3" t="s">
        <v>3656</v>
      </c>
      <c r="Q772" s="1" t="b">
        <v>1</v>
      </c>
      <c r="R772" s="1" t="s">
        <v>3657</v>
      </c>
    </row>
    <row r="773" spans="1:18" x14ac:dyDescent="0.25">
      <c r="A773" s="2">
        <v>45173</v>
      </c>
      <c r="B773" s="1" t="s">
        <v>3658</v>
      </c>
      <c r="C773" s="1" t="str">
        <f ca="1">IFERROR(__xludf.DUMMYFUNCTION("GOOGLETRANSLATE(B773,""pl"",""en"")"),"Pinea Ready to pick up right on the beach")</f>
        <v>Pinea Ready to pick up right on the beach</v>
      </c>
      <c r="D773" s="1">
        <v>783180</v>
      </c>
      <c r="E773" s="1" t="s">
        <v>19</v>
      </c>
      <c r="F773" s="1">
        <v>54.96</v>
      </c>
      <c r="G773" s="1" t="s">
        <v>1635</v>
      </c>
      <c r="H773" s="1" t="str">
        <f ca="1">IFERROR(__xludf.DUMMYFUNCTION("GOOGLETRANSLATE(G773,""pl"",""en"")"),"Pobierowo, Rewal, Gryficki, West Pomeranian Voivodeship")</f>
        <v>Pobierowo, Rewal, Gryficki, West Pomeranian Voivodeship</v>
      </c>
      <c r="I773" s="1" t="b">
        <v>1</v>
      </c>
      <c r="J773" s="1" t="s">
        <v>21</v>
      </c>
      <c r="K773" s="1" t="s">
        <v>194</v>
      </c>
      <c r="L773" s="1" t="s">
        <v>3659</v>
      </c>
      <c r="M773" s="1">
        <v>2</v>
      </c>
      <c r="N773" s="1" t="s">
        <v>24</v>
      </c>
      <c r="O773" s="1" t="str">
        <f ca="1">IFERROR(__xludf.DUMMYFUNCTION("GOOGLETRANSLATE(N773,""pl"",""en"")"),"full ownership")</f>
        <v>full ownership</v>
      </c>
      <c r="P773" s="3" t="s">
        <v>3660</v>
      </c>
      <c r="Q773" s="1" t="b">
        <v>1</v>
      </c>
      <c r="R773" s="1" t="s">
        <v>3661</v>
      </c>
    </row>
    <row r="774" spans="1:18" x14ac:dyDescent="0.25">
      <c r="A774" s="2">
        <v>45308</v>
      </c>
      <c r="B774" s="1" t="s">
        <v>3662</v>
      </c>
      <c r="C774" s="1" t="str">
        <f ca="1">IFERROR(__xludf.DUMMYFUNCTION("GOOGLETRANSLATE(B774,""pl"",""en"")"),"New peacock 55.49 m2/2024")</f>
        <v>New peacock 55.49 m2/2024</v>
      </c>
      <c r="D774" s="1">
        <v>606184</v>
      </c>
      <c r="E774" s="1" t="s">
        <v>19</v>
      </c>
      <c r="F774" s="1">
        <v>55.49</v>
      </c>
      <c r="G774" s="1" t="s">
        <v>3663</v>
      </c>
      <c r="H774" s="1" t="str">
        <f ca="1">IFERROR(__xludf.DUMMYFUNCTION("GOOGLETRANSLATE(G774,""pl"",""en"")"),"Wojszyce, Krzyki, Wrocław, DolnoSilesian Voivodeship")</f>
        <v>Wojszyce, Krzyki, Wrocław, DolnoSilesian Voivodeship</v>
      </c>
      <c r="I774" s="1" t="s">
        <v>21</v>
      </c>
      <c r="J774" s="1" t="s">
        <v>21</v>
      </c>
      <c r="K774" s="1" t="s">
        <v>22</v>
      </c>
      <c r="L774" s="1" t="s">
        <v>3664</v>
      </c>
      <c r="M774" s="1">
        <v>1</v>
      </c>
      <c r="N774" s="1" t="s">
        <v>24</v>
      </c>
      <c r="O774" s="1" t="str">
        <f ca="1">IFERROR(__xludf.DUMMYFUNCTION("GOOGLETRANSLATE(N774,""pl"",""en"")"),"full ownership")</f>
        <v>full ownership</v>
      </c>
      <c r="P774" s="3" t="s">
        <v>3665</v>
      </c>
      <c r="Q774" s="1" t="b">
        <v>1</v>
      </c>
      <c r="R774" s="1" t="s">
        <v>3666</v>
      </c>
    </row>
    <row r="775" spans="1:18" x14ac:dyDescent="0.25">
      <c r="A775" s="2">
        <v>45308</v>
      </c>
      <c r="B775" s="1" t="s">
        <v>3667</v>
      </c>
      <c r="C775" s="1" t="str">
        <f ca="1">IFERROR(__xludf.DUMMYFUNCTION("GOOGLETRANSLATE(B775,""pl"",""en"")"),"Stage II, Staroniwskie Sady")</f>
        <v>Stage II, Staroniwskie Sady</v>
      </c>
      <c r="D775" s="1">
        <v>520880</v>
      </c>
      <c r="E775" s="1" t="s">
        <v>19</v>
      </c>
      <c r="F775" s="1">
        <v>65.11</v>
      </c>
      <c r="G775" s="1" t="s">
        <v>3668</v>
      </c>
      <c r="H775" s="1" t="str">
        <f ca="1">IFERROR(__xludf.DUMMYFUNCTION("GOOGLETRANSLATE(G775,""pl"",""en"")"),"Staroniwa, Rzeszów, Podkarpackie")</f>
        <v>Staroniwa, Rzeszów, Podkarpackie</v>
      </c>
      <c r="I775" s="1" t="b">
        <v>1</v>
      </c>
      <c r="J775" s="1" t="s">
        <v>21</v>
      </c>
      <c r="K775" s="1" t="s">
        <v>194</v>
      </c>
      <c r="L775" s="1" t="s">
        <v>3669</v>
      </c>
      <c r="M775" s="1">
        <v>4</v>
      </c>
      <c r="N775" s="1" t="s">
        <v>24</v>
      </c>
      <c r="O775" s="1" t="str">
        <f ca="1">IFERROR(__xludf.DUMMYFUNCTION("GOOGLETRANSLATE(N775,""pl"",""en"")"),"full ownership")</f>
        <v>full ownership</v>
      </c>
      <c r="P775" s="3" t="s">
        <v>3670</v>
      </c>
      <c r="Q775" s="1" t="b">
        <v>1</v>
      </c>
      <c r="R775" s="1" t="s">
        <v>3671</v>
      </c>
    </row>
    <row r="776" spans="1:18" x14ac:dyDescent="0.25">
      <c r="A776" s="2">
        <v>45308</v>
      </c>
      <c r="B776" s="1" t="s">
        <v>3672</v>
      </c>
      <c r="C776" s="1" t="str">
        <f ca="1">IFERROR(__xludf.DUMMYFUNCTION("GOOGLETRANSLATE(B776,""pl"",""en"")"),"2nd room apartment in the development state")</f>
        <v>2nd room apartment in the development state</v>
      </c>
      <c r="D776" s="1">
        <v>520000</v>
      </c>
      <c r="E776" s="1" t="s">
        <v>33</v>
      </c>
      <c r="F776" s="1">
        <v>50.5</v>
      </c>
      <c r="G776" s="1" t="s">
        <v>3673</v>
      </c>
      <c r="H776" s="1" t="str">
        <f ca="1">IFERROR(__xludf.DUMMYFUNCTION("GOOGLETRANSLATE(G776,""pl"",""en"")"),"street. Wielkopolska, Ujeścisko-Łostowice, Gdańsk, Pomeranian Voivodeship")</f>
        <v>street. Wielkopolska, Ujeścisko-Łostowice, Gdańsk, Pomeranian Voivodeship</v>
      </c>
      <c r="I776" s="1" t="s">
        <v>21</v>
      </c>
      <c r="J776" s="1" t="s">
        <v>21</v>
      </c>
      <c r="K776" s="1" t="s">
        <v>22</v>
      </c>
      <c r="L776" s="1" t="s">
        <v>3674</v>
      </c>
      <c r="M776" s="1">
        <v>2</v>
      </c>
      <c r="N776" s="1" t="s">
        <v>24</v>
      </c>
      <c r="O776" s="1" t="str">
        <f ca="1">IFERROR(__xludf.DUMMYFUNCTION("GOOGLETRANSLATE(N776,""pl"",""en"")"),"full ownership")</f>
        <v>full ownership</v>
      </c>
      <c r="P776" s="3" t="s">
        <v>3675</v>
      </c>
      <c r="Q776" s="1" t="b">
        <v>1</v>
      </c>
      <c r="R776" s="1" t="s">
        <v>3676</v>
      </c>
    </row>
    <row r="777" spans="1:18" x14ac:dyDescent="0.25">
      <c r="A777" s="2">
        <v>45308</v>
      </c>
      <c r="B777" s="1" t="s">
        <v>3677</v>
      </c>
      <c r="C777" s="1" t="str">
        <f ca="1">IFERROR(__xludf.DUMMYFUNCTION("GOOGLETRANSLATE(B777,""pl"",""en"")"),"Studio apartment for your own arrangement, Bronowice")</f>
        <v>Studio apartment for your own arrangement, Bronowice</v>
      </c>
      <c r="D777" s="1">
        <v>319000</v>
      </c>
      <c r="E777" s="1" t="s">
        <v>33</v>
      </c>
      <c r="F777" s="1">
        <v>37</v>
      </c>
      <c r="G777" s="1" t="s">
        <v>103</v>
      </c>
      <c r="H777" s="1" t="str">
        <f ca="1">IFERROR(__xludf.DUMMYFUNCTION("GOOGLETRANSLATE(G777,""pl"",""en"")"),"Bronowice, Lublin, Lublin Voivodeship")</f>
        <v>Bronowice, Lublin, Lublin Voivodeship</v>
      </c>
      <c r="I777" s="1" t="s">
        <v>21</v>
      </c>
      <c r="J777" s="1" t="s">
        <v>21</v>
      </c>
      <c r="K777" s="1" t="s">
        <v>22</v>
      </c>
      <c r="L777" s="1" t="s">
        <v>3678</v>
      </c>
      <c r="M777" s="1">
        <v>1</v>
      </c>
      <c r="N777" s="1" t="s">
        <v>24</v>
      </c>
      <c r="O777" s="1" t="str">
        <f ca="1">IFERROR(__xludf.DUMMYFUNCTION("GOOGLETRANSLATE(N777,""pl"",""en"")"),"full ownership")</f>
        <v>full ownership</v>
      </c>
      <c r="P777" s="3" t="s">
        <v>3679</v>
      </c>
      <c r="Q777" s="1" t="b">
        <v>1</v>
      </c>
      <c r="R777" s="1" t="s">
        <v>3680</v>
      </c>
    </row>
    <row r="778" spans="1:18" x14ac:dyDescent="0.25">
      <c r="A778" s="2">
        <v>45308</v>
      </c>
      <c r="B778" s="1" t="s">
        <v>3681</v>
      </c>
      <c r="C778" s="1" t="str">
        <f ca="1">IFERROR(__xludf.DUMMYFUNCTION("GOOGLETRANSLATE(B778,""pl"",""en"")"),"Wilanów, ul. Sarmacka -Apartament 133 m ground floor")</f>
        <v>Wilanów, ul. Sarmacka -Apartament 133 m ground floor</v>
      </c>
      <c r="D778" s="1">
        <v>2590000</v>
      </c>
      <c r="E778" s="1" t="s">
        <v>33</v>
      </c>
      <c r="F778" s="1">
        <v>133</v>
      </c>
      <c r="G778" s="1" t="s">
        <v>3682</v>
      </c>
      <c r="H778" s="1" t="str">
        <f ca="1">IFERROR(__xludf.DUMMYFUNCTION("GOOGLETRANSLATE(G778,""pl"",""en"")"),"street. Sarmacka, Błonia Wilanowskie, Wilanów, Warsaw, Masovian Voivodeship")</f>
        <v>street. Sarmacka, Błonia Wilanowskie, Wilanów, Warsaw, Masovian Voivodeship</v>
      </c>
      <c r="I778" s="1" t="s">
        <v>21</v>
      </c>
      <c r="J778" s="1" t="s">
        <v>21</v>
      </c>
      <c r="K778" s="1" t="s">
        <v>22</v>
      </c>
      <c r="L778" s="1" t="s">
        <v>3683</v>
      </c>
      <c r="M778" s="1">
        <v>4</v>
      </c>
      <c r="N778" s="1" t="s">
        <v>24</v>
      </c>
      <c r="O778" s="1" t="str">
        <f ca="1">IFERROR(__xludf.DUMMYFUNCTION("GOOGLETRANSLATE(N778,""pl"",""en"")"),"full ownership")</f>
        <v>full ownership</v>
      </c>
      <c r="P778" s="3" t="s">
        <v>3684</v>
      </c>
      <c r="Q778" s="1" t="b">
        <v>1</v>
      </c>
      <c r="R778" s="1" t="s">
        <v>3685</v>
      </c>
    </row>
    <row r="779" spans="1:18" x14ac:dyDescent="0.25">
      <c r="A779" s="2">
        <v>45308</v>
      </c>
      <c r="B779" s="1" t="s">
        <v>3686</v>
      </c>
      <c r="C779" s="1" t="str">
        <f ca="1">IFERROR(__xludf.DUMMYFUNCTION("GOOGLETRANSLATE(B779,""pl"",""en"")"),"A flat in the city center at ul. Washington")</f>
        <v>A flat in the city center at ul. Washington</v>
      </c>
      <c r="D779" s="1">
        <v>417000</v>
      </c>
      <c r="E779" s="1" t="s">
        <v>33</v>
      </c>
      <c r="F779" s="1">
        <v>60</v>
      </c>
      <c r="G779" s="1" t="s">
        <v>3687</v>
      </c>
      <c r="H779" s="1" t="str">
        <f ca="1">IFERROR(__xludf.DUMMYFUNCTION("GOOGLETRANSLATE(G779,""pl"",""en"")"),"street. Jerzy Washington 18, Piaski, Białystok, Podlasie")</f>
        <v>street. Jerzy Washington 18, Piaski, Białystok, Podlasie</v>
      </c>
      <c r="I779" s="1" t="s">
        <v>21</v>
      </c>
      <c r="J779" s="1" t="s">
        <v>21</v>
      </c>
      <c r="K779" s="1" t="s">
        <v>45</v>
      </c>
      <c r="L779" s="1" t="s">
        <v>3688</v>
      </c>
      <c r="M779" s="1">
        <v>3</v>
      </c>
      <c r="N779" s="1" t="s">
        <v>85</v>
      </c>
      <c r="O779" s="1" t="str">
        <f ca="1">IFERROR(__xludf.DUMMYFUNCTION("GOOGLETRANSLATE(N779,""pl"",""en"")"),"Cooperative ownership of the right to the premises")</f>
        <v>Cooperative ownership of the right to the premises</v>
      </c>
      <c r="P779" s="3" t="s">
        <v>3689</v>
      </c>
      <c r="Q779" s="1" t="b">
        <v>1</v>
      </c>
      <c r="R779" s="1" t="s">
        <v>3690</v>
      </c>
    </row>
    <row r="780" spans="1:18" x14ac:dyDescent="0.25">
      <c r="A780" s="2">
        <v>45308</v>
      </c>
      <c r="B780" s="1" t="s">
        <v>3691</v>
      </c>
      <c r="C780" s="1" t="str">
        <f ca="1">IFERROR(__xludf.DUMMYFUNCTION("GOOGLETRANSLATE(B780,""pl"",""en"")"),"3-room apartment. Rossa Park! In Augustów !!")</f>
        <v>3-room apartment. Rossa Park! In Augustów !!</v>
      </c>
      <c r="D780" s="1">
        <v>565000</v>
      </c>
      <c r="E780" s="1" t="s">
        <v>33</v>
      </c>
      <c r="F780" s="1">
        <v>57.36</v>
      </c>
      <c r="G780" s="1" t="s">
        <v>3692</v>
      </c>
      <c r="H780" s="1" t="str">
        <f ca="1">IFERROR(__xludf.DUMMYFUNCTION("GOOGLETRANSLATE(G780,""pl"",""en"")"),"street. Rosiczkowa 2a, Augustów, Augustowski, Podlasie")</f>
        <v>street. Rosiczkowa 2a, Augustów, Augustowski, Podlasie</v>
      </c>
      <c r="I780" s="1" t="s">
        <v>21</v>
      </c>
      <c r="J780" s="1" t="s">
        <v>21</v>
      </c>
      <c r="K780" s="1" t="s">
        <v>22</v>
      </c>
      <c r="L780" s="1" t="s">
        <v>3693</v>
      </c>
      <c r="M780" s="1">
        <v>3</v>
      </c>
      <c r="N780" s="1" t="s">
        <v>24</v>
      </c>
      <c r="O780" s="1" t="str">
        <f ca="1">IFERROR(__xludf.DUMMYFUNCTION("GOOGLETRANSLATE(N780,""pl"",""en"")"),"full ownership")</f>
        <v>full ownership</v>
      </c>
      <c r="P780" s="3" t="s">
        <v>3694</v>
      </c>
      <c r="Q780" s="1" t="b">
        <v>1</v>
      </c>
      <c r="R780" s="1" t="s">
        <v>3695</v>
      </c>
    </row>
    <row r="781" spans="1:18" x14ac:dyDescent="0.25">
      <c r="A781" s="2">
        <v>45308</v>
      </c>
      <c r="B781" s="1" t="s">
        <v>3696</v>
      </c>
      <c r="C781" s="1" t="str">
        <f ca="1">IFERROR(__xludf.DUMMYFUNCTION("GOOGLETRANSLATE(B781,""pl"",""en"")"),"A luxurious apartment in the chamber part of Puck A01")</f>
        <v>A luxurious apartment in the chamber part of Puck A01</v>
      </c>
      <c r="D781" s="1">
        <v>583110</v>
      </c>
      <c r="E781" s="1" t="s">
        <v>19</v>
      </c>
      <c r="F781" s="1">
        <v>37.619999999999997</v>
      </c>
      <c r="G781" s="1" t="s">
        <v>3697</v>
      </c>
      <c r="H781" s="1" t="str">
        <f ca="1">IFERROR(__xludf.DUMMYFUNCTION("GOOGLETRANSLATE(G781,""pl"",""en"")"),"street. Polna, Puck, Pucki, Pomeranian Voivodeship")</f>
        <v>street. Polna, Puck, Pucki, Pomeranian Voivodeship</v>
      </c>
      <c r="I781" s="1" t="b">
        <v>1</v>
      </c>
      <c r="J781" s="1" t="s">
        <v>21</v>
      </c>
      <c r="K781" s="1" t="s">
        <v>194</v>
      </c>
      <c r="L781" s="1" t="s">
        <v>3698</v>
      </c>
      <c r="M781" s="1">
        <v>1</v>
      </c>
      <c r="N781" s="1" t="s">
        <v>24</v>
      </c>
      <c r="O781" s="1" t="str">
        <f ca="1">IFERROR(__xludf.DUMMYFUNCTION("GOOGLETRANSLATE(N781,""pl"",""en"")"),"full ownership")</f>
        <v>full ownership</v>
      </c>
      <c r="P781" s="3" t="s">
        <v>3699</v>
      </c>
      <c r="Q781" s="1" t="b">
        <v>1</v>
      </c>
      <c r="R781" s="1" t="s">
        <v>3700</v>
      </c>
    </row>
    <row r="782" spans="1:18" x14ac:dyDescent="0.25">
      <c r="A782" s="2">
        <v>45173</v>
      </c>
      <c r="B782" s="1" t="s">
        <v>1987</v>
      </c>
      <c r="C782" s="1" t="str">
        <f ca="1">IFERROR(__xludf.DUMMYFUNCTION("GOOGLETRANSLATE(B782,""pl"",""en"")"),"Turn turnkey Apartment sunday ustronie sea")</f>
        <v>Turn turnkey Apartment sunday ustronie sea</v>
      </c>
      <c r="D782" s="1">
        <v>508792</v>
      </c>
      <c r="E782" s="1" t="s">
        <v>19</v>
      </c>
      <c r="F782" s="1">
        <v>34.92</v>
      </c>
      <c r="G782" s="1" t="s">
        <v>1988</v>
      </c>
      <c r="H782" s="1" t="str">
        <f ca="1">IFERROR(__xludf.DUMMYFUNCTION("GOOGLETRANSLATE(G782,""pl"",""en"")"),"street. Polna, Ustronie Morskie, Ustronie Morskie, Kołobrzeski, West Pomeranian Voivodeship")</f>
        <v>street. Polna, Ustronie Morskie, Ustronie Morskie, Kołobrzeski, West Pomeranian Voivodeship</v>
      </c>
      <c r="I782" s="1" t="s">
        <v>21</v>
      </c>
      <c r="J782" s="1" t="s">
        <v>21</v>
      </c>
      <c r="K782" s="1" t="s">
        <v>194</v>
      </c>
      <c r="L782" s="1" t="s">
        <v>3701</v>
      </c>
      <c r="M782" s="1">
        <v>2</v>
      </c>
      <c r="N782" s="1" t="s">
        <v>24</v>
      </c>
      <c r="O782" s="1" t="str">
        <f ca="1">IFERROR(__xludf.DUMMYFUNCTION("GOOGLETRANSLATE(N782,""pl"",""en"")"),"full ownership")</f>
        <v>full ownership</v>
      </c>
      <c r="P782" s="3" t="s">
        <v>3702</v>
      </c>
      <c r="Q782" s="1" t="b">
        <v>1</v>
      </c>
      <c r="R782" s="1" t="s">
        <v>3703</v>
      </c>
    </row>
    <row r="783" spans="1:18" x14ac:dyDescent="0.25">
      <c r="A783" s="2">
        <v>45173</v>
      </c>
      <c r="B783" s="1" t="s">
        <v>3704</v>
      </c>
      <c r="C783" s="1" t="str">
        <f ca="1">IFERROR(__xludf.DUMMYFUNCTION("GOOGLETRANSLATE(B783,""pl"",""en"")"),"A beautiful house with a garden in a picturesque housing estate")</f>
        <v>A beautiful house with a garden in a picturesque housing estate</v>
      </c>
      <c r="D783" s="1">
        <v>939000</v>
      </c>
      <c r="E783" s="1" t="s">
        <v>33</v>
      </c>
      <c r="F783" s="1">
        <v>127</v>
      </c>
      <c r="G783" s="1" t="s">
        <v>4803</v>
      </c>
      <c r="H783" s="1" t="str">
        <f ca="1">IFERROR(__xludf.DUMMYFUNCTION("GOOGLETRANSLATE(G783,""pl"",""en"")"),"street. June 28, 1956, Wilda, Wilda, Poznań, Greater Poland")</f>
        <v>street. June 28, 1956, Wilda, Wilda, Poznań, Greater Poland</v>
      </c>
      <c r="I783" s="1" t="b">
        <v>1</v>
      </c>
      <c r="J783" s="1" t="s">
        <v>21</v>
      </c>
      <c r="K783" s="1" t="s">
        <v>22</v>
      </c>
      <c r="L783" s="1" t="s">
        <v>3705</v>
      </c>
      <c r="M783" s="1">
        <v>3</v>
      </c>
      <c r="N783" s="1" t="s">
        <v>21</v>
      </c>
      <c r="O783" s="1" t="str">
        <f ca="1">IFERROR(__xludf.DUMMYFUNCTION("GOOGLETRANSLATE(N783,""pl"",""en"")"),"null")</f>
        <v>null</v>
      </c>
      <c r="P783" s="3" t="s">
        <v>3706</v>
      </c>
      <c r="Q783" s="1" t="b">
        <v>1</v>
      </c>
      <c r="R783" s="1" t="s">
        <v>3707</v>
      </c>
    </row>
    <row r="784" spans="1:18" x14ac:dyDescent="0.25">
      <c r="A784" s="2">
        <v>45173</v>
      </c>
      <c r="B784" s="1" t="s">
        <v>3708</v>
      </c>
      <c r="C784" s="1" t="str">
        <f ca="1">IFERROR(__xludf.DUMMYFUNCTION("GOOGLETRANSLATE(B784,""pl"",""en"")"),"Increased development standard! We invite")</f>
        <v>Increased development standard! We invite</v>
      </c>
      <c r="D784" s="1">
        <v>415000</v>
      </c>
      <c r="E784" s="1" t="s">
        <v>19</v>
      </c>
      <c r="F784" s="1">
        <v>74</v>
      </c>
      <c r="G784" s="1" t="s">
        <v>4712</v>
      </c>
      <c r="H784" s="1" t="str">
        <f ca="1">IFERROR(__xludf.DUMMYFUNCTION("GOOGLETRANSLATE(G784,""pl"",""en"")"),"axis. Estate Przylesie, Błażejewo, Kórnik, Poznański, Greater Poland")</f>
        <v>axis. Estate Przylesie, Błażejewo, Kórnik, Poznański, Greater Poland</v>
      </c>
      <c r="I784" s="1" t="b">
        <v>1</v>
      </c>
      <c r="J784" s="1" t="s">
        <v>21</v>
      </c>
      <c r="K784" s="1" t="s">
        <v>194</v>
      </c>
      <c r="L784" s="1" t="s">
        <v>3709</v>
      </c>
      <c r="M784" s="1">
        <v>3</v>
      </c>
      <c r="N784" s="1" t="s">
        <v>21</v>
      </c>
      <c r="O784" s="1" t="str">
        <f ca="1">IFERROR(__xludf.DUMMYFUNCTION("GOOGLETRANSLATE(N784,""pl"",""en"")"),"null")</f>
        <v>null</v>
      </c>
      <c r="P784" s="3" t="s">
        <v>3710</v>
      </c>
      <c r="Q784" s="1" t="b">
        <v>1</v>
      </c>
      <c r="R784" s="1" t="s">
        <v>3711</v>
      </c>
    </row>
    <row r="785" spans="1:18" x14ac:dyDescent="0.25">
      <c r="A785" s="2">
        <v>45173</v>
      </c>
      <c r="B785" s="1" t="s">
        <v>3712</v>
      </c>
      <c r="C785" s="1" t="str">
        <f ca="1">IFERROR(__xludf.DUMMYFUNCTION("GOOGLETRANSLATE(B785,""pl"",""en"")"),"A beautiful place in a renovated tenement house")</f>
        <v>A beautiful place in a renovated tenement house</v>
      </c>
      <c r="D785" s="1">
        <v>850000</v>
      </c>
      <c r="E785" s="1" t="s">
        <v>33</v>
      </c>
      <c r="F785" s="1">
        <v>134</v>
      </c>
      <c r="G785" s="1" t="s">
        <v>3713</v>
      </c>
      <c r="H785" s="1" t="str">
        <f ca="1">IFERROR(__xludf.DUMMYFUNCTION("GOOGLETRANSLATE(G785,""pl"",""en"")"),"street. Capt. Pilot Franciszek Żwirka, Centrum, Śródmieście, Łódź, Łódź")</f>
        <v>street. Capt. Pilot Franciszek Żwirka, Centrum, Śródmieście, Łódź, Łódź</v>
      </c>
      <c r="I785" s="1" t="s">
        <v>21</v>
      </c>
      <c r="J785" s="1" t="s">
        <v>21</v>
      </c>
      <c r="K785" s="1" t="s">
        <v>22</v>
      </c>
      <c r="L785" s="1" t="s">
        <v>3714</v>
      </c>
      <c r="M785" s="1">
        <v>3</v>
      </c>
      <c r="N785" s="1" t="s">
        <v>24</v>
      </c>
      <c r="O785" s="1" t="str">
        <f ca="1">IFERROR(__xludf.DUMMYFUNCTION("GOOGLETRANSLATE(N785,""pl"",""en"")"),"full ownership")</f>
        <v>full ownership</v>
      </c>
      <c r="P785" s="3" t="s">
        <v>3715</v>
      </c>
      <c r="Q785" s="1" t="b">
        <v>1</v>
      </c>
      <c r="R785" s="1" t="s">
        <v>3716</v>
      </c>
    </row>
    <row r="786" spans="1:18" x14ac:dyDescent="0.25">
      <c r="A786" s="2">
        <v>45173</v>
      </c>
      <c r="B786" s="1" t="s">
        <v>3717</v>
      </c>
      <c r="C786" s="1" t="str">
        <f ca="1">IFERROR(__xludf.DUMMYFUNCTION("GOOGLETRANSLATE(B786,""pl"",""en"")"),"penthouse 70m terrace quiet Town of Wilanów")</f>
        <v>penthouse 70m terrace quiet Town of Wilanów</v>
      </c>
      <c r="D786" s="1">
        <v>1450000</v>
      </c>
      <c r="E786" s="1" t="s">
        <v>33</v>
      </c>
      <c r="F786" s="1">
        <v>81</v>
      </c>
      <c r="G786" s="1" t="s">
        <v>3718</v>
      </c>
      <c r="H786" s="1" t="str">
        <f ca="1">IFERROR(__xludf.DUMMYFUNCTION("GOOGLETRANSLATE(G786,""pl"",""en"")"),"Miasteczko Wilanów, Błonia Wilanowskie, Wilanów, Warsaw, Masovian Voivodeship")</f>
        <v>Miasteczko Wilanów, Błonia Wilanowskie, Wilanów, Warsaw, Masovian Voivodeship</v>
      </c>
      <c r="I786" s="1" t="s">
        <v>21</v>
      </c>
      <c r="J786" s="1" t="s">
        <v>21</v>
      </c>
      <c r="K786" s="1" t="s">
        <v>22</v>
      </c>
      <c r="L786" s="1" t="s">
        <v>3719</v>
      </c>
      <c r="M786" s="1">
        <v>3</v>
      </c>
      <c r="N786" s="1" t="s">
        <v>24</v>
      </c>
      <c r="O786" s="1" t="str">
        <f ca="1">IFERROR(__xludf.DUMMYFUNCTION("GOOGLETRANSLATE(N786,""pl"",""en"")"),"full ownership")</f>
        <v>full ownership</v>
      </c>
      <c r="P786" s="3" t="s">
        <v>3720</v>
      </c>
      <c r="Q786" s="1" t="b">
        <v>1</v>
      </c>
      <c r="R786" s="1" t="s">
        <v>3721</v>
      </c>
    </row>
    <row r="787" spans="1:18" x14ac:dyDescent="0.25">
      <c r="A787" s="2">
        <v>45173</v>
      </c>
      <c r="B787" s="1" t="s">
        <v>3722</v>
      </c>
      <c r="C787" s="1" t="str">
        <f ca="1">IFERROR(__xludf.DUMMYFUNCTION("GOOGLETRANSLATE(B787,""pl"",""en"")"),"Beautiful bright apartment 65 m2 Os. Południe")</f>
        <v>Beautiful bright apartment 65 m2 Os. Południe</v>
      </c>
      <c r="D787" s="1">
        <v>650000</v>
      </c>
      <c r="E787" s="1" t="s">
        <v>19</v>
      </c>
      <c r="F787" s="1">
        <v>65</v>
      </c>
      <c r="G787" s="1" t="s">
        <v>3723</v>
      </c>
      <c r="H787" s="1" t="str">
        <f ca="1">IFERROR(__xludf.DUMMYFUNCTION("GOOGLETRANSLATE(G787,""pl"",""en"")"),"street. Greek deputies, Radom, Masovian Voivodeship")</f>
        <v>street. Greek deputies, Radom, Masovian Voivodeship</v>
      </c>
      <c r="I787" s="1" t="s">
        <v>21</v>
      </c>
      <c r="J787" s="1" t="s">
        <v>21</v>
      </c>
      <c r="K787" s="1" t="s">
        <v>22</v>
      </c>
      <c r="L787" s="1" t="s">
        <v>3724</v>
      </c>
      <c r="M787" s="1">
        <v>3</v>
      </c>
      <c r="N787" s="1" t="s">
        <v>24</v>
      </c>
      <c r="O787" s="1" t="str">
        <f ca="1">IFERROR(__xludf.DUMMYFUNCTION("GOOGLETRANSLATE(N787,""pl"",""en"")"),"full ownership")</f>
        <v>full ownership</v>
      </c>
      <c r="P787" s="3" t="s">
        <v>3725</v>
      </c>
      <c r="Q787" s="1" t="b">
        <v>1</v>
      </c>
      <c r="R787" s="1" t="s">
        <v>3726</v>
      </c>
    </row>
    <row r="788" spans="1:18" x14ac:dyDescent="0.25">
      <c r="A788" s="2">
        <v>45308</v>
      </c>
      <c r="B788" s="1" t="s">
        <v>3727</v>
      </c>
      <c r="C788" s="1" t="str">
        <f ca="1">IFERROR(__xludf.DUMMYFUNCTION("GOOGLETRANSLATE(B788,""pl"",""en"")"),"3-room 0% commission for the buyer")</f>
        <v>3-room 0% commission for the buyer</v>
      </c>
      <c r="D788" s="1">
        <v>766036</v>
      </c>
      <c r="E788" s="1" t="s">
        <v>19</v>
      </c>
      <c r="F788" s="1">
        <v>51.51</v>
      </c>
      <c r="G788" s="1" t="s">
        <v>2446</v>
      </c>
      <c r="H788" s="1" t="str">
        <f ca="1">IFERROR(__xludf.DUMMYFUNCTION("GOOGLETRANSLATE(G788,""pl"",""en"")"),"Dąbie, Prawobrzeże, Szczecin, West Pomeranian Voivodeship")</f>
        <v>Dąbie, Prawobrzeże, Szczecin, West Pomeranian Voivodeship</v>
      </c>
      <c r="I788" s="1" t="s">
        <v>21</v>
      </c>
      <c r="J788" s="1" t="s">
        <v>21</v>
      </c>
      <c r="K788" s="1" t="s">
        <v>22</v>
      </c>
      <c r="L788" s="1" t="s">
        <v>3728</v>
      </c>
      <c r="M788" s="1">
        <v>3</v>
      </c>
      <c r="N788" s="1" t="s">
        <v>24</v>
      </c>
      <c r="O788" s="1" t="str">
        <f ca="1">IFERROR(__xludf.DUMMYFUNCTION("GOOGLETRANSLATE(N788,""pl"",""en"")"),"full ownership")</f>
        <v>full ownership</v>
      </c>
      <c r="P788" s="3" t="s">
        <v>3729</v>
      </c>
      <c r="Q788" s="1" t="b">
        <v>1</v>
      </c>
      <c r="R788" s="1" t="s">
        <v>3730</v>
      </c>
    </row>
    <row r="789" spans="1:18" x14ac:dyDescent="0.25">
      <c r="A789" s="2">
        <v>45308</v>
      </c>
      <c r="B789" s="1" t="s">
        <v>3731</v>
      </c>
      <c r="C789" s="1" t="str">
        <f ca="1">IFERROR(__xludf.DUMMYFUNCTION("GOOGLETRANSLATE(B789,""pl"",""en"")"),"4 rooms with an elevator near the loop 114")</f>
        <v>4 rooms with an elevator near the loop 114</v>
      </c>
      <c r="D789" s="1">
        <v>537570</v>
      </c>
      <c r="E789" s="1" t="s">
        <v>19</v>
      </c>
      <c r="F789" s="1">
        <v>59.73</v>
      </c>
      <c r="G789" s="1" t="s">
        <v>3732</v>
      </c>
      <c r="H789" s="1" t="str">
        <f ca="1">IFERROR(__xludf.DUMMYFUNCTION("GOOGLETRANSLATE(G789,""pl"",""en"")"),"street. Biskowa, Bieńkowice, Krzyki, Wrocław, DolnoSilesian Voivodeship")</f>
        <v>street. Biskowa, Bieńkowice, Krzyki, Wrocław, DolnoSilesian Voivodeship</v>
      </c>
      <c r="I789" s="1" t="s">
        <v>21</v>
      </c>
      <c r="J789" s="1" t="s">
        <v>21</v>
      </c>
      <c r="K789" s="1" t="s">
        <v>22</v>
      </c>
      <c r="L789" s="1" t="s">
        <v>3733</v>
      </c>
      <c r="M789" s="1">
        <v>4</v>
      </c>
      <c r="N789" s="1" t="s">
        <v>24</v>
      </c>
      <c r="O789" s="1" t="str">
        <f ca="1">IFERROR(__xludf.DUMMYFUNCTION("GOOGLETRANSLATE(N789,""pl"",""en"")"),"full ownership")</f>
        <v>full ownership</v>
      </c>
      <c r="P789" s="3" t="s">
        <v>3734</v>
      </c>
      <c r="Q789" s="1" t="b">
        <v>1</v>
      </c>
      <c r="R789" s="1" t="s">
        <v>3735</v>
      </c>
    </row>
    <row r="790" spans="1:18" x14ac:dyDescent="0.25">
      <c r="A790" s="2">
        <v>45308</v>
      </c>
      <c r="B790" s="1" t="s">
        <v>281</v>
      </c>
      <c r="C790" s="1" t="str">
        <f ca="1">IFERROR(__xludf.DUMMYFUNCTION("GOOGLETRANSLATE(B790,""pl"",""en"")"),"New 4 rooms, 2 % loan - price until the end of the week")</f>
        <v>New 4 rooms, 2 % loan - price until the end of the week</v>
      </c>
      <c r="D790" s="1">
        <v>542263</v>
      </c>
      <c r="E790" s="1" t="s">
        <v>19</v>
      </c>
      <c r="F790" s="1">
        <v>59.07</v>
      </c>
      <c r="G790" s="1" t="s">
        <v>282</v>
      </c>
      <c r="H790" s="1" t="str">
        <f ca="1">IFERROR(__xludf.DUMMYFUNCTION("GOOGLETRANSLATE(G790,""pl"",""en"")"),"Orunia Górna - Gdańsk Południe, Gdańsk, Pomeranian Voivodeship")</f>
        <v>Orunia Górna - Gdańsk Południe, Gdańsk, Pomeranian Voivodeship</v>
      </c>
      <c r="I790" s="1" t="s">
        <v>21</v>
      </c>
      <c r="J790" s="1" t="s">
        <v>21</v>
      </c>
      <c r="K790" s="1" t="s">
        <v>22</v>
      </c>
      <c r="L790" s="1" t="s">
        <v>3736</v>
      </c>
      <c r="M790" s="1">
        <v>3</v>
      </c>
      <c r="N790" s="1" t="s">
        <v>24</v>
      </c>
      <c r="O790" s="1" t="str">
        <f ca="1">IFERROR(__xludf.DUMMYFUNCTION("GOOGLETRANSLATE(N790,""pl"",""en"")"),"full ownership")</f>
        <v>full ownership</v>
      </c>
      <c r="P790" s="3" t="s">
        <v>3737</v>
      </c>
      <c r="Q790" s="1" t="b">
        <v>1</v>
      </c>
      <c r="R790" s="1" t="s">
        <v>3738</v>
      </c>
    </row>
    <row r="791" spans="1:18" x14ac:dyDescent="0.25">
      <c r="A791" s="2">
        <v>45308</v>
      </c>
      <c r="B791" s="1" t="s">
        <v>3739</v>
      </c>
      <c r="C791" s="1" t="str">
        <f ca="1">IFERROR(__xludf.DUMMYFUNCTION("GOOGLETRANSLATE(B791,""pl"",""en"")"),"86 m scheduled, center, perfect for investment")</f>
        <v>86 m scheduled, center, perfect for investment</v>
      </c>
      <c r="D791" s="1">
        <v>420000</v>
      </c>
      <c r="E791" s="1" t="s">
        <v>33</v>
      </c>
      <c r="F791" s="1">
        <v>86</v>
      </c>
      <c r="G791" s="1" t="s">
        <v>2530</v>
      </c>
      <c r="H791" s="1" t="str">
        <f ca="1">IFERROR(__xludf.DUMMYFUNCTION("GOOGLETRANSLATE(G791,""pl"",""en"")"),"Stare Polesie, Polesie, Łódź, Łódź")</f>
        <v>Stare Polesie, Polesie, Łódź, Łódź</v>
      </c>
      <c r="I791" s="1" t="s">
        <v>21</v>
      </c>
      <c r="J791" s="1" t="s">
        <v>21</v>
      </c>
      <c r="K791" s="1" t="s">
        <v>45</v>
      </c>
      <c r="L791" s="1" t="s">
        <v>3740</v>
      </c>
      <c r="M791" s="1">
        <v>3</v>
      </c>
      <c r="N791" s="1" t="s">
        <v>24</v>
      </c>
      <c r="O791" s="1" t="str">
        <f ca="1">IFERROR(__xludf.DUMMYFUNCTION("GOOGLETRANSLATE(N791,""pl"",""en"")"),"full ownership")</f>
        <v>full ownership</v>
      </c>
      <c r="P791" s="3" t="s">
        <v>3741</v>
      </c>
      <c r="Q791" s="1" t="b">
        <v>1</v>
      </c>
      <c r="R791" s="1" t="s">
        <v>3742</v>
      </c>
    </row>
    <row r="792" spans="1:18" x14ac:dyDescent="0.25">
      <c r="A792" s="2">
        <v>45308</v>
      </c>
      <c r="B792" s="1" t="s">
        <v>3743</v>
      </c>
      <c r="C792" s="1" t="str">
        <f ca="1">IFERROR(__xludf.DUMMYFUNCTION("GOOGLETRANSLATE(B792,""pl"",""en"")"),"A detached house in the buffer zone of the Kampinos Forest!")</f>
        <v>A detached house in the buffer zone of the Kampinos Forest!</v>
      </c>
      <c r="D792" s="1">
        <v>1690000</v>
      </c>
      <c r="E792" s="1" t="s">
        <v>33</v>
      </c>
      <c r="F792" s="1">
        <v>121</v>
      </c>
      <c r="G792" s="1" t="s">
        <v>3744</v>
      </c>
      <c r="H792" s="1" t="str">
        <f ca="1">IFERROR(__xludf.DUMMYFUNCTION("GOOGLETRANSLATE(G792,""pl"",""en"")"),"Sadowa, Łomianki, Warsaw West, Masovian Voivodeship")</f>
        <v>Sadowa, Łomianki, Warsaw West, Masovian Voivodeship</v>
      </c>
      <c r="I792" s="1" t="b">
        <v>1</v>
      </c>
      <c r="J792" s="1" t="s">
        <v>21</v>
      </c>
      <c r="K792" s="1" t="s">
        <v>22</v>
      </c>
      <c r="L792" s="1" t="s">
        <v>3745</v>
      </c>
      <c r="M792" s="1">
        <v>5</v>
      </c>
      <c r="N792" s="1" t="s">
        <v>21</v>
      </c>
      <c r="O792" s="1" t="str">
        <f ca="1">IFERROR(__xludf.DUMMYFUNCTION("GOOGLETRANSLATE(N792,""pl"",""en"")"),"null")</f>
        <v>null</v>
      </c>
      <c r="P792" s="3" t="s">
        <v>3746</v>
      </c>
      <c r="Q792" s="1" t="b">
        <v>1</v>
      </c>
      <c r="R792" s="1" t="s">
        <v>3747</v>
      </c>
    </row>
    <row r="793" spans="1:18" x14ac:dyDescent="0.25">
      <c r="A793" s="2">
        <v>45308</v>
      </c>
      <c r="B793" s="1" t="s">
        <v>3748</v>
      </c>
      <c r="C793" s="1" t="str">
        <f ca="1">IFERROR(__xludf.DUMMYFUNCTION("GOOGLETRANSLATE(B793,""pl"",""en"")"),"A two -level apartment near Galeria Kazimierz")</f>
        <v>A two -level apartment near Galeria Kazimierz</v>
      </c>
      <c r="D793" s="1">
        <v>1090000</v>
      </c>
      <c r="E793" s="1" t="s">
        <v>33</v>
      </c>
      <c r="F793" s="1">
        <v>67</v>
      </c>
      <c r="G793" s="1" t="s">
        <v>4804</v>
      </c>
      <c r="H793" s="1" t="str">
        <f ca="1">IFERROR(__xludf.DUMMYFUNCTION("GOOGLETRANSLATE(G793,""pl"",""en"")"),"al. Ignacy Daszyński, Grzegórzki, Grzegórzki, Kraków, Lesser Poland")</f>
        <v>al. Ignacy Daszyński, Grzegórzki, Grzegórzki, Kraków, Lesser Poland</v>
      </c>
      <c r="I793" s="1" t="s">
        <v>21</v>
      </c>
      <c r="J793" s="1" t="s">
        <v>21</v>
      </c>
      <c r="K793" s="1" t="s">
        <v>22</v>
      </c>
      <c r="L793" s="1" t="s">
        <v>3749</v>
      </c>
      <c r="M793" s="1">
        <v>3</v>
      </c>
      <c r="N793" s="1" t="s">
        <v>24</v>
      </c>
      <c r="O793" s="1" t="str">
        <f ca="1">IFERROR(__xludf.DUMMYFUNCTION("GOOGLETRANSLATE(N793,""pl"",""en"")"),"full ownership")</f>
        <v>full ownership</v>
      </c>
      <c r="P793" s="3" t="s">
        <v>3750</v>
      </c>
      <c r="Q793" s="1" t="b">
        <v>1</v>
      </c>
      <c r="R793" s="1" t="s">
        <v>3751</v>
      </c>
    </row>
    <row r="794" spans="1:18" x14ac:dyDescent="0.25">
      <c r="A794" s="2">
        <v>45308</v>
      </c>
      <c r="B794" s="1" t="s">
        <v>3752</v>
      </c>
      <c r="C794" s="1" t="str">
        <f ca="1">IFERROR(__xludf.DUMMYFUNCTION("GOOGLETRANSLATE(B794,""pl"",""en"")"),"Around Stabłowicka / 3 rooms / timetable / BA")</f>
        <v>Around Stabłowicka / 3 rooms / timetable / BA</v>
      </c>
      <c r="D794" s="1">
        <v>680000</v>
      </c>
      <c r="E794" s="1" t="s">
        <v>33</v>
      </c>
      <c r="F794" s="1">
        <v>53.18</v>
      </c>
      <c r="G794" s="1" t="s">
        <v>3753</v>
      </c>
      <c r="H794" s="1" t="str">
        <f ca="1">IFERROR(__xludf.DUMMYFUNCTION("GOOGLETRANSLATE(G794,""pl"",""en"")"),"Lubomierska, Pracze Odrzańskie, Fabryczna, Wrocław, DolnoSilesian Voivodeship")</f>
        <v>Lubomierska, Pracze Odrzańskie, Fabryczna, Wrocław, DolnoSilesian Voivodeship</v>
      </c>
      <c r="I794" s="1" t="s">
        <v>21</v>
      </c>
      <c r="J794" s="1" t="s">
        <v>21</v>
      </c>
      <c r="K794" s="1" t="s">
        <v>22</v>
      </c>
      <c r="L794" s="1" t="s">
        <v>3754</v>
      </c>
      <c r="M794" s="1">
        <v>3</v>
      </c>
      <c r="N794" s="1" t="s">
        <v>24</v>
      </c>
      <c r="O794" s="1" t="str">
        <f ca="1">IFERROR(__xludf.DUMMYFUNCTION("GOOGLETRANSLATE(N794,""pl"",""en"")"),"full ownership")</f>
        <v>full ownership</v>
      </c>
      <c r="P794" s="3" t="s">
        <v>3755</v>
      </c>
      <c r="Q794" s="1" t="b">
        <v>1</v>
      </c>
      <c r="R794" s="1" t="s">
        <v>3756</v>
      </c>
    </row>
    <row r="795" spans="1:18" x14ac:dyDescent="0.25">
      <c r="A795" s="2">
        <v>45173</v>
      </c>
      <c r="B795" s="1" t="s">
        <v>3708</v>
      </c>
      <c r="C795" s="1" t="str">
        <f ca="1">IFERROR(__xludf.DUMMYFUNCTION("GOOGLETRANSLATE(B795,""pl"",""en"")"),"Increased development standard! We invite")</f>
        <v>Increased development standard! We invite</v>
      </c>
      <c r="D795" s="1">
        <v>415000</v>
      </c>
      <c r="E795" s="1" t="s">
        <v>19</v>
      </c>
      <c r="F795" s="1">
        <v>74</v>
      </c>
      <c r="G795" s="1" t="s">
        <v>4712</v>
      </c>
      <c r="H795" s="1" t="str">
        <f ca="1">IFERROR(__xludf.DUMMYFUNCTION("GOOGLETRANSLATE(G795,""pl"",""en"")"),"axis. Estate Przylesie, Błażejewo, Kórnik, Poznański, Greater Poland")</f>
        <v>axis. Estate Przylesie, Błażejewo, Kórnik, Poznański, Greater Poland</v>
      </c>
      <c r="I795" s="1" t="b">
        <v>1</v>
      </c>
      <c r="J795" s="1" t="s">
        <v>21</v>
      </c>
      <c r="K795" s="1" t="s">
        <v>194</v>
      </c>
      <c r="L795" s="1" t="s">
        <v>3757</v>
      </c>
      <c r="M795" s="1">
        <v>3</v>
      </c>
      <c r="N795" s="1" t="s">
        <v>21</v>
      </c>
      <c r="O795" s="1" t="str">
        <f ca="1">IFERROR(__xludf.DUMMYFUNCTION("GOOGLETRANSLATE(N795,""pl"",""en"")"),"null")</f>
        <v>null</v>
      </c>
      <c r="P795" s="3" t="s">
        <v>3758</v>
      </c>
      <c r="Q795" s="1" t="b">
        <v>1</v>
      </c>
      <c r="R795" s="1" t="s">
        <v>3759</v>
      </c>
    </row>
    <row r="796" spans="1:18" x14ac:dyDescent="0.25">
      <c r="A796" s="2">
        <v>45173</v>
      </c>
      <c r="B796" s="1" t="s">
        <v>1987</v>
      </c>
      <c r="C796" s="1" t="str">
        <f ca="1">IFERROR(__xludf.DUMMYFUNCTION("GOOGLETRANSLATE(B796,""pl"",""en"")"),"Turn turnkey Apartment sunday ustronie sea")</f>
        <v>Turn turnkey Apartment sunday ustronie sea</v>
      </c>
      <c r="D796" s="1">
        <v>468000</v>
      </c>
      <c r="E796" s="1" t="s">
        <v>19</v>
      </c>
      <c r="F796" s="1">
        <v>33.36</v>
      </c>
      <c r="G796" s="1" t="s">
        <v>1988</v>
      </c>
      <c r="H796" s="1" t="str">
        <f ca="1">IFERROR(__xludf.DUMMYFUNCTION("GOOGLETRANSLATE(G796,""pl"",""en"")"),"street. Polna, Ustronie Morskie, Ustronie Morskie, Kołobrzeski, West Pomeranian Voivodeship")</f>
        <v>street. Polna, Ustronie Morskie, Ustronie Morskie, Kołobrzeski, West Pomeranian Voivodeship</v>
      </c>
      <c r="I796" s="1" t="s">
        <v>21</v>
      </c>
      <c r="J796" s="1" t="s">
        <v>21</v>
      </c>
      <c r="K796" s="1" t="s">
        <v>194</v>
      </c>
      <c r="L796" s="1" t="s">
        <v>3760</v>
      </c>
      <c r="M796" s="1">
        <v>2</v>
      </c>
      <c r="N796" s="1" t="s">
        <v>24</v>
      </c>
      <c r="O796" s="1" t="str">
        <f ca="1">IFERROR(__xludf.DUMMYFUNCTION("GOOGLETRANSLATE(N796,""pl"",""en"")"),"full ownership")</f>
        <v>full ownership</v>
      </c>
      <c r="P796" s="3" t="s">
        <v>3761</v>
      </c>
      <c r="Q796" s="1" t="b">
        <v>1</v>
      </c>
      <c r="R796" s="1" t="s">
        <v>3762</v>
      </c>
    </row>
    <row r="797" spans="1:18" x14ac:dyDescent="0.25">
      <c r="A797" s="2">
        <v>45173</v>
      </c>
      <c r="B797" s="1" t="s">
        <v>1987</v>
      </c>
      <c r="C797" s="1" t="str">
        <f ca="1">IFERROR(__xludf.DUMMYFUNCTION("GOOGLETRANSLATE(B797,""pl"",""en"")"),"Turn turnkey Apartment sunday ustronie sea")</f>
        <v>Turn turnkey Apartment sunday ustronie sea</v>
      </c>
      <c r="D797" s="1">
        <v>605464</v>
      </c>
      <c r="E797" s="1" t="s">
        <v>19</v>
      </c>
      <c r="F797" s="1">
        <v>38.94</v>
      </c>
      <c r="G797" s="1" t="s">
        <v>1988</v>
      </c>
      <c r="H797" s="1" t="str">
        <f ca="1">IFERROR(__xludf.DUMMYFUNCTION("GOOGLETRANSLATE(G797,""pl"",""en"")"),"street. Polna, Ustronie Morskie, Ustronie Morskie, Kołobrzeski, West Pomeranian Voivodeship")</f>
        <v>street. Polna, Ustronie Morskie, Ustronie Morskie, Kołobrzeski, West Pomeranian Voivodeship</v>
      </c>
      <c r="I797" s="1" t="s">
        <v>21</v>
      </c>
      <c r="J797" s="1" t="s">
        <v>21</v>
      </c>
      <c r="K797" s="1" t="s">
        <v>194</v>
      </c>
      <c r="L797" s="1" t="s">
        <v>3763</v>
      </c>
      <c r="M797" s="1">
        <v>2</v>
      </c>
      <c r="N797" s="1" t="s">
        <v>24</v>
      </c>
      <c r="O797" s="1" t="str">
        <f ca="1">IFERROR(__xludf.DUMMYFUNCTION("GOOGLETRANSLATE(N797,""pl"",""en"")"),"full ownership")</f>
        <v>full ownership</v>
      </c>
      <c r="P797" s="3" t="s">
        <v>3764</v>
      </c>
      <c r="Q797" s="1" t="b">
        <v>1</v>
      </c>
      <c r="R797" s="1" t="s">
        <v>3765</v>
      </c>
    </row>
    <row r="798" spans="1:18" x14ac:dyDescent="0.25">
      <c r="A798" s="2">
        <v>45173</v>
      </c>
      <c r="B798" s="1" t="s">
        <v>3766</v>
      </c>
      <c r="C798" s="1" t="str">
        <f ca="1">IFERROR(__xludf.DUMMYFUNCTION("GOOGLETRANSLATE(B798,""pl"",""en"")"),"Under the forest-home-seal 101m2+garden")</f>
        <v>Under the forest-home-seal 101m2+garden</v>
      </c>
      <c r="D798" s="1">
        <v>720000</v>
      </c>
      <c r="E798" s="1" t="s">
        <v>19</v>
      </c>
      <c r="F798" s="1">
        <v>101</v>
      </c>
      <c r="G798" s="1" t="s">
        <v>3767</v>
      </c>
      <c r="H798" s="1" t="str">
        <f ca="1">IFERROR(__xludf.DUMMYFUNCTION("GOOGLETRANSLATE(G798,""pl"",""en"")"),"Smolec, Kąty Wrocławskie, Wrocław, DolnoSilesian Voivodeship")</f>
        <v>Smolec, Kąty Wrocławskie, Wrocław, DolnoSilesian Voivodeship</v>
      </c>
      <c r="I798" s="1" t="s">
        <v>21</v>
      </c>
      <c r="J798" s="1" t="s">
        <v>21</v>
      </c>
      <c r="K798" s="1" t="s">
        <v>22</v>
      </c>
      <c r="L798" s="1" t="s">
        <v>3768</v>
      </c>
      <c r="M798" s="1">
        <v>6</v>
      </c>
      <c r="N798" s="1" t="s">
        <v>24</v>
      </c>
      <c r="O798" s="1" t="str">
        <f ca="1">IFERROR(__xludf.DUMMYFUNCTION("GOOGLETRANSLATE(N798,""pl"",""en"")"),"full ownership")</f>
        <v>full ownership</v>
      </c>
      <c r="P798" s="3" t="s">
        <v>3769</v>
      </c>
      <c r="Q798" s="1" t="b">
        <v>1</v>
      </c>
      <c r="R798" s="1" t="s">
        <v>3770</v>
      </c>
    </row>
    <row r="799" spans="1:18" x14ac:dyDescent="0.25">
      <c r="A799" s="2">
        <v>45308</v>
      </c>
      <c r="B799" s="1" t="s">
        <v>3771</v>
      </c>
      <c r="C799" s="1" t="str">
        <f ca="1">IFERROR(__xludf.DUMMYFUNCTION("GOOGLETRANSLATE(B799,""pl"",""en"")"),"Nice apartment 60m2, good price")</f>
        <v>Nice apartment 60m2, good price</v>
      </c>
      <c r="D799" s="1">
        <v>499000</v>
      </c>
      <c r="E799" s="1" t="s">
        <v>33</v>
      </c>
      <c r="F799" s="1">
        <v>60</v>
      </c>
      <c r="G799" s="1" t="s">
        <v>3772</v>
      </c>
      <c r="H799" s="1" t="str">
        <f ca="1">IFERROR(__xludf.DUMMYFUNCTION("GOOGLETRANSLATE(G799,""pl"",""en"")"),"street. Gajowa, Titici II, Białystok, Podlasie")</f>
        <v>street. Gajowa, Titici II, Białystok, Podlasie</v>
      </c>
      <c r="I799" s="1" t="s">
        <v>21</v>
      </c>
      <c r="J799" s="1" t="s">
        <v>21</v>
      </c>
      <c r="K799" s="1" t="s">
        <v>22</v>
      </c>
      <c r="L799" s="1" t="s">
        <v>3773</v>
      </c>
      <c r="M799" s="1">
        <v>3</v>
      </c>
      <c r="N799" s="1" t="s">
        <v>24</v>
      </c>
      <c r="O799" s="1" t="str">
        <f ca="1">IFERROR(__xludf.DUMMYFUNCTION("GOOGLETRANSLATE(N799,""pl"",""en"")"),"full ownership")</f>
        <v>full ownership</v>
      </c>
      <c r="P799" s="3" t="s">
        <v>3774</v>
      </c>
      <c r="Q799" s="1" t="b">
        <v>1</v>
      </c>
      <c r="R799" s="1" t="s">
        <v>3775</v>
      </c>
    </row>
    <row r="800" spans="1:18" x14ac:dyDescent="0.25">
      <c r="A800" s="2">
        <v>45308</v>
      </c>
      <c r="B800" s="1" t="s">
        <v>3776</v>
      </c>
      <c r="C800" s="1" t="str">
        <f ca="1">IFERROR(__xludf.DUMMYFUNCTION("GOOGLETRANSLATE(B800,""pl"",""en"")"),"A studio apartment in Nowa Huta")</f>
        <v>A studio apartment in Nowa Huta</v>
      </c>
      <c r="D800" s="1">
        <v>135000</v>
      </c>
      <c r="E800" s="1" t="s">
        <v>33</v>
      </c>
      <c r="F800" s="1">
        <v>14.1</v>
      </c>
      <c r="G800" s="1" t="s">
        <v>4805</v>
      </c>
      <c r="H800" s="1" t="str">
        <f ca="1">IFERROR(__xludf.DUMMYFUNCTION("GOOGLETRANSLATE(G800,""pl"",""en"")"),"street. Stanisław August Poniatowski, Wzgórza Krzesławickie, Wzgórze Krzesławickie, Kraków, Lesser Poland")</f>
        <v>street. Stanisław August Poniatowski, Wzgórza Krzesławickie, Wzgórze Krzesławickie, Kraków, Lesser Poland</v>
      </c>
      <c r="I800" s="1" t="b">
        <v>1</v>
      </c>
      <c r="J800" s="1" t="s">
        <v>21</v>
      </c>
      <c r="K800" s="1" t="s">
        <v>45</v>
      </c>
      <c r="L800" s="1" t="s">
        <v>3777</v>
      </c>
      <c r="M800" s="1">
        <v>1</v>
      </c>
      <c r="N800" s="1" t="s">
        <v>21</v>
      </c>
      <c r="O800" s="1" t="str">
        <f ca="1">IFERROR(__xludf.DUMMYFUNCTION("GOOGLETRANSLATE(N800,""pl"",""en"")"),"null")</f>
        <v>null</v>
      </c>
      <c r="P800" s="3" t="s">
        <v>3778</v>
      </c>
      <c r="Q800" s="1" t="b">
        <v>1</v>
      </c>
      <c r="R800" s="1" t="s">
        <v>3779</v>
      </c>
    </row>
    <row r="801" spans="1:18" x14ac:dyDescent="0.25">
      <c r="A801" s="2">
        <v>45308</v>
      </c>
      <c r="B801" s="1" t="s">
        <v>3780</v>
      </c>
      <c r="C801" s="1" t="str">
        <f ca="1">IFERROR(__xludf.DUMMYFUNCTION("GOOGLETRANSLATE(B801,""pl"",""en"")"),"A well -kept tenement house Downtown")</f>
        <v>A well -kept tenement house Downtown</v>
      </c>
      <c r="D801" s="1">
        <v>1149000</v>
      </c>
      <c r="E801" s="1" t="s">
        <v>33</v>
      </c>
      <c r="F801" s="1">
        <v>83.15</v>
      </c>
      <c r="G801" s="1" t="s">
        <v>3781</v>
      </c>
      <c r="H801" s="1" t="str">
        <f ca="1">IFERROR(__xludf.DUMMYFUNCTION("GOOGLETRANSLATE(G801,""pl"",""en"")"),"street. Jan Dziewanowski, Śródmieście, Gdańsk, Pomeranian Voivodeship")</f>
        <v>street. Jan Dziewanowski, Śródmieście, Gdańsk, Pomeranian Voivodeship</v>
      </c>
      <c r="I801" s="1" t="s">
        <v>21</v>
      </c>
      <c r="J801" s="1" t="s">
        <v>21</v>
      </c>
      <c r="K801" s="1" t="s">
        <v>22</v>
      </c>
      <c r="L801" s="1" t="s">
        <v>3782</v>
      </c>
      <c r="M801" s="1">
        <v>3</v>
      </c>
      <c r="N801" s="1" t="s">
        <v>24</v>
      </c>
      <c r="O801" s="1" t="str">
        <f ca="1">IFERROR(__xludf.DUMMYFUNCTION("GOOGLETRANSLATE(N801,""pl"",""en"")"),"full ownership")</f>
        <v>full ownership</v>
      </c>
      <c r="P801" s="3" t="s">
        <v>3783</v>
      </c>
      <c r="Q801" s="1" t="b">
        <v>1</v>
      </c>
      <c r="R801" s="1" t="s">
        <v>3784</v>
      </c>
    </row>
    <row r="802" spans="1:18" x14ac:dyDescent="0.25">
      <c r="A802" s="2">
        <v>45308</v>
      </c>
      <c r="B802" s="1" t="s">
        <v>3785</v>
      </c>
      <c r="C802" s="1" t="str">
        <f ca="1">IFERROR(__xludf.DUMMYFUNCTION("GOOGLETRANSLATE(B802,""pl"",""en"")"),"1 room with a garden")</f>
        <v>1 room with a garden</v>
      </c>
      <c r="D802" s="1">
        <v>645000</v>
      </c>
      <c r="E802" s="1" t="s">
        <v>33</v>
      </c>
      <c r="F802" s="1">
        <v>25.91</v>
      </c>
      <c r="G802" s="1" t="s">
        <v>4806</v>
      </c>
      <c r="H802" s="1" t="str">
        <f ca="1">IFERROR(__xludf.DUMMYFUNCTION("GOOGLETRANSLATE(G802,""pl"",""en"")"),"street. Żabiniec, Żabiniec, Prądnik Biały, Kraków, Lesser Poland")</f>
        <v>street. Żabiniec, Żabiniec, Prądnik Biały, Kraków, Lesser Poland</v>
      </c>
      <c r="I802" s="1" t="s">
        <v>21</v>
      </c>
      <c r="J802" s="1" t="s">
        <v>21</v>
      </c>
      <c r="K802" s="1" t="s">
        <v>22</v>
      </c>
      <c r="L802" s="1" t="s">
        <v>3786</v>
      </c>
      <c r="M802" s="1">
        <v>1</v>
      </c>
      <c r="N802" s="1" t="s">
        <v>24</v>
      </c>
      <c r="O802" s="1" t="str">
        <f ca="1">IFERROR(__xludf.DUMMYFUNCTION("GOOGLETRANSLATE(N802,""pl"",""en"")"),"full ownership")</f>
        <v>full ownership</v>
      </c>
      <c r="P802" s="3" t="s">
        <v>3787</v>
      </c>
      <c r="Q802" s="1" t="b">
        <v>1</v>
      </c>
      <c r="R802" s="1" t="s">
        <v>3788</v>
      </c>
    </row>
    <row r="803" spans="1:18" x14ac:dyDescent="0.25">
      <c r="A803" s="2">
        <v>45308</v>
      </c>
      <c r="B803" s="1" t="s">
        <v>3789</v>
      </c>
      <c r="C803" s="1" t="str">
        <f ca="1">IFERROR(__xludf.DUMMYFUNCTION("GOOGLETRANSLATE(B803,""pl"",""en"")"),"Owner /-20tyś / - 2pok, 41.3m+garage, neat")</f>
        <v>Owner /-20tyś / - 2pok, 41.3m+garage, neat</v>
      </c>
      <c r="D803" s="1">
        <v>650000</v>
      </c>
      <c r="E803" s="1" t="s">
        <v>33</v>
      </c>
      <c r="F803" s="1">
        <v>41.3</v>
      </c>
      <c r="G803" s="1" t="s">
        <v>4807</v>
      </c>
      <c r="H803" s="1" t="str">
        <f ca="1">IFERROR(__xludf.DUMMYFUNCTION("GOOGLETRANSLATE(G803,""pl"",""en"")"),"street. Józef Łepkowski, Prądnik Czerwony, Prądnik Czerwony, Kraków, Lesser Poland")</f>
        <v>street. Józef Łepkowski, Prądnik Czerwony, Prądnik Czerwony, Kraków, Lesser Poland</v>
      </c>
      <c r="I803" s="1" t="s">
        <v>21</v>
      </c>
      <c r="J803" s="1" t="s">
        <v>21</v>
      </c>
      <c r="K803" s="1" t="s">
        <v>45</v>
      </c>
      <c r="L803" s="1" t="s">
        <v>3790</v>
      </c>
      <c r="M803" s="1">
        <v>2</v>
      </c>
      <c r="N803" s="1" t="s">
        <v>24</v>
      </c>
      <c r="O803" s="1" t="str">
        <f ca="1">IFERROR(__xludf.DUMMYFUNCTION("GOOGLETRANSLATE(N803,""pl"",""en"")"),"full ownership")</f>
        <v>full ownership</v>
      </c>
      <c r="P803" s="3" t="s">
        <v>3791</v>
      </c>
      <c r="Q803" s="1" t="b">
        <v>1</v>
      </c>
      <c r="R803" s="1" t="s">
        <v>3792</v>
      </c>
    </row>
    <row r="804" spans="1:18" x14ac:dyDescent="0.25">
      <c r="A804" s="2">
        <v>45308</v>
      </c>
      <c r="B804" s="1" t="s">
        <v>3793</v>
      </c>
      <c r="C804" s="1" t="str">
        <f ca="1">IFERROR(__xludf.DUMMYFUNCTION("GOOGLETRANSLATE(B804,""pl"",""en"")"),"2 rooms with balcony, tram, green, garage /BK 2%")</f>
        <v>2 rooms with balcony, tram, green, garage /BK 2%</v>
      </c>
      <c r="D804" s="1">
        <v>469500</v>
      </c>
      <c r="E804" s="1" t="s">
        <v>19</v>
      </c>
      <c r="F804" s="1">
        <v>36.68</v>
      </c>
      <c r="G804" s="1" t="s">
        <v>3794</v>
      </c>
      <c r="H804" s="1" t="str">
        <f ca="1">IFERROR(__xludf.DUMMYFUNCTION("GOOGLETRANSLATE(G804,""pl"",""en"")"),"Dedicated, Psie Pole, Wrocław, DolnoSilesian Voivodeship")</f>
        <v>Dedicated, Psie Pole, Wrocław, DolnoSilesian Voivodeship</v>
      </c>
      <c r="I804" s="1" t="s">
        <v>21</v>
      </c>
      <c r="J804" s="1" t="s">
        <v>21</v>
      </c>
      <c r="K804" s="1" t="s">
        <v>22</v>
      </c>
      <c r="L804" s="1" t="s">
        <v>3795</v>
      </c>
      <c r="M804" s="1">
        <v>2</v>
      </c>
      <c r="N804" s="1" t="s">
        <v>24</v>
      </c>
      <c r="O804" s="1" t="str">
        <f ca="1">IFERROR(__xludf.DUMMYFUNCTION("GOOGLETRANSLATE(N804,""pl"",""en"")"),"full ownership")</f>
        <v>full ownership</v>
      </c>
      <c r="P804" s="3" t="s">
        <v>3796</v>
      </c>
      <c r="Q804" s="1" t="b">
        <v>1</v>
      </c>
      <c r="R804" s="1" t="s">
        <v>3797</v>
      </c>
    </row>
    <row r="805" spans="1:18" x14ac:dyDescent="0.25">
      <c r="A805" s="2">
        <v>45308</v>
      </c>
      <c r="B805" s="1" t="s">
        <v>3798</v>
      </c>
      <c r="C805" s="1" t="str">
        <f ca="1">IFERROR(__xludf.DUMMYFUNCTION("GOOGLETRANSLATE(B805,""pl"",""en"")"),"Kołobrzeg-Mieszkanie finished to the key")</f>
        <v>Kołobrzeg-Mieszkanie finished to the key</v>
      </c>
      <c r="D805" s="1">
        <v>624459</v>
      </c>
      <c r="E805" s="1" t="s">
        <v>19</v>
      </c>
      <c r="F805" s="1">
        <v>41.91</v>
      </c>
      <c r="G805" s="1" t="s">
        <v>1771</v>
      </c>
      <c r="H805" s="1" t="str">
        <f ca="1">IFERROR(__xludf.DUMMYFUNCTION("GOOGLETRANSLATE(G805,""pl"",""en"")"),"street. Baltycka, Kołobrzeg, Kołobrzeski, West Pomeranian Voivodeship")</f>
        <v>street. Baltycka, Kołobrzeg, Kołobrzeski, West Pomeranian Voivodeship</v>
      </c>
      <c r="I805" s="1" t="s">
        <v>21</v>
      </c>
      <c r="J805" s="1" t="s">
        <v>21</v>
      </c>
      <c r="K805" s="1" t="s">
        <v>194</v>
      </c>
      <c r="L805" s="1" t="s">
        <v>3799</v>
      </c>
      <c r="M805" s="1">
        <v>2</v>
      </c>
      <c r="N805" s="1" t="s">
        <v>24</v>
      </c>
      <c r="O805" s="1" t="str">
        <f ca="1">IFERROR(__xludf.DUMMYFUNCTION("GOOGLETRANSLATE(N805,""pl"",""en"")"),"full ownership")</f>
        <v>full ownership</v>
      </c>
      <c r="P805" s="3" t="s">
        <v>3800</v>
      </c>
      <c r="Q805" s="1" t="b">
        <v>1</v>
      </c>
      <c r="R805" s="1" t="s">
        <v>3801</v>
      </c>
    </row>
    <row r="806" spans="1:18" x14ac:dyDescent="0.25">
      <c r="A806" s="2">
        <v>45308</v>
      </c>
      <c r="B806" s="1" t="s">
        <v>3802</v>
      </c>
      <c r="C806" s="1" t="str">
        <f ca="1">IFERROR(__xludf.DUMMYFUNCTION("GOOGLETRANSLATE(B806,""pl"",""en"")"),"A large apartment in a tenement house in Wilda")</f>
        <v>A large apartment in a tenement house in Wilda</v>
      </c>
      <c r="D806" s="1">
        <v>1050000</v>
      </c>
      <c r="E806" s="1" t="s">
        <v>33</v>
      </c>
      <c r="F806" s="1">
        <v>158.97999999999999</v>
      </c>
      <c r="G806" s="1" t="s">
        <v>4808</v>
      </c>
      <c r="H806" s="1" t="str">
        <f ca="1">IFERROR(__xludf.DUMMYFUNCTION("GOOGLETRANSLATE(G806,""pl"",""en"")"),"street. Fabryczna, Wilda, Wilda, Poznań, Greater Poland")</f>
        <v>street. Fabryczna, Wilda, Wilda, Poznań, Greater Poland</v>
      </c>
      <c r="I806" s="1" t="b">
        <v>1</v>
      </c>
      <c r="J806" s="1" t="s">
        <v>21</v>
      </c>
      <c r="K806" s="1" t="s">
        <v>22</v>
      </c>
      <c r="L806" s="1" t="s">
        <v>3803</v>
      </c>
      <c r="M806" s="1">
        <v>5</v>
      </c>
      <c r="N806" s="1" t="s">
        <v>3804</v>
      </c>
      <c r="O806" s="1" t="str">
        <f ca="1">IFERROR(__xludf.DUMMYFUNCTION("GOOGLETRANSLATE(N806,""pl"",""en"")"),"participation")</f>
        <v>participation</v>
      </c>
      <c r="P806" s="3" t="s">
        <v>3805</v>
      </c>
      <c r="Q806" s="1" t="b">
        <v>1</v>
      </c>
      <c r="R806" s="1" t="s">
        <v>3806</v>
      </c>
    </row>
    <row r="807" spans="1:18" x14ac:dyDescent="0.25">
      <c r="A807" s="2">
        <v>45308</v>
      </c>
      <c r="B807" s="1" t="s">
        <v>3807</v>
      </c>
      <c r="C807" s="1" t="str">
        <f ca="1">IFERROR(__xludf.DUMMYFUNCTION("GOOGLETRANSLATE(B807,""pl"",""en"")"),"A neat flat, 3 rooms, low block!")</f>
        <v>A neat flat, 3 rooms, low block!</v>
      </c>
      <c r="D807" s="1">
        <v>275000</v>
      </c>
      <c r="E807" s="1" t="s">
        <v>33</v>
      </c>
      <c r="F807" s="1">
        <v>48</v>
      </c>
      <c r="G807" s="1" t="s">
        <v>3808</v>
      </c>
      <c r="H807" s="1" t="str">
        <f ca="1">IFERROR(__xludf.DUMMYFUNCTION("GOOGLETRANSLATE(G807,""pl"",""en"")"),"street. Zygmunt August, Słupsk, Pomeranian")</f>
        <v>street. Zygmunt August, Słupsk, Pomeranian</v>
      </c>
      <c r="I807" s="1" t="s">
        <v>21</v>
      </c>
      <c r="J807" s="1" t="s">
        <v>21</v>
      </c>
      <c r="K807" s="1" t="s">
        <v>22</v>
      </c>
      <c r="L807" s="1" t="s">
        <v>3809</v>
      </c>
      <c r="M807" s="1">
        <v>3</v>
      </c>
      <c r="N807" s="1" t="s">
        <v>24</v>
      </c>
      <c r="O807" s="1" t="str">
        <f ca="1">IFERROR(__xludf.DUMMYFUNCTION("GOOGLETRANSLATE(N807,""pl"",""en"")"),"full ownership")</f>
        <v>full ownership</v>
      </c>
      <c r="P807" s="3" t="s">
        <v>3810</v>
      </c>
      <c r="Q807" s="1" t="b">
        <v>1</v>
      </c>
      <c r="R807" s="1" t="s">
        <v>3811</v>
      </c>
    </row>
    <row r="808" spans="1:18" x14ac:dyDescent="0.25">
      <c r="A808" s="2">
        <v>45308</v>
      </c>
      <c r="B808" s="1" t="s">
        <v>3812</v>
      </c>
      <c r="C808" s="1" t="str">
        <f ca="1">IFERROR(__xludf.DUMMYFUNCTION("GOOGLETRANSLATE(B808,""pl"",""en"")"),"Scenic terraces Apartment No. 13 | 1st floor")</f>
        <v>Scenic terraces Apartment No. 13 | 1st floor</v>
      </c>
      <c r="D808" s="1" t="s">
        <v>21</v>
      </c>
      <c r="E808" s="1" t="s">
        <v>19</v>
      </c>
      <c r="F808" s="1">
        <v>64.58</v>
      </c>
      <c r="G808" s="1" t="s">
        <v>3813</v>
      </c>
      <c r="H808" s="1" t="str">
        <f ca="1">IFERROR(__xludf.DUMMYFUNCTION("GOOGLETRANSLATE(G808,""pl"",""en"")"),"street. Stefana Okrzei, Śródmieście, Kielce, Świętokrzyskie")</f>
        <v>street. Stefana Okrzei, Śródmieście, Kielce, Świętokrzyskie</v>
      </c>
      <c r="I808" s="1" t="b">
        <v>1</v>
      </c>
      <c r="J808" s="1" t="s">
        <v>21</v>
      </c>
      <c r="K808" s="1" t="s">
        <v>194</v>
      </c>
      <c r="L808" s="1" t="s">
        <v>3814</v>
      </c>
      <c r="M808" s="1">
        <v>3</v>
      </c>
      <c r="N808" s="1" t="s">
        <v>3804</v>
      </c>
      <c r="O808" s="1" t="str">
        <f ca="1">IFERROR(__xludf.DUMMYFUNCTION("GOOGLETRANSLATE(N808,""pl"",""en"")"),"participation")</f>
        <v>participation</v>
      </c>
      <c r="P808" s="3" t="s">
        <v>3815</v>
      </c>
      <c r="Q808" s="1" t="b">
        <v>1</v>
      </c>
      <c r="R808" s="1" t="s">
        <v>3816</v>
      </c>
    </row>
    <row r="809" spans="1:18" x14ac:dyDescent="0.25">
      <c r="A809" s="2">
        <v>45308</v>
      </c>
      <c r="B809" s="1" t="s">
        <v>3817</v>
      </c>
      <c r="C809" s="1" t="str">
        <f ca="1">IFERROR(__xludf.DUMMYFUNCTION("GOOGLETRANSLATE(B809,""pl"",""en"")"),"New four -room apartment - new price !!")</f>
        <v>New four -room apartment - new price !!</v>
      </c>
      <c r="D809" s="1">
        <v>553476</v>
      </c>
      <c r="E809" s="1" t="s">
        <v>19</v>
      </c>
      <c r="F809" s="1">
        <v>65.89</v>
      </c>
      <c r="G809" s="1" t="s">
        <v>59</v>
      </c>
      <c r="H809" s="1" t="str">
        <f ca="1">IFERROR(__xludf.DUMMYFUNCTION("GOOGLETRANSLATE(G809,""pl"",""en"")"),"Sielec, Sosnowiec, Silesian Voivodeship")</f>
        <v>Sielec, Sosnowiec, Silesian Voivodeship</v>
      </c>
      <c r="I809" s="1" t="s">
        <v>21</v>
      </c>
      <c r="J809" s="1" t="s">
        <v>21</v>
      </c>
      <c r="K809" s="1" t="s">
        <v>22</v>
      </c>
      <c r="L809" s="1" t="s">
        <v>3818</v>
      </c>
      <c r="M809" s="1">
        <v>4</v>
      </c>
      <c r="N809" s="1" t="s">
        <v>24</v>
      </c>
      <c r="O809" s="1" t="str">
        <f ca="1">IFERROR(__xludf.DUMMYFUNCTION("GOOGLETRANSLATE(N809,""pl"",""en"")"),"full ownership")</f>
        <v>full ownership</v>
      </c>
      <c r="P809" s="3" t="s">
        <v>3819</v>
      </c>
      <c r="Q809" s="1" t="b">
        <v>1</v>
      </c>
      <c r="R809" s="1" t="s">
        <v>3820</v>
      </c>
    </row>
    <row r="810" spans="1:18" x14ac:dyDescent="0.25">
      <c r="A810" s="2">
        <v>45173</v>
      </c>
      <c r="B810" s="1" t="s">
        <v>3821</v>
      </c>
      <c r="C810" s="1" t="str">
        <f ca="1">IFERROR(__xludf.DUMMYFUNCTION("GOOGLETRANSLATE(B810,""pl"",""en"")"),"New apartments on the border of Leszno and Święciechowy")</f>
        <v>New apartments on the border of Leszno and Święciechowy</v>
      </c>
      <c r="D810" s="1">
        <v>267498</v>
      </c>
      <c r="E810" s="1" t="s">
        <v>19</v>
      </c>
      <c r="F810" s="1">
        <v>40.53</v>
      </c>
      <c r="G810" s="1" t="s">
        <v>4809</v>
      </c>
      <c r="H810" s="1" t="str">
        <f ca="1">IFERROR(__xludf.DUMMYFUNCTION("GOOGLETRANSLATE(G810,""pl"",""en"")"),"Święciechowa, Święciechów, Leszczyński, Greater Poland")</f>
        <v>Święciechowa, Święciechów, Leszczyński, Greater Poland</v>
      </c>
      <c r="I810" s="1" t="s">
        <v>21</v>
      </c>
      <c r="J810" s="1" t="s">
        <v>21</v>
      </c>
      <c r="K810" s="1" t="s">
        <v>22</v>
      </c>
      <c r="L810" s="1" t="s">
        <v>3822</v>
      </c>
      <c r="M810" s="1">
        <v>2</v>
      </c>
      <c r="N810" s="1" t="s">
        <v>24</v>
      </c>
      <c r="O810" s="1" t="str">
        <f ca="1">IFERROR(__xludf.DUMMYFUNCTION("GOOGLETRANSLATE(N810,""pl"",""en"")"),"full ownership")</f>
        <v>full ownership</v>
      </c>
      <c r="P810" s="3" t="s">
        <v>3823</v>
      </c>
      <c r="Q810" s="1" t="b">
        <v>1</v>
      </c>
      <c r="R810" s="1" t="s">
        <v>3824</v>
      </c>
    </row>
    <row r="811" spans="1:18" x14ac:dyDescent="0.25">
      <c r="A811" s="2">
        <v>45173</v>
      </c>
      <c r="B811" s="1" t="s">
        <v>3825</v>
      </c>
      <c r="C811" s="1" t="str">
        <f ca="1">IFERROR(__xludf.DUMMYFUNCTION("GOOGLETRANSLATE(B811,""pl"",""en"")"),"New apartment for sale Jankowo near Wągrowiec")</f>
        <v>New apartment for sale Jankowo near Wągrowiec</v>
      </c>
      <c r="D811" s="1">
        <v>253704</v>
      </c>
      <c r="E811" s="1" t="s">
        <v>19</v>
      </c>
      <c r="F811" s="1">
        <v>40.92</v>
      </c>
      <c r="G811" s="1" t="s">
        <v>4810</v>
      </c>
      <c r="H811" s="1" t="str">
        <f ca="1">IFERROR(__xludf.DUMMYFUNCTION("GOOGLETRANSLATE(G811,""pl"",""en"")"),"Jankowo 8, Łaziska, Wągrowiec, Wągrowiecki, Greater Poland")</f>
        <v>Jankowo 8, Łaziska, Wągrowiec, Wągrowiecki, Greater Poland</v>
      </c>
      <c r="I811" s="1" t="s">
        <v>21</v>
      </c>
      <c r="J811" s="1" t="s">
        <v>21</v>
      </c>
      <c r="K811" s="1" t="s">
        <v>45</v>
      </c>
      <c r="L811" s="1" t="s">
        <v>3826</v>
      </c>
      <c r="M811" s="1">
        <v>2</v>
      </c>
      <c r="N811" s="1" t="s">
        <v>24</v>
      </c>
      <c r="O811" s="1" t="str">
        <f ca="1">IFERROR(__xludf.DUMMYFUNCTION("GOOGLETRANSLATE(N811,""pl"",""en"")"),"full ownership")</f>
        <v>full ownership</v>
      </c>
      <c r="P811" s="3" t="s">
        <v>3827</v>
      </c>
      <c r="Q811" s="1" t="b">
        <v>1</v>
      </c>
      <c r="R811" s="1" t="s">
        <v>3828</v>
      </c>
    </row>
    <row r="812" spans="1:18" x14ac:dyDescent="0.25">
      <c r="A812" s="2">
        <v>45173</v>
      </c>
      <c r="B812" s="1" t="s">
        <v>3829</v>
      </c>
      <c r="C812" s="1" t="str">
        <f ca="1">IFERROR(__xludf.DUMMYFUNCTION("GOOGLETRANSLATE(B812,""pl"",""en"")"),"New 3-POK, high standard of the estate, tram")</f>
        <v>New 3-POK, high standard of the estate, tram</v>
      </c>
      <c r="D812" s="1">
        <v>738072</v>
      </c>
      <c r="E812" s="1" t="s">
        <v>19</v>
      </c>
      <c r="F812" s="1">
        <v>55.08</v>
      </c>
      <c r="G812" s="1" t="s">
        <v>4811</v>
      </c>
      <c r="H812" s="1" t="str">
        <f ca="1">IFERROR(__xludf.DUMMYFUNCTION("GOOGLETRANSLATE(G812,""pl"",""en"")"),"street. Sandy, Prądnik Biały, Prądnik Biały, Kraków, Lesser Poland")</f>
        <v>street. Sandy, Prądnik Biały, Prądnik Biały, Kraków, Lesser Poland</v>
      </c>
      <c r="I812" s="1" t="s">
        <v>21</v>
      </c>
      <c r="J812" s="1" t="s">
        <v>21</v>
      </c>
      <c r="K812" s="1" t="s">
        <v>22</v>
      </c>
      <c r="L812" s="1" t="s">
        <v>3830</v>
      </c>
      <c r="M812" s="1">
        <v>3</v>
      </c>
      <c r="N812" s="1" t="s">
        <v>24</v>
      </c>
      <c r="O812" s="1" t="str">
        <f ca="1">IFERROR(__xludf.DUMMYFUNCTION("GOOGLETRANSLATE(N812,""pl"",""en"")"),"full ownership")</f>
        <v>full ownership</v>
      </c>
      <c r="P812" s="3" t="s">
        <v>3831</v>
      </c>
      <c r="Q812" s="1" t="b">
        <v>1</v>
      </c>
      <c r="R812" s="1" t="s">
        <v>3832</v>
      </c>
    </row>
    <row r="813" spans="1:18" x14ac:dyDescent="0.25">
      <c r="A813" s="2">
        <v>45173</v>
      </c>
      <c r="B813" s="1" t="s">
        <v>3833</v>
      </c>
      <c r="C813" s="1" t="str">
        <f ca="1">IFERROR(__xludf.DUMMYFUNCTION("GOOGLETRANSLATE(B813,""pl"",""en"")"),"New Zastal 3-Pok. Apartment A.2.1.05 | M11")</f>
        <v>New Zastal 3-Pok. Apartment A.2.1.05 | M11</v>
      </c>
      <c r="D813" s="1">
        <v>515347</v>
      </c>
      <c r="E813" s="1" t="s">
        <v>19</v>
      </c>
      <c r="F813" s="1">
        <v>62.09</v>
      </c>
      <c r="G813" s="1" t="s">
        <v>4848</v>
      </c>
      <c r="H813" s="1" t="str">
        <f ca="1">IFERROR(__xludf.DUMMYFUNCTION("GOOGLETRANSLATE(G813,""pl"",""en"")"),"street. Ludowa, Centrum, Zielona Góra, Lubusz Voivodeship")</f>
        <v>street. Ludowa, Centrum, Zielona Góra, Lubusz Voivodeship</v>
      </c>
      <c r="I813" s="1" t="s">
        <v>21</v>
      </c>
      <c r="J813" s="1" t="s">
        <v>21</v>
      </c>
      <c r="K813" s="1" t="s">
        <v>194</v>
      </c>
      <c r="L813" s="1" t="s">
        <v>3834</v>
      </c>
      <c r="M813" s="1">
        <v>3</v>
      </c>
      <c r="N813" s="1" t="s">
        <v>24</v>
      </c>
      <c r="O813" s="1" t="str">
        <f ca="1">IFERROR(__xludf.DUMMYFUNCTION("GOOGLETRANSLATE(N813,""pl"",""en"")"),"full ownership")</f>
        <v>full ownership</v>
      </c>
      <c r="P813" s="3" t="s">
        <v>3835</v>
      </c>
      <c r="Q813" s="1" t="b">
        <v>1</v>
      </c>
      <c r="R813" s="1" t="s">
        <v>3836</v>
      </c>
    </row>
    <row r="814" spans="1:18" x14ac:dyDescent="0.25">
      <c r="A814" s="2">
        <v>45308</v>
      </c>
      <c r="B814" s="1" t="s">
        <v>3837</v>
      </c>
      <c r="C814" s="1" t="str">
        <f ca="1">IFERROR(__xludf.DUMMYFUNCTION("GOOGLETRANSLATE(B814,""pl"",""en"")"),"Apartment 3-Pok. 2 balconies Cute driveway")</f>
        <v>Apartment 3-Pok. 2 balconies Cute driveway</v>
      </c>
      <c r="D814" s="1">
        <v>620000</v>
      </c>
      <c r="E814" s="1" t="s">
        <v>33</v>
      </c>
      <c r="F814" s="1">
        <v>60.9</v>
      </c>
      <c r="G814" s="1" t="s">
        <v>3838</v>
      </c>
      <c r="H814" s="1" t="str">
        <f ca="1">IFERROR(__xludf.DUMMYFUNCTION("GOOGLETRANSLATE(G814,""pl"",""en"")"),"street. Gypsy, Złotno, Polesie, Łódź, Łódź")</f>
        <v>street. Gypsy, Złotno, Polesie, Łódź, Łódź</v>
      </c>
      <c r="I814" s="1" t="s">
        <v>21</v>
      </c>
      <c r="J814" s="1" t="s">
        <v>21</v>
      </c>
      <c r="K814" s="1" t="s">
        <v>22</v>
      </c>
      <c r="L814" s="1" t="s">
        <v>3839</v>
      </c>
      <c r="M814" s="1">
        <v>3</v>
      </c>
      <c r="N814" s="1" t="s">
        <v>24</v>
      </c>
      <c r="O814" s="1" t="str">
        <f ca="1">IFERROR(__xludf.DUMMYFUNCTION("GOOGLETRANSLATE(N814,""pl"",""en"")"),"full ownership")</f>
        <v>full ownership</v>
      </c>
      <c r="P814" s="3" t="s">
        <v>3840</v>
      </c>
      <c r="Q814" s="1" t="b">
        <v>1</v>
      </c>
      <c r="R814" s="1" t="s">
        <v>3841</v>
      </c>
    </row>
    <row r="815" spans="1:18" x14ac:dyDescent="0.25">
      <c r="A815" s="2">
        <v>45308</v>
      </c>
      <c r="B815" s="1" t="s">
        <v>3842</v>
      </c>
      <c r="C815" s="1" t="str">
        <f ca="1">IFERROR(__xludf.DUMMYFUNCTION("GOOGLETRANSLATE(B815,""pl"",""en"")"),"Apartment 2- Axis. Nightingales in Olkusz 48.80m2")</f>
        <v>Apartment 2- Axis. Nightingales in Olkusz 48.80m2</v>
      </c>
      <c r="D815" s="1">
        <v>285000</v>
      </c>
      <c r="E815" s="1" t="s">
        <v>33</v>
      </c>
      <c r="F815" s="1">
        <v>48.8</v>
      </c>
      <c r="G815" s="1" t="s">
        <v>4812</v>
      </c>
      <c r="H815" s="1" t="str">
        <f ca="1">IFERROR(__xludf.DUMMYFUNCTION("GOOGLETRANSLATE(G815,""pl"",""en"")"),"street. Kosynierów, Olkusz, Olkusz, Olkuski, Lesser Poland")</f>
        <v>street. Kosynierów, Olkusz, Olkusz, Olkuski, Lesser Poland</v>
      </c>
      <c r="I815" s="1" t="s">
        <v>21</v>
      </c>
      <c r="J815" s="1" t="s">
        <v>21</v>
      </c>
      <c r="K815" s="1" t="s">
        <v>22</v>
      </c>
      <c r="L815" s="1" t="s">
        <v>3843</v>
      </c>
      <c r="M815" s="1">
        <v>2</v>
      </c>
      <c r="N815" s="1" t="s">
        <v>24</v>
      </c>
      <c r="O815" s="1" t="str">
        <f ca="1">IFERROR(__xludf.DUMMYFUNCTION("GOOGLETRANSLATE(N815,""pl"",""en"")"),"full ownership")</f>
        <v>full ownership</v>
      </c>
      <c r="P815" s="3" t="s">
        <v>3844</v>
      </c>
      <c r="Q815" s="1" t="b">
        <v>1</v>
      </c>
      <c r="R815" s="1" t="s">
        <v>3845</v>
      </c>
    </row>
    <row r="816" spans="1:18" x14ac:dyDescent="0.25">
      <c r="A816" s="2">
        <v>45308</v>
      </c>
      <c r="B816" s="1" t="s">
        <v>3846</v>
      </c>
      <c r="C816" s="1" t="str">
        <f ca="1">IFERROR(__xludf.DUMMYFUNCTION("GOOGLETRANSLATE(B816,""pl"",""en"")"),"House, detached, 5 rooms, Tczew, sale")</f>
        <v>House, detached, 5 rooms, Tczew, sale</v>
      </c>
      <c r="D816" s="1">
        <v>499000</v>
      </c>
      <c r="E816" s="1" t="s">
        <v>33</v>
      </c>
      <c r="F816" s="1">
        <v>123.3</v>
      </c>
      <c r="G816" s="1" t="s">
        <v>3498</v>
      </c>
      <c r="H816" s="1" t="str">
        <f ca="1">IFERROR(__xludf.DUMMYFUNCTION("GOOGLETRANSLATE(G816,""pl"",""en"")"),"Tczew, Tczewski, Pomeranian Voivodeship")</f>
        <v>Tczew, Tczewski, Pomeranian Voivodeship</v>
      </c>
      <c r="I816" s="1" t="b">
        <v>1</v>
      </c>
      <c r="J816" s="1" t="s">
        <v>21</v>
      </c>
      <c r="K816" s="1" t="s">
        <v>22</v>
      </c>
      <c r="L816" s="1" t="s">
        <v>3847</v>
      </c>
      <c r="M816" s="1">
        <v>5</v>
      </c>
      <c r="N816" s="1" t="s">
        <v>21</v>
      </c>
      <c r="O816" s="1" t="str">
        <f ca="1">IFERROR(__xludf.DUMMYFUNCTION("GOOGLETRANSLATE(N816,""pl"",""en"")"),"null")</f>
        <v>null</v>
      </c>
      <c r="P816" s="3" t="s">
        <v>3848</v>
      </c>
      <c r="Q816" s="1" t="b">
        <v>1</v>
      </c>
      <c r="R816" s="1" t="s">
        <v>3849</v>
      </c>
    </row>
    <row r="817" spans="1:18" x14ac:dyDescent="0.25">
      <c r="A817" s="2">
        <v>45308</v>
      </c>
      <c r="B817" s="1" t="s">
        <v>3850</v>
      </c>
      <c r="C817" s="1" t="str">
        <f ca="1">IFERROR(__xludf.DUMMYFUNCTION("GOOGLETRANSLATE(B817,""pl"",""en"")"),"Apartment in a picturesque area !!!")</f>
        <v>Apartment in a picturesque area !!!</v>
      </c>
      <c r="D817" s="1">
        <v>315613</v>
      </c>
      <c r="E817" s="1" t="s">
        <v>19</v>
      </c>
      <c r="F817" s="1">
        <v>25.32</v>
      </c>
      <c r="G817" s="1" t="s">
        <v>4769</v>
      </c>
      <c r="H817" s="1" t="str">
        <f ca="1">IFERROR(__xludf.DUMMYFUNCTION("GOOGLETRANSLATE(G817,""pl"",""en"")"),"Zawada, Myślenice, Myślenicki, Lesser Poland")</f>
        <v>Zawada, Myślenice, Myślenicki, Lesser Poland</v>
      </c>
      <c r="I817" s="1" t="b">
        <v>1</v>
      </c>
      <c r="J817" s="1" t="s">
        <v>21</v>
      </c>
      <c r="K817" s="1" t="s">
        <v>22</v>
      </c>
      <c r="L817" s="1" t="s">
        <v>3851</v>
      </c>
      <c r="M817" s="1">
        <v>1</v>
      </c>
      <c r="N817" s="1" t="s">
        <v>24</v>
      </c>
      <c r="O817" s="1" t="str">
        <f ca="1">IFERROR(__xludf.DUMMYFUNCTION("GOOGLETRANSLATE(N817,""pl"",""en"")"),"full ownership")</f>
        <v>full ownership</v>
      </c>
      <c r="P817" s="3" t="s">
        <v>3852</v>
      </c>
      <c r="Q817" s="1" t="b">
        <v>1</v>
      </c>
      <c r="R817" s="1" t="s">
        <v>3853</v>
      </c>
    </row>
    <row r="818" spans="1:18" x14ac:dyDescent="0.25">
      <c r="A818" s="2">
        <v>45308</v>
      </c>
      <c r="B818" s="1" t="s">
        <v>3854</v>
      </c>
      <c r="C818" s="1" t="str">
        <f ca="1">IFERROR(__xludf.DUMMYFUNCTION("GOOGLETRANSLATE(B818,""pl"",""en"")"),"3-room apartment 61m2 + 3 balconies")</f>
        <v>3-room apartment 61m2 + 3 balconies</v>
      </c>
      <c r="D818" s="1">
        <v>507580</v>
      </c>
      <c r="E818" s="1" t="s">
        <v>19</v>
      </c>
      <c r="F818" s="1">
        <v>61.9</v>
      </c>
      <c r="G818" s="1" t="s">
        <v>3855</v>
      </c>
      <c r="H818" s="1" t="str">
        <f ca="1">IFERROR(__xludf.DUMMYFUNCTION("GOOGLETRANSLATE(G818,""pl"",""en"")"),"street. Architects, Zawisza Czarny, Rzeszów, Podkarpackie")</f>
        <v>street. Architects, Zawisza Czarny, Rzeszów, Podkarpackie</v>
      </c>
      <c r="I818" s="1" t="s">
        <v>21</v>
      </c>
      <c r="J818" s="1" t="s">
        <v>21</v>
      </c>
      <c r="K818" s="1" t="s">
        <v>194</v>
      </c>
      <c r="L818" s="1" t="s">
        <v>3856</v>
      </c>
      <c r="M818" s="1">
        <v>3</v>
      </c>
      <c r="N818" s="1" t="s">
        <v>24</v>
      </c>
      <c r="O818" s="1" t="str">
        <f ca="1">IFERROR(__xludf.DUMMYFUNCTION("GOOGLETRANSLATE(N818,""pl"",""en"")"),"full ownership")</f>
        <v>full ownership</v>
      </c>
      <c r="P818" s="3" t="s">
        <v>3857</v>
      </c>
      <c r="Q818" s="1" t="b">
        <v>1</v>
      </c>
      <c r="R818" s="1" t="s">
        <v>3858</v>
      </c>
    </row>
    <row r="819" spans="1:18" x14ac:dyDescent="0.25">
      <c r="A819" s="2">
        <v>45308</v>
      </c>
      <c r="B819" s="1" t="s">
        <v>3859</v>
      </c>
      <c r="C819" s="1" t="str">
        <f ca="1">IFERROR(__xludf.DUMMYFUNCTION("GOOGLETRANSLATE(B819,""pl"",""en"")"),"Apartment 77 m2 Kras Resort Szklarska Poręba")</f>
        <v>Apartment 77 m2 Kras Resort Szklarska Poręba</v>
      </c>
      <c r="D819" s="1">
        <v>1553244</v>
      </c>
      <c r="E819" s="1" t="s">
        <v>19</v>
      </c>
      <c r="F819" s="1">
        <v>77</v>
      </c>
      <c r="G819" s="1" t="s">
        <v>2041</v>
      </c>
      <c r="H819" s="1" t="str">
        <f ca="1">IFERROR(__xludf.DUMMYFUNCTION("GOOGLETRANSLATE(G819,""pl"",""en"")"),"street. Górna, Szklarska Poręba, Karkonoski, Lower Silesia")</f>
        <v>street. Górna, Szklarska Poręba, Karkonoski, Lower Silesia</v>
      </c>
      <c r="I819" s="1" t="s">
        <v>21</v>
      </c>
      <c r="J819" s="1" t="s">
        <v>21</v>
      </c>
      <c r="K819" s="1" t="s">
        <v>194</v>
      </c>
      <c r="L819" s="1" t="s">
        <v>2042</v>
      </c>
      <c r="M819" s="1">
        <v>3</v>
      </c>
      <c r="N819" s="1" t="s">
        <v>24</v>
      </c>
      <c r="O819" s="1" t="str">
        <f ca="1">IFERROR(__xludf.DUMMYFUNCTION("GOOGLETRANSLATE(N819,""pl"",""en"")"),"full ownership")</f>
        <v>full ownership</v>
      </c>
      <c r="P819" s="3" t="s">
        <v>3860</v>
      </c>
      <c r="Q819" s="1" t="b">
        <v>1</v>
      </c>
      <c r="R819" s="1" t="s">
        <v>3861</v>
      </c>
    </row>
    <row r="820" spans="1:18" x14ac:dyDescent="0.25">
      <c r="A820" s="2">
        <v>45308</v>
      </c>
      <c r="B820" s="1" t="s">
        <v>3862</v>
      </c>
      <c r="C820" s="1" t="str">
        <f ca="1">IFERROR(__xludf.DUMMYFUNCTION("GOOGLETRANSLATE(B820,""pl"",""en"")"),"4 rooms with a view of greenery in many locations;")</f>
        <v>4 rooms with a view of greenery in many locations;</v>
      </c>
      <c r="D820" s="1">
        <v>919575</v>
      </c>
      <c r="E820" s="1" t="s">
        <v>19</v>
      </c>
      <c r="F820" s="1">
        <v>67</v>
      </c>
      <c r="G820" s="1" t="s">
        <v>3863</v>
      </c>
      <c r="H820" s="1" t="str">
        <f ca="1">IFERROR(__xludf.DUMMYFUNCTION("GOOGLETRANSLATE(G820,""pl"",""en"")"),"Żerniki, Fabryczna, Wrocław, DolnoSilesian Voivodeship")</f>
        <v>Żerniki, Fabryczna, Wrocław, DolnoSilesian Voivodeship</v>
      </c>
      <c r="I820" s="1" t="s">
        <v>21</v>
      </c>
      <c r="J820" s="1" t="s">
        <v>21</v>
      </c>
      <c r="K820" s="1" t="s">
        <v>22</v>
      </c>
      <c r="L820" s="1" t="s">
        <v>3864</v>
      </c>
      <c r="M820" s="1">
        <v>4</v>
      </c>
      <c r="N820" s="1" t="s">
        <v>24</v>
      </c>
      <c r="O820" s="1" t="str">
        <f ca="1">IFERROR(__xludf.DUMMYFUNCTION("GOOGLETRANSLATE(N820,""pl"",""en"")"),"full ownership")</f>
        <v>full ownership</v>
      </c>
      <c r="P820" s="3" t="s">
        <v>3865</v>
      </c>
      <c r="Q820" s="1" t="b">
        <v>1</v>
      </c>
      <c r="R820" s="1" t="s">
        <v>3866</v>
      </c>
    </row>
    <row r="821" spans="1:18" x14ac:dyDescent="0.25">
      <c r="A821" s="2">
        <v>45308</v>
      </c>
      <c r="B821" s="1" t="s">
        <v>3867</v>
      </c>
      <c r="C821" s="1" t="str">
        <f ca="1">IFERROR(__xludf.DUMMYFUNCTION("GOOGLETRANSLATE(B821,""pl"",""en"")"),"Apartment near the center possible exchange")</f>
        <v>Apartment near the center possible exchange</v>
      </c>
      <c r="D821" s="1">
        <v>349000</v>
      </c>
      <c r="E821" s="1" t="s">
        <v>33</v>
      </c>
      <c r="F821" s="1">
        <v>49</v>
      </c>
      <c r="G821" s="1" t="s">
        <v>3868</v>
      </c>
      <c r="H821" s="1" t="str">
        <f ca="1">IFERROR(__xludf.DUMMYFUNCTION("GOOGLETRANSLATE(G821,""pl"",""en"")"),"axis. Leon Klimecki, Łuków, Łukowski, Lublin Voivodeship")</f>
        <v>axis. Leon Klimecki, Łuków, Łukowski, Lublin Voivodeship</v>
      </c>
      <c r="I821" s="1" t="s">
        <v>21</v>
      </c>
      <c r="J821" s="1" t="s">
        <v>21</v>
      </c>
      <c r="K821" s="1" t="s">
        <v>22</v>
      </c>
      <c r="L821" s="1" t="s">
        <v>3869</v>
      </c>
      <c r="M821" s="1">
        <v>3</v>
      </c>
      <c r="N821" s="1" t="s">
        <v>24</v>
      </c>
      <c r="O821" s="1" t="str">
        <f ca="1">IFERROR(__xludf.DUMMYFUNCTION("GOOGLETRANSLATE(N821,""pl"",""en"")"),"full ownership")</f>
        <v>full ownership</v>
      </c>
      <c r="P821" s="3" t="s">
        <v>3870</v>
      </c>
      <c r="Q821" s="1" t="b">
        <v>1</v>
      </c>
      <c r="R821" s="1" t="s">
        <v>3871</v>
      </c>
    </row>
    <row r="822" spans="1:18" x14ac:dyDescent="0.25">
      <c r="A822" s="2">
        <v>45173</v>
      </c>
      <c r="B822" s="1" t="s">
        <v>3872</v>
      </c>
      <c r="C822" s="1" t="str">
        <f ca="1">IFERROR(__xludf.DUMMYFUNCTION("GOOGLETRANSLATE(B822,""pl"",""en"")"),"New 2 rooms with terrace/at NOSPR")</f>
        <v>New 2 rooms with terrace/at NOSPR</v>
      </c>
      <c r="D822" s="1">
        <v>542500</v>
      </c>
      <c r="E822" s="1" t="s">
        <v>19</v>
      </c>
      <c r="F822" s="1">
        <v>42.98</v>
      </c>
      <c r="G822" s="1" t="s">
        <v>3873</v>
      </c>
      <c r="H822" s="1" t="str">
        <f ca="1">IFERROR(__xludf.DUMMYFUNCTION("GOOGLETRANSLATE(G822,""pl"",""en"")"),"Bogucice, Katowice, Silesian Voivodeship")</f>
        <v>Bogucice, Katowice, Silesian Voivodeship</v>
      </c>
      <c r="I822" s="1" t="s">
        <v>21</v>
      </c>
      <c r="J822" s="1" t="s">
        <v>21</v>
      </c>
      <c r="K822" s="1" t="s">
        <v>22</v>
      </c>
      <c r="L822" s="1" t="s">
        <v>3874</v>
      </c>
      <c r="M822" s="1">
        <v>2</v>
      </c>
      <c r="N822" s="1" t="s">
        <v>24</v>
      </c>
      <c r="O822" s="1" t="str">
        <f ca="1">IFERROR(__xludf.DUMMYFUNCTION("GOOGLETRANSLATE(N822,""pl"",""en"")"),"full ownership")</f>
        <v>full ownership</v>
      </c>
      <c r="P822" s="3" t="s">
        <v>3875</v>
      </c>
      <c r="Q822" s="1" t="b">
        <v>1</v>
      </c>
      <c r="R822" s="1" t="s">
        <v>3876</v>
      </c>
    </row>
    <row r="823" spans="1:18" x14ac:dyDescent="0.25">
      <c r="A823" s="2">
        <v>45173</v>
      </c>
      <c r="B823" s="1" t="s">
        <v>3877</v>
      </c>
      <c r="C823" s="1" t="str">
        <f ca="1">IFERROR(__xludf.DUMMYFUNCTION("GOOGLETRANSLATE(B823,""pl"",""en"")"),"New offer - Częstochowa, Parkita")</f>
        <v>New offer - Częstochowa, Parkita</v>
      </c>
      <c r="D823" s="1">
        <v>339000</v>
      </c>
      <c r="E823" s="1" t="s">
        <v>33</v>
      </c>
      <c r="F823" s="1">
        <v>63.8</v>
      </c>
      <c r="G823" s="1" t="s">
        <v>3878</v>
      </c>
      <c r="H823" s="1" t="str">
        <f ca="1">IFERROR(__xludf.DUMMYFUNCTION("GOOGLETRANSLATE(G823,""pl"",""en"")"),"General Leopold Okstreeticki, Parkitka, Częstochówka-Rarkika, Częstochowa, Silesian Voivodeship")</f>
        <v>General Leopold Okstreeticki, Parkitka, Częstochówka-Rarkika, Częstochowa, Silesian Voivodeship</v>
      </c>
      <c r="I823" s="1" t="s">
        <v>21</v>
      </c>
      <c r="J823" s="1" t="s">
        <v>21</v>
      </c>
      <c r="K823" s="1" t="s">
        <v>22</v>
      </c>
      <c r="L823" s="1" t="s">
        <v>3879</v>
      </c>
      <c r="M823" s="1">
        <v>3</v>
      </c>
      <c r="N823" s="1" t="s">
        <v>85</v>
      </c>
      <c r="O823" s="1" t="str">
        <f ca="1">IFERROR(__xludf.DUMMYFUNCTION("GOOGLETRANSLATE(N823,""pl"",""en"")"),"Cooperative ownership of the right to the premises")</f>
        <v>Cooperative ownership of the right to the premises</v>
      </c>
      <c r="P823" s="3" t="s">
        <v>3880</v>
      </c>
      <c r="Q823" s="1" t="b">
        <v>1</v>
      </c>
      <c r="R823" s="1" t="s">
        <v>3881</v>
      </c>
    </row>
    <row r="824" spans="1:18" x14ac:dyDescent="0.25">
      <c r="A824" s="2">
        <v>45173</v>
      </c>
      <c r="B824" s="1" t="s">
        <v>3882</v>
      </c>
      <c r="C824" s="1" t="str">
        <f ca="1">IFERROR(__xludf.DUMMYFUNCTION("GOOGLETRANSLATE(B824,""pl"",""en"")"),"Ready to live 3 rooms, 62.80m2, Cisowa")</f>
        <v>Ready to live 3 rooms, 62.80m2, Cisowa</v>
      </c>
      <c r="D824" s="1">
        <v>598000</v>
      </c>
      <c r="E824" s="1" t="s">
        <v>33</v>
      </c>
      <c r="F824" s="1">
        <v>62.8</v>
      </c>
      <c r="G824" s="1" t="s">
        <v>3883</v>
      </c>
      <c r="H824" s="1" t="str">
        <f ca="1">IFERROR(__xludf.DUMMYFUNCTION("GOOGLETRANSLATE(G824,""pl"",""en"")"),"street. Janowska, Cisowa, Gdynia, Pomeranian Voivodeship")</f>
        <v>street. Janowska, Cisowa, Gdynia, Pomeranian Voivodeship</v>
      </c>
      <c r="I824" s="1" t="s">
        <v>21</v>
      </c>
      <c r="J824" s="1" t="s">
        <v>21</v>
      </c>
      <c r="K824" s="1" t="s">
        <v>22</v>
      </c>
      <c r="L824" s="1" t="s">
        <v>3884</v>
      </c>
      <c r="M824" s="1">
        <v>3</v>
      </c>
      <c r="N824" s="1" t="s">
        <v>24</v>
      </c>
      <c r="O824" s="1" t="str">
        <f ca="1">IFERROR(__xludf.DUMMYFUNCTION("GOOGLETRANSLATE(N824,""pl"",""en"")"),"full ownership")</f>
        <v>full ownership</v>
      </c>
      <c r="P824" s="3" t="s">
        <v>3885</v>
      </c>
      <c r="Q824" s="1" t="b">
        <v>1</v>
      </c>
      <c r="R824" s="1" t="s">
        <v>3886</v>
      </c>
    </row>
    <row r="825" spans="1:18" x14ac:dyDescent="0.25">
      <c r="A825" s="2">
        <v>45173</v>
      </c>
      <c r="B825" s="1" t="s">
        <v>3887</v>
      </c>
      <c r="C825" s="1" t="str">
        <f ca="1">IFERROR(__xludf.DUMMYFUNCTION("GOOGLETRANSLATE(B825,""pl"",""en"")"),"Ready! Poznan September Czerniejewo")</f>
        <v>Ready! Poznan September Czerniejewo</v>
      </c>
      <c r="D825" s="1">
        <v>479000</v>
      </c>
      <c r="E825" s="1" t="s">
        <v>19</v>
      </c>
      <c r="F825" s="1">
        <v>96</v>
      </c>
      <c r="G825" s="1" t="s">
        <v>4813</v>
      </c>
      <c r="H825" s="1" t="str">
        <f ca="1">IFERROR(__xludf.DUMMYFUNCTION("GOOGLETRANSLATE(G825,""pl"",""en"")"),"Czerniejewo, Czerniejewo, Gniezno, Greater Poland")</f>
        <v>Czerniejewo, Czerniejewo, Gniezno, Greater Poland</v>
      </c>
      <c r="I825" s="1" t="b">
        <v>1</v>
      </c>
      <c r="J825" s="1" t="s">
        <v>21</v>
      </c>
      <c r="K825" s="1" t="s">
        <v>22</v>
      </c>
      <c r="L825" s="1" t="s">
        <v>3888</v>
      </c>
      <c r="M825" s="1">
        <v>4</v>
      </c>
      <c r="N825" s="1" t="s">
        <v>21</v>
      </c>
      <c r="O825" s="1" t="str">
        <f ca="1">IFERROR(__xludf.DUMMYFUNCTION("GOOGLETRANSLATE(N825,""pl"",""en"")"),"null")</f>
        <v>null</v>
      </c>
      <c r="P825" s="3" t="s">
        <v>3889</v>
      </c>
      <c r="Q825" s="1" t="b">
        <v>1</v>
      </c>
      <c r="R825" s="1" t="s">
        <v>3890</v>
      </c>
    </row>
    <row r="826" spans="1:18" x14ac:dyDescent="0.25">
      <c r="A826" s="2">
        <v>45173</v>
      </c>
      <c r="B826" s="1" t="s">
        <v>3891</v>
      </c>
      <c r="C826" s="1" t="str">
        <f ca="1">IFERROR(__xludf.DUMMYFUNCTION("GOOGLETRANSLATE(B826,""pl"",""en"")"),"Apartment 2 rooms with balcony+parking in the hall")</f>
        <v>Apartment 2 rooms with balcony+parking in the hall</v>
      </c>
      <c r="D826" s="1">
        <v>304820</v>
      </c>
      <c r="E826" s="1" t="s">
        <v>19</v>
      </c>
      <c r="F826" s="1">
        <v>43.56</v>
      </c>
      <c r="G826" s="1" t="s">
        <v>3892</v>
      </c>
      <c r="H826" s="1" t="str">
        <f ca="1">IFERROR(__xludf.DUMMYFUNCTION("GOOGLETRANSLATE(G826,""pl"",""en"")"),"street. Szpaki, Pogoń, Sosnowiec, Silesian Voivodeship")</f>
        <v>street. Szpaki, Pogoń, Sosnowiec, Silesian Voivodeship</v>
      </c>
      <c r="I826" s="1" t="s">
        <v>21</v>
      </c>
      <c r="J826" s="1" t="s">
        <v>21</v>
      </c>
      <c r="K826" s="1" t="s">
        <v>22</v>
      </c>
      <c r="L826" s="1" t="s">
        <v>3893</v>
      </c>
      <c r="M826" s="1">
        <v>2</v>
      </c>
      <c r="N826" s="1" t="s">
        <v>24</v>
      </c>
      <c r="O826" s="1" t="str">
        <f ca="1">IFERROR(__xludf.DUMMYFUNCTION("GOOGLETRANSLATE(N826,""pl"",""en"")"),"full ownership")</f>
        <v>full ownership</v>
      </c>
      <c r="P826" s="3" t="s">
        <v>3894</v>
      </c>
      <c r="Q826" s="1" t="b">
        <v>1</v>
      </c>
      <c r="R826" s="1" t="s">
        <v>3895</v>
      </c>
    </row>
    <row r="827" spans="1:18" x14ac:dyDescent="0.25">
      <c r="A827" s="2">
        <v>45173</v>
      </c>
      <c r="B827" s="1" t="s">
        <v>3896</v>
      </c>
      <c r="C827" s="1" t="str">
        <f ca="1">IFERROR(__xludf.DUMMYFUNCTION("GOOGLETRANSLATE(B827,""pl"",""en"")"),"O%, heat pump, solar, garden, parking")</f>
        <v>O%, heat pump, solar, garden, parking</v>
      </c>
      <c r="D827" s="1">
        <v>370000</v>
      </c>
      <c r="E827" s="1" t="s">
        <v>19</v>
      </c>
      <c r="F827" s="1">
        <v>65.89</v>
      </c>
      <c r="G827" s="1" t="s">
        <v>3897</v>
      </c>
      <c r="H827" s="1" t="str">
        <f ca="1">IFERROR(__xludf.DUMMYFUNCTION("GOOGLETRANSLATE(G827,""pl"",""en"")"),"Krzeczyn, Krzeczyn, Oleśnica, Oleśnicki, DolnoSilesian Voivodeship")</f>
        <v>Krzeczyn, Krzeczyn, Oleśnica, Oleśnicki, DolnoSilesian Voivodeship</v>
      </c>
      <c r="I827" s="1" t="s">
        <v>21</v>
      </c>
      <c r="J827" s="1" t="s">
        <v>21</v>
      </c>
      <c r="K827" s="1" t="s">
        <v>22</v>
      </c>
      <c r="L827" s="1" t="s">
        <v>3898</v>
      </c>
      <c r="M827" s="1">
        <v>3</v>
      </c>
      <c r="N827" s="1" t="s">
        <v>24</v>
      </c>
      <c r="O827" s="1" t="str">
        <f ca="1">IFERROR(__xludf.DUMMYFUNCTION("GOOGLETRANSLATE(N827,""pl"",""en"")"),"full ownership")</f>
        <v>full ownership</v>
      </c>
      <c r="P827" s="3" t="s">
        <v>3899</v>
      </c>
      <c r="Q827" s="1" t="b">
        <v>1</v>
      </c>
      <c r="R827" s="1" t="s">
        <v>3900</v>
      </c>
    </row>
    <row r="828" spans="1:18" x14ac:dyDescent="0.25">
      <c r="A828" s="2">
        <v>45173</v>
      </c>
      <c r="B828" s="1" t="s">
        <v>3901</v>
      </c>
      <c r="C828" s="1" t="str">
        <f ca="1">IFERROR(__xludf.DUMMYFUNCTION("GOOGLETRANSLATE(B828,""pl"",""en"")"),"Apartment 2-Cookies 52.49m2 reserved")</f>
        <v>Apartment 2-Cookies 52.49m2 reserved</v>
      </c>
      <c r="D828" s="1">
        <v>495000</v>
      </c>
      <c r="E828" s="1" t="s">
        <v>33</v>
      </c>
      <c r="F828" s="1">
        <v>52.49</v>
      </c>
      <c r="G828" s="1" t="s">
        <v>3902</v>
      </c>
      <c r="H828" s="1" t="str">
        <f ca="1">IFERROR(__xludf.DUMMYFUNCTION("GOOGLETRANSLATE(G828,""pl"",""en"")"),"street. Karol Adamieckiego 16, Skorosze, Ursus, Warsaw, Masovian Voivodeship")</f>
        <v>street. Karol Adamieckiego 16, Skorosze, Ursus, Warsaw, Masovian Voivodeship</v>
      </c>
      <c r="I828" s="1" t="s">
        <v>21</v>
      </c>
      <c r="J828" s="1" t="s">
        <v>21</v>
      </c>
      <c r="K828" s="1" t="s">
        <v>45</v>
      </c>
      <c r="L828" s="1" t="s">
        <v>3903</v>
      </c>
      <c r="M828" s="1">
        <v>2</v>
      </c>
      <c r="N828" s="1" t="s">
        <v>85</v>
      </c>
      <c r="O828" s="1" t="str">
        <f ca="1">IFERROR(__xludf.DUMMYFUNCTION("GOOGLETRANSLATE(N828,""pl"",""en"")"),"Cooperative ownership of the right to the premises")</f>
        <v>Cooperative ownership of the right to the premises</v>
      </c>
      <c r="P828" s="3" t="s">
        <v>3904</v>
      </c>
      <c r="Q828" s="1" t="b">
        <v>1</v>
      </c>
      <c r="R828" s="1" t="s">
        <v>3905</v>
      </c>
    </row>
    <row r="829" spans="1:18" x14ac:dyDescent="0.25">
      <c r="A829" s="2">
        <v>45173</v>
      </c>
      <c r="B829" s="1" t="s">
        <v>3906</v>
      </c>
      <c r="C829" s="1" t="str">
        <f ca="1">IFERROR(__xludf.DUMMYFUNCTION("GOOGLETRANSLATE(B829,""pl"",""en"")"),"A new two -level apartment on the west side")</f>
        <v>A new two -level apartment on the west side</v>
      </c>
      <c r="D829" s="1">
        <v>412484</v>
      </c>
      <c r="E829" s="1" t="s">
        <v>19</v>
      </c>
      <c r="F829" s="1">
        <v>57.02</v>
      </c>
      <c r="G829" s="1" t="s">
        <v>3907</v>
      </c>
      <c r="H829" s="1" t="str">
        <f ca="1">IFERROR(__xludf.DUMMYFUNCTION("GOOGLETRANSLATE(G829,""pl"",""en"")"),"street. Edward Łada-Cybstreetski, Słupsk, Pomeranian")</f>
        <v>street. Edward Łada-Cybstreetski, Słupsk, Pomeranian</v>
      </c>
      <c r="I829" s="1" t="s">
        <v>21</v>
      </c>
      <c r="J829" s="1" t="s">
        <v>21</v>
      </c>
      <c r="K829" s="1" t="s">
        <v>22</v>
      </c>
      <c r="L829" s="1" t="s">
        <v>3908</v>
      </c>
      <c r="M829" s="1">
        <v>2</v>
      </c>
      <c r="N829" s="1" t="s">
        <v>24</v>
      </c>
      <c r="O829" s="1" t="str">
        <f ca="1">IFERROR(__xludf.DUMMYFUNCTION("GOOGLETRANSLATE(N829,""pl"",""en"")"),"full ownership")</f>
        <v>full ownership</v>
      </c>
      <c r="P829" s="3" t="s">
        <v>3909</v>
      </c>
      <c r="Q829" s="1" t="b">
        <v>1</v>
      </c>
      <c r="R829" s="1" t="s">
        <v>3910</v>
      </c>
    </row>
    <row r="830" spans="1:18" x14ac:dyDescent="0.25">
      <c r="A830" s="2">
        <v>45308</v>
      </c>
      <c r="B830" s="1" t="s">
        <v>3911</v>
      </c>
      <c r="C830" s="1" t="str">
        <f ca="1">IFERROR(__xludf.DUMMYFUNCTION("GOOGLETRANSLATE(B830,""pl"",""en"")"),"I will sell a flat full ownership")</f>
        <v>I will sell a flat full ownership</v>
      </c>
      <c r="D830" s="1">
        <v>110000</v>
      </c>
      <c r="E830" s="1" t="s">
        <v>33</v>
      </c>
      <c r="F830" s="1">
        <v>33</v>
      </c>
      <c r="G830" s="1" t="s">
        <v>3912</v>
      </c>
      <c r="H830" s="1" t="str">
        <f ca="1">IFERROR(__xludf.DUMMYFUNCTION("GOOGLETRANSLATE(G830,""pl"",""en"")"),"street. Katowicka, Czeladź, Będziński, Silesian Voivodeship")</f>
        <v>street. Katowicka, Czeladź, Będziński, Silesian Voivodeship</v>
      </c>
      <c r="I830" s="1" t="s">
        <v>21</v>
      </c>
      <c r="J830" s="1" t="s">
        <v>21</v>
      </c>
      <c r="K830" s="1" t="s">
        <v>45</v>
      </c>
      <c r="L830" s="1" t="s">
        <v>3913</v>
      </c>
      <c r="M830" s="1">
        <v>1</v>
      </c>
      <c r="N830" s="1" t="s">
        <v>24</v>
      </c>
      <c r="O830" s="1" t="str">
        <f ca="1">IFERROR(__xludf.DUMMYFUNCTION("GOOGLETRANSLATE(N830,""pl"",""en"")"),"full ownership")</f>
        <v>full ownership</v>
      </c>
      <c r="P830" s="3" t="s">
        <v>3914</v>
      </c>
      <c r="Q830" s="1" t="b">
        <v>1</v>
      </c>
      <c r="R830" s="1" t="s">
        <v>3915</v>
      </c>
    </row>
    <row r="831" spans="1:18" x14ac:dyDescent="0.25">
      <c r="A831" s="2">
        <v>45308</v>
      </c>
      <c r="B831" s="1" t="s">
        <v>3916</v>
      </c>
      <c r="C831" s="1" t="str">
        <f ca="1">IFERROR(__xludf.DUMMYFUNCTION("GOOGLETRANSLATE(B831,""pl"",""en"")"),"TOP / 5 room segment + garden / keys in February")</f>
        <v>TOP / 5 room segment + garden / keys in February</v>
      </c>
      <c r="D831" s="1">
        <v>619901</v>
      </c>
      <c r="E831" s="1" t="s">
        <v>19</v>
      </c>
      <c r="F831" s="1">
        <v>89.5</v>
      </c>
      <c r="G831" s="1" t="s">
        <v>470</v>
      </c>
      <c r="H831" s="1" t="str">
        <f ca="1">IFERROR(__xludf.DUMMYFUNCTION("GOOGLETRANSLATE(G831,""pl"",""en"")"),"Leśnica, Fabryczna, Wrocław, DolnoSilesian Voivodeship")</f>
        <v>Leśnica, Fabryczna, Wrocław, DolnoSilesian Voivodeship</v>
      </c>
      <c r="I831" s="1" t="s">
        <v>21</v>
      </c>
      <c r="J831" s="1" t="s">
        <v>21</v>
      </c>
      <c r="K831" s="1" t="s">
        <v>22</v>
      </c>
      <c r="L831" s="1" t="s">
        <v>3917</v>
      </c>
      <c r="M831" s="1">
        <v>5</v>
      </c>
      <c r="N831" s="1" t="s">
        <v>24</v>
      </c>
      <c r="O831" s="1" t="str">
        <f ca="1">IFERROR(__xludf.DUMMYFUNCTION("GOOGLETRANSLATE(N831,""pl"",""en"")"),"full ownership")</f>
        <v>full ownership</v>
      </c>
      <c r="P831" s="3" t="s">
        <v>3918</v>
      </c>
      <c r="Q831" s="1" t="b">
        <v>1</v>
      </c>
      <c r="R831" s="1" t="s">
        <v>3919</v>
      </c>
    </row>
    <row r="832" spans="1:18" x14ac:dyDescent="0.25">
      <c r="A832" s="2">
        <v>45308</v>
      </c>
      <c r="B832" s="1" t="s">
        <v>3920</v>
      </c>
      <c r="C832" s="1" t="str">
        <f ca="1">IFERROR(__xludf.DUMMYFUNCTION("GOOGLETRANSLATE(B832,""pl"",""en"")"),"Spacious 3 -room at Trzebnicka")</f>
        <v>Spacious 3 -room at Trzebnicka</v>
      </c>
      <c r="D832" s="1">
        <v>660000</v>
      </c>
      <c r="E832" s="1" t="s">
        <v>33</v>
      </c>
      <c r="F832" s="1">
        <v>73.44</v>
      </c>
      <c r="G832" s="1" t="s">
        <v>3921</v>
      </c>
      <c r="H832" s="1" t="str">
        <f ca="1">IFERROR(__xludf.DUMMYFUNCTION("GOOGLETRANSLATE(G832,""pl"",""en"")"),"street. Trzebnicka, Kleczków, Psie Pole, Wrocław, DolnoSilesian Voivodeship")</f>
        <v>street. Trzebnicka, Kleczków, Psie Pole, Wrocław, DolnoSilesian Voivodeship</v>
      </c>
      <c r="I832" s="1" t="b">
        <v>1</v>
      </c>
      <c r="J832" s="1" t="s">
        <v>21</v>
      </c>
      <c r="K832" s="1" t="s">
        <v>22</v>
      </c>
      <c r="L832" s="1" t="s">
        <v>3922</v>
      </c>
      <c r="M832" s="1">
        <v>3</v>
      </c>
      <c r="N832" s="1" t="s">
        <v>24</v>
      </c>
      <c r="O832" s="1" t="str">
        <f ca="1">IFERROR(__xludf.DUMMYFUNCTION("GOOGLETRANSLATE(N832,""pl"",""en"")"),"full ownership")</f>
        <v>full ownership</v>
      </c>
      <c r="P832" s="3" t="s">
        <v>3923</v>
      </c>
      <c r="Q832" s="1" t="b">
        <v>1</v>
      </c>
      <c r="R832" s="1" t="s">
        <v>3924</v>
      </c>
    </row>
    <row r="833" spans="1:18" x14ac:dyDescent="0.25">
      <c r="A833" s="2">
        <v>45308</v>
      </c>
      <c r="B833" s="1" t="s">
        <v>3925</v>
      </c>
      <c r="C833" s="1" t="str">
        <f ca="1">IFERROR(__xludf.DUMMYFUNCTION("GOOGLETRANSLATE(B833,""pl"",""en"")"),"3 room apartment with a garden 20m by the subway")</f>
        <v>3 room apartment with a garden 20m by the subway</v>
      </c>
      <c r="D833" s="1">
        <v>1145000</v>
      </c>
      <c r="E833" s="1" t="s">
        <v>33</v>
      </c>
      <c r="F833" s="1">
        <v>67.760000000000005</v>
      </c>
      <c r="G833" s="1" t="s">
        <v>3926</v>
      </c>
      <c r="H833" s="1" t="str">
        <f ca="1">IFERROR(__xludf.DUMMYFUNCTION("GOOGLETRANSLATE(G833,""pl"",""en"")"),"street. Chłopskich, Chrzanów, Bemowo, Warsaw, Masovian Voivodeship battalions")</f>
        <v>street. Chłopskich, Chrzanów, Bemowo, Warsaw, Masovian Voivodeship battalions</v>
      </c>
      <c r="I833" s="1" t="s">
        <v>21</v>
      </c>
      <c r="J833" s="1" t="s">
        <v>21</v>
      </c>
      <c r="K833" s="1" t="s">
        <v>22</v>
      </c>
      <c r="L833" s="1" t="s">
        <v>3927</v>
      </c>
      <c r="M833" s="1">
        <v>3</v>
      </c>
      <c r="N833" s="1" t="s">
        <v>24</v>
      </c>
      <c r="O833" s="1" t="str">
        <f ca="1">IFERROR(__xludf.DUMMYFUNCTION("GOOGLETRANSLATE(N833,""pl"",""en"")"),"full ownership")</f>
        <v>full ownership</v>
      </c>
      <c r="P833" s="3" t="s">
        <v>3928</v>
      </c>
      <c r="Q833" s="1" t="b">
        <v>1</v>
      </c>
      <c r="R833" s="1" t="s">
        <v>3929</v>
      </c>
    </row>
    <row r="834" spans="1:18" x14ac:dyDescent="0.25">
      <c r="A834" s="2">
        <v>45308</v>
      </c>
      <c r="B834" s="1" t="s">
        <v>3930</v>
      </c>
      <c r="C834" s="1" t="str">
        <f ca="1">IFERROR(__xludf.DUMMYFUNCTION("GOOGLETRANSLATE(B834,""pl"",""en"")"),"Premium offer !!!")</f>
        <v>Premium offer !!!</v>
      </c>
      <c r="D834" s="1">
        <v>750000</v>
      </c>
      <c r="E834" s="1" t="s">
        <v>33</v>
      </c>
      <c r="F834" s="1">
        <v>36.24</v>
      </c>
      <c r="G834" s="1" t="s">
        <v>3931</v>
      </c>
      <c r="H834" s="1" t="str">
        <f ca="1">IFERROR(__xludf.DUMMYFUNCTION("GOOGLETRANSLATE(G834,""pl"",""en"")"),"Międzyzdroje, Międzyzdroje, Kamieński, West Pomeranian Voivodeship")</f>
        <v>Międzyzdroje, Międzyzdroje, Kamieński, West Pomeranian Voivodeship</v>
      </c>
      <c r="I834" s="1" t="s">
        <v>21</v>
      </c>
      <c r="J834" s="1" t="s">
        <v>21</v>
      </c>
      <c r="K834" s="1" t="s">
        <v>22</v>
      </c>
      <c r="L834" s="1" t="s">
        <v>3932</v>
      </c>
      <c r="M834" s="1">
        <v>2</v>
      </c>
      <c r="N834" s="1" t="s">
        <v>24</v>
      </c>
      <c r="O834" s="1" t="str">
        <f ca="1">IFERROR(__xludf.DUMMYFUNCTION("GOOGLETRANSLATE(N834,""pl"",""en"")"),"full ownership")</f>
        <v>full ownership</v>
      </c>
      <c r="P834" s="3" t="s">
        <v>3933</v>
      </c>
      <c r="Q834" s="1" t="b">
        <v>1</v>
      </c>
      <c r="R834" s="1" t="s">
        <v>3934</v>
      </c>
    </row>
    <row r="835" spans="1:18" x14ac:dyDescent="0.25">
      <c r="A835" s="2">
        <v>45308</v>
      </c>
      <c r="B835" s="1" t="s">
        <v>3935</v>
      </c>
      <c r="C835" s="1" t="str">
        <f ca="1">IFERROR(__xludf.DUMMYFUNCTION("GOOGLETRANSLATE(B835,""pl"",""en"")"),"Attractive price, 4 rooms; 66m2 for a large family.")</f>
        <v>Attractive price, 4 rooms; 66m2 for a large family.</v>
      </c>
      <c r="D835" s="1">
        <v>520000</v>
      </c>
      <c r="E835" s="1" t="s">
        <v>33</v>
      </c>
      <c r="F835" s="1">
        <v>66</v>
      </c>
      <c r="G835" s="1" t="s">
        <v>3663</v>
      </c>
      <c r="H835" s="1" t="str">
        <f ca="1">IFERROR(__xludf.DUMMYFUNCTION("GOOGLETRANSLATE(G835,""pl"",""en"")"),"Wojszyce, Krzyki, Wrocław, DolnoSilesian Voivodeship")</f>
        <v>Wojszyce, Krzyki, Wrocław, DolnoSilesian Voivodeship</v>
      </c>
      <c r="I835" s="1" t="s">
        <v>21</v>
      </c>
      <c r="J835" s="1" t="s">
        <v>21</v>
      </c>
      <c r="K835" s="1" t="s">
        <v>22</v>
      </c>
      <c r="L835" s="1" t="s">
        <v>3936</v>
      </c>
      <c r="M835" s="1">
        <v>4</v>
      </c>
      <c r="N835" s="1" t="s">
        <v>24</v>
      </c>
      <c r="O835" s="1" t="str">
        <f ca="1">IFERROR(__xludf.DUMMYFUNCTION("GOOGLETRANSLATE(N835,""pl"",""en"")"),"full ownership")</f>
        <v>full ownership</v>
      </c>
      <c r="P835" s="3" t="s">
        <v>3937</v>
      </c>
      <c r="Q835" s="1" t="b">
        <v>1</v>
      </c>
      <c r="R835" s="1" t="s">
        <v>3938</v>
      </c>
    </row>
    <row r="836" spans="1:18" x14ac:dyDescent="0.25">
      <c r="A836" s="2">
        <v>45308</v>
      </c>
      <c r="B836" s="1" t="s">
        <v>3939</v>
      </c>
      <c r="C836" s="1" t="str">
        <f ca="1">IFERROR(__xludf.DUMMYFUNCTION("GOOGLETRANSLATE(B836,""pl"",""en"")"),"Large 3-room apartment in Praga-Północ")</f>
        <v>Large 3-room apartment in Praga-Północ</v>
      </c>
      <c r="D836" s="1">
        <v>1480000</v>
      </c>
      <c r="E836" s="1" t="s">
        <v>33</v>
      </c>
      <c r="F836" s="1">
        <v>88</v>
      </c>
      <c r="G836" s="1" t="s">
        <v>3940</v>
      </c>
      <c r="H836" s="1" t="str">
        <f ca="1">IFERROR(__xludf.DUMMYFUNCTION("GOOGLETRANSLATE(G836,""pl"",""en"")"),"Nowa Praga, Praga-Północ, Warsaw, Masovian Voivodeship")</f>
        <v>Nowa Praga, Praga-Północ, Warsaw, Masovian Voivodeship</v>
      </c>
      <c r="I836" s="1" t="s">
        <v>21</v>
      </c>
      <c r="J836" s="1" t="s">
        <v>21</v>
      </c>
      <c r="K836" s="1" t="s">
        <v>22</v>
      </c>
      <c r="L836" s="1" t="s">
        <v>3941</v>
      </c>
      <c r="M836" s="1">
        <v>3</v>
      </c>
      <c r="N836" s="1" t="s">
        <v>24</v>
      </c>
      <c r="O836" s="1" t="str">
        <f ca="1">IFERROR(__xludf.DUMMYFUNCTION("GOOGLETRANSLATE(N836,""pl"",""en"")"),"full ownership")</f>
        <v>full ownership</v>
      </c>
      <c r="P836" s="3" t="s">
        <v>3942</v>
      </c>
      <c r="Q836" s="1" t="b">
        <v>1</v>
      </c>
      <c r="R836" s="1" t="s">
        <v>3943</v>
      </c>
    </row>
    <row r="837" spans="1:18" x14ac:dyDescent="0.25">
      <c r="A837" s="2">
        <v>45173</v>
      </c>
      <c r="B837" s="1" t="s">
        <v>3944</v>
      </c>
      <c r="C837" s="1" t="str">
        <f ca="1">IFERROR(__xludf.DUMMYFUNCTION("GOOGLETRANSLATE(B837,""pl"",""en"")"),"A modern 2-room apartment from the developer")</f>
        <v>A modern 2-room apartment from the developer</v>
      </c>
      <c r="D837" s="1">
        <v>282802</v>
      </c>
      <c r="E837" s="1" t="s">
        <v>19</v>
      </c>
      <c r="F837" s="1">
        <v>38.74</v>
      </c>
      <c r="G837" s="1" t="s">
        <v>3945</v>
      </c>
      <c r="H837" s="1" t="str">
        <f ca="1">IFERROR(__xludf.DUMMYFUNCTION("GOOGLETRANSLATE(G837,""pl"",""en"")"),"street. Konopnicka, Skarżysko-Kamienna, Skarżyski, Świętokrzyskie")</f>
        <v>street. Konopnicka, Skarżysko-Kamienna, Skarżyski, Świętokrzyskie</v>
      </c>
      <c r="I837" s="1" t="s">
        <v>21</v>
      </c>
      <c r="J837" s="1" t="s">
        <v>21</v>
      </c>
      <c r="K837" s="1" t="s">
        <v>22</v>
      </c>
      <c r="L837" s="1" t="s">
        <v>3946</v>
      </c>
      <c r="M837" s="1">
        <v>2</v>
      </c>
      <c r="N837" s="1" t="s">
        <v>24</v>
      </c>
      <c r="O837" s="1" t="str">
        <f ca="1">IFERROR(__xludf.DUMMYFUNCTION("GOOGLETRANSLATE(N837,""pl"",""en"")"),"full ownership")</f>
        <v>full ownership</v>
      </c>
      <c r="P837" s="3" t="s">
        <v>3947</v>
      </c>
      <c r="Q837" s="1" t="b">
        <v>1</v>
      </c>
      <c r="R837" s="1" t="s">
        <v>3948</v>
      </c>
    </row>
    <row r="838" spans="1:18" x14ac:dyDescent="0.25">
      <c r="A838" s="2">
        <v>45173</v>
      </c>
      <c r="B838" s="1" t="s">
        <v>3949</v>
      </c>
      <c r="C838" s="1" t="str">
        <f ca="1">IFERROR(__xludf.DUMMYFUNCTION("GOOGLETRANSLATE(B838,""pl"",""en"")"),"Mechelinki ""Anchoria Apartments"", high standard")</f>
        <v>Mechelinki "Anchoria Apartments", high standard</v>
      </c>
      <c r="D838" s="1">
        <v>2163600</v>
      </c>
      <c r="E838" s="1" t="s">
        <v>33</v>
      </c>
      <c r="F838" s="1">
        <v>108.18</v>
      </c>
      <c r="G838" s="1" t="s">
        <v>3950</v>
      </c>
      <c r="H838" s="1" t="str">
        <f ca="1">IFERROR(__xludf.DUMMYFUNCTION("GOOGLETRANSLATE(G838,""pl"",""en"")"),"Regatta, Mechelinki, Kosakowo, Pucki, Pomeranian Voivodeship")</f>
        <v>Regatta, Mechelinki, Kosakowo, Pucki, Pomeranian Voivodeship</v>
      </c>
      <c r="I838" s="1" t="s">
        <v>21</v>
      </c>
      <c r="J838" s="1" t="s">
        <v>21</v>
      </c>
      <c r="K838" s="1" t="s">
        <v>22</v>
      </c>
      <c r="L838" s="1" t="s">
        <v>3951</v>
      </c>
      <c r="M838" s="1">
        <v>4</v>
      </c>
      <c r="N838" s="1" t="s">
        <v>24</v>
      </c>
      <c r="O838" s="1" t="str">
        <f ca="1">IFERROR(__xludf.DUMMYFUNCTION("GOOGLETRANSLATE(N838,""pl"",""en"")"),"full ownership")</f>
        <v>full ownership</v>
      </c>
      <c r="P838" s="3" t="s">
        <v>3952</v>
      </c>
      <c r="Q838" s="1" t="b">
        <v>1</v>
      </c>
      <c r="R838" s="1" t="s">
        <v>3953</v>
      </c>
    </row>
    <row r="839" spans="1:18" x14ac:dyDescent="0.25">
      <c r="A839" s="2">
        <v>45173</v>
      </c>
      <c r="B839" s="1" t="s">
        <v>3954</v>
      </c>
      <c r="C839" s="1" t="str">
        <f ca="1">IFERROR(__xludf.DUMMYFUNCTION("GOOGLETRANSLATE(B839,""pl"",""en"")"),"New 41 m2 / 2 Pok / Last Garden 84 m2 / Friday")</f>
        <v>New 41 m2 / 2 Pok / Last Garden 84 m2 / Friday</v>
      </c>
      <c r="D839" s="1">
        <v>429000</v>
      </c>
      <c r="E839" s="1" t="s">
        <v>19</v>
      </c>
      <c r="F839" s="1">
        <v>41</v>
      </c>
      <c r="G839" s="1" t="s">
        <v>4814</v>
      </c>
      <c r="H839" s="1" t="str">
        <f ca="1">IFERROR(__xludf.DUMMYFUNCTION("GOOGLETRANSLATE(G839,""pl"",""en"")"),"street. Teofila Matecki, Piątkowo, Old Town, Poznań, Greater Poland")</f>
        <v>street. Teofila Matecki, Piątkowo, Old Town, Poznań, Greater Poland</v>
      </c>
      <c r="I839" s="1" t="s">
        <v>21</v>
      </c>
      <c r="J839" s="1" t="s">
        <v>21</v>
      </c>
      <c r="K839" s="1" t="s">
        <v>22</v>
      </c>
      <c r="L839" s="1" t="s">
        <v>3955</v>
      </c>
      <c r="M839" s="1">
        <v>2</v>
      </c>
      <c r="N839" s="1" t="s">
        <v>24</v>
      </c>
      <c r="O839" s="1" t="str">
        <f ca="1">IFERROR(__xludf.DUMMYFUNCTION("GOOGLETRANSLATE(N839,""pl"",""en"")"),"full ownership")</f>
        <v>full ownership</v>
      </c>
      <c r="P839" s="3" t="s">
        <v>3956</v>
      </c>
      <c r="Q839" s="1" t="b">
        <v>1</v>
      </c>
      <c r="R839" s="1" t="s">
        <v>3957</v>
      </c>
    </row>
    <row r="840" spans="1:18" x14ac:dyDescent="0.25">
      <c r="A840" s="2">
        <v>45173</v>
      </c>
      <c r="B840" s="1" t="s">
        <v>3958</v>
      </c>
      <c r="C840" s="1" t="str">
        <f ca="1">IFERROR(__xludf.DUMMYFUNCTION("GOOGLETRANSLATE(B840,""pl"",""en"")"),"* 18 m2 garage, 8 m2 cell, two places *")</f>
        <v>* 18 m2 garage, 8 m2 cell, two places *</v>
      </c>
      <c r="D840" s="1">
        <v>679000</v>
      </c>
      <c r="E840" s="1" t="s">
        <v>33</v>
      </c>
      <c r="F840" s="1">
        <v>77</v>
      </c>
      <c r="G840" s="1" t="s">
        <v>3959</v>
      </c>
      <c r="H840" s="1" t="str">
        <f ca="1">IFERROR(__xludf.DUMMYFUNCTION("GOOGLETRANSLATE(G840,""pl"",""en"")"),"street. Brzozowicka, Będzin, Będziński, Silesian Voivodeship")</f>
        <v>street. Brzozowicka, Będzin, Będziński, Silesian Voivodeship</v>
      </c>
      <c r="I840" s="1" t="s">
        <v>21</v>
      </c>
      <c r="J840" s="1" t="s">
        <v>21</v>
      </c>
      <c r="K840" s="1" t="s">
        <v>22</v>
      </c>
      <c r="L840" s="1" t="s">
        <v>3960</v>
      </c>
      <c r="M840" s="1">
        <v>3</v>
      </c>
      <c r="N840" s="1" t="s">
        <v>24</v>
      </c>
      <c r="O840" s="1" t="str">
        <f ca="1">IFERROR(__xludf.DUMMYFUNCTION("GOOGLETRANSLATE(N840,""pl"",""en"")"),"full ownership")</f>
        <v>full ownership</v>
      </c>
      <c r="P840" s="3" t="s">
        <v>3961</v>
      </c>
      <c r="Q840" s="1" t="b">
        <v>1</v>
      </c>
      <c r="R840" s="1" t="s">
        <v>3962</v>
      </c>
    </row>
    <row r="841" spans="1:18" x14ac:dyDescent="0.25">
      <c r="A841" s="2">
        <v>45173</v>
      </c>
      <c r="B841" s="1" t="s">
        <v>3963</v>
      </c>
      <c r="C841" s="1" t="str">
        <f ca="1">IFERROR(__xludf.DUMMYFUNCTION("GOOGLETRANSLATE(B841,""pl"",""en"")"),"Słupsk -Osiedle Independence !!! Last garden")</f>
        <v>Słupsk -Osiedle Independence !!! Last garden</v>
      </c>
      <c r="D841" s="1">
        <v>405000</v>
      </c>
      <c r="E841" s="1" t="s">
        <v>19</v>
      </c>
      <c r="F841" s="1">
        <v>57.67</v>
      </c>
      <c r="G841" s="1" t="s">
        <v>2692</v>
      </c>
      <c r="H841" s="1" t="str">
        <f ca="1">IFERROR(__xludf.DUMMYFUNCTION("GOOGLETRANSLATE(G841,""pl"",""en"")"),"Słupsk, Pomeranian")</f>
        <v>Słupsk, Pomeranian</v>
      </c>
      <c r="I841" s="1" t="s">
        <v>21</v>
      </c>
      <c r="J841" s="1" t="s">
        <v>21</v>
      </c>
      <c r="K841" s="1" t="s">
        <v>22</v>
      </c>
      <c r="L841" s="1" t="s">
        <v>3964</v>
      </c>
      <c r="M841" s="1">
        <v>3</v>
      </c>
      <c r="N841" s="1" t="s">
        <v>24</v>
      </c>
      <c r="O841" s="1" t="str">
        <f ca="1">IFERROR(__xludf.DUMMYFUNCTION("GOOGLETRANSLATE(N841,""pl"",""en"")"),"full ownership")</f>
        <v>full ownership</v>
      </c>
      <c r="P841" s="3" t="s">
        <v>3965</v>
      </c>
      <c r="Q841" s="1" t="b">
        <v>1</v>
      </c>
      <c r="R841" s="1" t="s">
        <v>3966</v>
      </c>
    </row>
    <row r="842" spans="1:18" x14ac:dyDescent="0.25">
      <c r="A842" s="2">
        <v>45173</v>
      </c>
      <c r="B842" s="1" t="s">
        <v>3967</v>
      </c>
      <c r="C842" s="1" t="str">
        <f ca="1">IFERROR(__xludf.DUMMYFUNCTION("GOOGLETRANSLATE(B842,""pl"",""en"")"),"Sunny apartment 3 rooms balcony garden")</f>
        <v>Sunny apartment 3 rooms balcony garden</v>
      </c>
      <c r="D842" s="1">
        <v>475000</v>
      </c>
      <c r="E842" s="1" t="s">
        <v>33</v>
      </c>
      <c r="F842" s="1">
        <v>64</v>
      </c>
      <c r="G842" s="1" t="s">
        <v>4815</v>
      </c>
      <c r="H842" s="1" t="str">
        <f ca="1">IFERROR(__xludf.DUMMYFUNCTION("GOOGLETRANSLATE(G842,""pl"",""en"")"),"Różany Potok, Cerekwica, Rokietnica, Poznań, Greater Poland")</f>
        <v>Różany Potok, Cerekwica, Rokietnica, Poznań, Greater Poland</v>
      </c>
      <c r="I842" s="1" t="s">
        <v>21</v>
      </c>
      <c r="J842" s="1" t="s">
        <v>21</v>
      </c>
      <c r="K842" s="1" t="s">
        <v>22</v>
      </c>
      <c r="L842" s="1" t="s">
        <v>3968</v>
      </c>
      <c r="M842" s="1">
        <v>3</v>
      </c>
      <c r="N842" s="1" t="s">
        <v>24</v>
      </c>
      <c r="O842" s="1" t="str">
        <f ca="1">IFERROR(__xludf.DUMMYFUNCTION("GOOGLETRANSLATE(N842,""pl"",""en"")"),"full ownership")</f>
        <v>full ownership</v>
      </c>
      <c r="P842" s="3" t="s">
        <v>3969</v>
      </c>
      <c r="Q842" s="1" t="b">
        <v>1</v>
      </c>
      <c r="R842" s="1" t="s">
        <v>3970</v>
      </c>
    </row>
    <row r="843" spans="1:18" x14ac:dyDescent="0.25">
      <c r="A843" s="2">
        <v>45308</v>
      </c>
      <c r="B843" s="1" t="s">
        <v>3971</v>
      </c>
      <c r="C843" s="1" t="str">
        <f ca="1">IFERROR(__xludf.DUMMYFUNCTION("GOOGLETRANSLATE(B843,""pl"",""en"")"),"Portofino Residence Gąski Apartment No. A6")</f>
        <v>Portofino Residence Gąski Apartment No. A6</v>
      </c>
      <c r="D843" s="1">
        <v>546548</v>
      </c>
      <c r="E843" s="1" t="s">
        <v>19</v>
      </c>
      <c r="F843" s="1">
        <v>39.32</v>
      </c>
      <c r="G843" s="1" t="s">
        <v>3972</v>
      </c>
      <c r="H843" s="1" t="str">
        <f ca="1">IFERROR(__xludf.DUMMYFUNCTION("GOOGLETRANSLATE(G843,""pl"",""en"")"),"street. Nadbrzeżna, Gąski, Mielno, Koszaliński, West Pomeranian Voivodeship")</f>
        <v>street. Nadbrzeżna, Gąski, Mielno, Koszaliński, West Pomeranian Voivodeship</v>
      </c>
      <c r="I843" s="1" t="s">
        <v>21</v>
      </c>
      <c r="J843" s="1" t="s">
        <v>21</v>
      </c>
      <c r="K843" s="1" t="s">
        <v>194</v>
      </c>
      <c r="L843" s="4" t="s">
        <v>4816</v>
      </c>
      <c r="M843" s="1">
        <v>2</v>
      </c>
      <c r="N843" s="1" t="s">
        <v>24</v>
      </c>
      <c r="O843" s="1" t="str">
        <f ca="1">IFERROR(__xludf.DUMMYFUNCTION("GOOGLETRANSLATE(N843,""pl"",""en"")"),"full ownership")</f>
        <v>full ownership</v>
      </c>
      <c r="P843" s="3" t="s">
        <v>3973</v>
      </c>
      <c r="Q843" s="1" t="b">
        <v>1</v>
      </c>
      <c r="R843" s="1" t="s">
        <v>3974</v>
      </c>
    </row>
    <row r="844" spans="1:18" x14ac:dyDescent="0.25">
      <c r="A844" s="2">
        <v>45308</v>
      </c>
      <c r="B844" s="1" t="s">
        <v>3975</v>
      </c>
      <c r="C844" s="1" t="str">
        <f ca="1">IFERROR(__xludf.DUMMYFUNCTION("GOOGLETRANSLATE(B844,""pl"",""en"")"),"UM. Preliminary/ highlands/ 3 room/ 53 m²/ balcony")</f>
        <v>UM. Preliminary/ highlands/ 3 room/ 53 m²/ balcony</v>
      </c>
      <c r="D844" s="1">
        <v>476000</v>
      </c>
      <c r="E844" s="1" t="s">
        <v>33</v>
      </c>
      <c r="F844" s="1">
        <v>53</v>
      </c>
      <c r="G844" s="1" t="s">
        <v>3976</v>
      </c>
      <c r="H844" s="1" t="str">
        <f ca="1">IFERROR(__xludf.DUMMYFUNCTION("GOOGLETRANSLATE(G844,""pl"",""en"")"),"street. Adama Grzymała-Siedlecki, Upland, Bydgoszcz, Kujawsko-Pomeranian Voivodeship")</f>
        <v>street. Adama Grzymała-Siedlecki, Upland, Bydgoszcz, Kujawsko-Pomeranian Voivodeship</v>
      </c>
      <c r="I844" s="1" t="b">
        <v>1</v>
      </c>
      <c r="J844" s="1" t="s">
        <v>21</v>
      </c>
      <c r="K844" s="1" t="s">
        <v>45</v>
      </c>
      <c r="L844" s="1" t="s">
        <v>3977</v>
      </c>
      <c r="M844" s="1">
        <v>3</v>
      </c>
      <c r="N844" s="1" t="s">
        <v>24</v>
      </c>
      <c r="O844" s="1" t="str">
        <f ca="1">IFERROR(__xludf.DUMMYFUNCTION("GOOGLETRANSLATE(N844,""pl"",""en"")"),"full ownership")</f>
        <v>full ownership</v>
      </c>
      <c r="P844" s="3" t="s">
        <v>3978</v>
      </c>
      <c r="Q844" s="1" t="b">
        <v>1</v>
      </c>
      <c r="R844" s="1" t="s">
        <v>3979</v>
      </c>
    </row>
    <row r="845" spans="1:18" x14ac:dyDescent="0.25">
      <c r="A845" s="2">
        <v>45308</v>
      </c>
      <c r="B845" s="1" t="s">
        <v>3980</v>
      </c>
      <c r="C845" s="1" t="str">
        <f ca="1">IFERROR(__xludf.DUMMYFUNCTION("GOOGLETRANSLATE(B845,""pl"",""en"")"),"BEST-SELLER! 28-50m2-cupe directly from the developer")</f>
        <v>BEST-SELLER! 28-50m2-cupe directly from the developer</v>
      </c>
      <c r="D845" s="1">
        <v>342500</v>
      </c>
      <c r="E845" s="1" t="s">
        <v>19</v>
      </c>
      <c r="F845" s="1">
        <v>28</v>
      </c>
      <c r="G845" s="1" t="s">
        <v>3981</v>
      </c>
      <c r="H845" s="1" t="str">
        <f ca="1">IFERROR(__xludf.DUMMYFUNCTION("GOOGLETRANSLATE(G845,""pl"",""en"")"),"Sztutowo, Sztutowo, Nowodworski, Pomeranian")</f>
        <v>Sztutowo, Sztutowo, Nowodworski, Pomeranian</v>
      </c>
      <c r="I845" s="1" t="s">
        <v>21</v>
      </c>
      <c r="J845" s="1" t="s">
        <v>21</v>
      </c>
      <c r="K845" s="1" t="s">
        <v>22</v>
      </c>
      <c r="L845" s="1" t="s">
        <v>3982</v>
      </c>
      <c r="M845" s="1">
        <v>2</v>
      </c>
      <c r="N845" s="1" t="s">
        <v>24</v>
      </c>
      <c r="O845" s="1" t="str">
        <f ca="1">IFERROR(__xludf.DUMMYFUNCTION("GOOGLETRANSLATE(N845,""pl"",""en"")"),"full ownership")</f>
        <v>full ownership</v>
      </c>
      <c r="P845" s="3" t="s">
        <v>3983</v>
      </c>
      <c r="Q845" s="1" t="b">
        <v>1</v>
      </c>
      <c r="R845" s="1" t="s">
        <v>3984</v>
      </c>
    </row>
    <row r="846" spans="1:18" x14ac:dyDescent="0.25">
      <c r="A846" s="2">
        <v>45308</v>
      </c>
      <c r="B846" s="1" t="s">
        <v>3985</v>
      </c>
      <c r="C846" s="1" t="str">
        <f ca="1">IFERROR(__xludf.DUMMYFUNCTION("GOOGLETRANSLATE(B846,""pl"",""en"")"),"3 room Gaj Two -story apartment Garage")</f>
        <v>3 room Gaj Two -story apartment Garage</v>
      </c>
      <c r="D846" s="1">
        <v>885000</v>
      </c>
      <c r="E846" s="1" t="s">
        <v>33</v>
      </c>
      <c r="F846" s="1">
        <v>62</v>
      </c>
      <c r="G846" s="1" t="s">
        <v>2247</v>
      </c>
      <c r="H846" s="1" t="str">
        <f ca="1">IFERROR(__xludf.DUMMYFUNCTION("GOOGLETRANSLATE(G846,""pl"",""en"")"),"Gaj, Krzyki, Wrocław, DolnoSilesian Voivodeship")</f>
        <v>Gaj, Krzyki, Wrocław, DolnoSilesian Voivodeship</v>
      </c>
      <c r="I846" s="1" t="s">
        <v>21</v>
      </c>
      <c r="J846" s="1" t="s">
        <v>21</v>
      </c>
      <c r="K846" s="1" t="s">
        <v>22</v>
      </c>
      <c r="L846" s="1" t="s">
        <v>3986</v>
      </c>
      <c r="M846" s="1">
        <v>3</v>
      </c>
      <c r="N846" s="1" t="s">
        <v>24</v>
      </c>
      <c r="O846" s="1" t="str">
        <f ca="1">IFERROR(__xludf.DUMMYFUNCTION("GOOGLETRANSLATE(N846,""pl"",""en"")"),"full ownership")</f>
        <v>full ownership</v>
      </c>
      <c r="P846" s="3" t="s">
        <v>3987</v>
      </c>
      <c r="Q846" s="1" t="b">
        <v>1</v>
      </c>
      <c r="R846" s="1" t="s">
        <v>3988</v>
      </c>
    </row>
    <row r="847" spans="1:18" x14ac:dyDescent="0.25">
      <c r="A847" s="2">
        <v>45173</v>
      </c>
      <c r="B847" s="1" t="s">
        <v>3989</v>
      </c>
      <c r="C847" s="1" t="str">
        <f ca="1">IFERROR(__xludf.DUMMYFUNCTION("GOOGLETRANSLATE(B847,""pl"",""en"")"),"Ready to live in Wrońska Street without 2% PCC")</f>
        <v>Ready to live in Wrońska Street without 2% PCC</v>
      </c>
      <c r="D847" s="1">
        <v>579900</v>
      </c>
      <c r="E847" s="1" t="s">
        <v>19</v>
      </c>
      <c r="F847" s="1">
        <v>50</v>
      </c>
      <c r="G847" s="1" t="s">
        <v>3990</v>
      </c>
      <c r="H847" s="1" t="str">
        <f ca="1">IFERROR(__xludf.DUMMYFUNCTION("GOOGLETRANSLATE(G847,""pl"",""en"")"),"street. Wrońska, Bronowice, Lublin, Lublin Voivodeship")</f>
        <v>street. Wrońska, Bronowice, Lublin, Lublin Voivodeship</v>
      </c>
      <c r="I847" s="1" t="b">
        <v>1</v>
      </c>
      <c r="J847" s="1" t="s">
        <v>21</v>
      </c>
      <c r="K847" s="1" t="s">
        <v>45</v>
      </c>
      <c r="L847" s="1" t="s">
        <v>3991</v>
      </c>
      <c r="M847" s="1">
        <v>2</v>
      </c>
      <c r="N847" s="1" t="s">
        <v>24</v>
      </c>
      <c r="O847" s="1" t="str">
        <f ca="1">IFERROR(__xludf.DUMMYFUNCTION("GOOGLETRANSLATE(N847,""pl"",""en"")"),"full ownership")</f>
        <v>full ownership</v>
      </c>
      <c r="P847" s="3" t="s">
        <v>3992</v>
      </c>
      <c r="Q847" s="1" t="b">
        <v>1</v>
      </c>
      <c r="R847" s="1" t="s">
        <v>3993</v>
      </c>
    </row>
    <row r="848" spans="1:18" x14ac:dyDescent="0.25">
      <c r="A848" s="2">
        <v>45173</v>
      </c>
      <c r="B848" s="1" t="s">
        <v>3994</v>
      </c>
      <c r="C848" s="1" t="str">
        <f ca="1">IFERROR(__xludf.DUMMYFUNCTION("GOOGLETRANSLATE(B848,""pl"",""en"")"),"New apartment, 4-pole ul. Pękowicka")</f>
        <v>New apartment, 4-pole ul. Pękowicka</v>
      </c>
      <c r="D848" s="1">
        <v>525000</v>
      </c>
      <c r="E848" s="1" t="s">
        <v>19</v>
      </c>
      <c r="F848" s="1">
        <v>60.95</v>
      </c>
      <c r="G848" s="1" t="s">
        <v>4817</v>
      </c>
      <c r="H848" s="1" t="str">
        <f ca="1">IFERROR(__xludf.DUMMYFUNCTION("GOOGLETRANSLATE(G848,""pl"",""en"")"),"street. Pękowicka, Zielonki, Zielonki, Kraków, Lesser Poland")</f>
        <v>street. Pękowicka, Zielonki, Zielonki, Kraków, Lesser Poland</v>
      </c>
      <c r="I848" s="1" t="s">
        <v>21</v>
      </c>
      <c r="J848" s="1" t="s">
        <v>21</v>
      </c>
      <c r="K848" s="1" t="s">
        <v>22</v>
      </c>
      <c r="L848" s="1" t="s">
        <v>3995</v>
      </c>
      <c r="M848" s="1">
        <v>4</v>
      </c>
      <c r="N848" s="1" t="s">
        <v>24</v>
      </c>
      <c r="O848" s="1" t="str">
        <f ca="1">IFERROR(__xludf.DUMMYFUNCTION("GOOGLETRANSLATE(N848,""pl"",""en"")"),"full ownership")</f>
        <v>full ownership</v>
      </c>
      <c r="P848" s="3" t="s">
        <v>3996</v>
      </c>
      <c r="Q848" s="1" t="b">
        <v>1</v>
      </c>
      <c r="R848" s="1" t="s">
        <v>3997</v>
      </c>
    </row>
    <row r="849" spans="1:18" x14ac:dyDescent="0.25">
      <c r="A849" s="2">
        <v>45173</v>
      </c>
      <c r="B849" s="1" t="s">
        <v>3998</v>
      </c>
      <c r="C849" s="1" t="str">
        <f ca="1">IFERROR(__xludf.DUMMYFUNCTION("GOOGLETRANSLATE(B849,""pl"",""en"")"),"New apartment No. 23 - 1st floor")</f>
        <v>New apartment No. 23 - 1st floor</v>
      </c>
      <c r="D849" s="1">
        <v>307800</v>
      </c>
      <c r="E849" s="1" t="s">
        <v>19</v>
      </c>
      <c r="F849" s="1">
        <v>40.5</v>
      </c>
      <c r="G849" s="1" t="s">
        <v>3892</v>
      </c>
      <c r="H849" s="1" t="str">
        <f ca="1">IFERROR(__xludf.DUMMYFUNCTION("GOOGLETRANSLATE(G849,""pl"",""en"")"),"street. Szpaki, Pogoń, Sosnowiec, Silesian Voivodeship")</f>
        <v>street. Szpaki, Pogoń, Sosnowiec, Silesian Voivodeship</v>
      </c>
      <c r="I849" s="1" t="s">
        <v>21</v>
      </c>
      <c r="J849" s="1" t="s">
        <v>21</v>
      </c>
      <c r="K849" s="1" t="s">
        <v>194</v>
      </c>
      <c r="L849" s="1" t="s">
        <v>3999</v>
      </c>
      <c r="M849" s="1">
        <v>2</v>
      </c>
      <c r="N849" s="1" t="s">
        <v>24</v>
      </c>
      <c r="O849" s="1" t="str">
        <f ca="1">IFERROR(__xludf.DUMMYFUNCTION("GOOGLETRANSLATE(N849,""pl"",""en"")"),"full ownership")</f>
        <v>full ownership</v>
      </c>
      <c r="P849" s="3" t="s">
        <v>4000</v>
      </c>
      <c r="Q849" s="1" t="b">
        <v>1</v>
      </c>
      <c r="R849" s="1" t="s">
        <v>4001</v>
      </c>
    </row>
    <row r="850" spans="1:18" x14ac:dyDescent="0.25">
      <c r="A850" s="2">
        <v>45173</v>
      </c>
      <c r="B850" s="1" t="s">
        <v>4002</v>
      </c>
      <c r="C850" s="1" t="str">
        <f ca="1">IFERROR(__xludf.DUMMYFUNCTION("GOOGLETRANSLATE(B850,""pl"",""en"")"),"New Reden Premium apartment with a terrace on the roof")</f>
        <v>New Reden Premium apartment with a terrace on the roof</v>
      </c>
      <c r="D850" s="1">
        <v>1017704</v>
      </c>
      <c r="E850" s="1" t="s">
        <v>19</v>
      </c>
      <c r="F850" s="1">
        <v>110.62</v>
      </c>
      <c r="G850" s="1" t="s">
        <v>4003</v>
      </c>
      <c r="H850" s="1" t="str">
        <f ca="1">IFERROR(__xludf.DUMMYFUNCTION("GOOGLETRANSLATE(G850,""pl"",""en"")"),"street. Przemysłowa, Reden-Adamiecki, Reden, Dąbrowa Górnicza, Silesian Voivodeship")</f>
        <v>street. Przemysłowa, Reden-Adamiecki, Reden, Dąbrowa Górnicza, Silesian Voivodeship</v>
      </c>
      <c r="I850" s="1" t="s">
        <v>21</v>
      </c>
      <c r="J850" s="1" t="s">
        <v>21</v>
      </c>
      <c r="K850" s="1" t="s">
        <v>194</v>
      </c>
      <c r="L850" s="1" t="s">
        <v>4004</v>
      </c>
      <c r="M850" s="1">
        <v>4</v>
      </c>
      <c r="N850" s="1" t="s">
        <v>24</v>
      </c>
      <c r="O850" s="1" t="str">
        <f ca="1">IFERROR(__xludf.DUMMYFUNCTION("GOOGLETRANSLATE(N850,""pl"",""en"")"),"full ownership")</f>
        <v>full ownership</v>
      </c>
      <c r="P850" s="3" t="s">
        <v>4005</v>
      </c>
      <c r="Q850" s="1" t="b">
        <v>1</v>
      </c>
      <c r="R850" s="1" t="s">
        <v>4006</v>
      </c>
    </row>
    <row r="851" spans="1:18" x14ac:dyDescent="0.25">
      <c r="A851" s="2">
        <v>45173</v>
      </c>
      <c r="B851" s="1" t="s">
        <v>4007</v>
      </c>
      <c r="C851" s="1" t="str">
        <f ca="1">IFERROR(__xludf.DUMMYFUNCTION("GOOGLETRANSLATE(B851,""pl"",""en"")"),"Apartments center, 41.63 m2, M7 with a garden")</f>
        <v>Apartments center, 41.63 m2, M7 with a garden</v>
      </c>
      <c r="D851" s="1">
        <v>245617</v>
      </c>
      <c r="E851" s="1" t="s">
        <v>19</v>
      </c>
      <c r="F851" s="1">
        <v>41.63</v>
      </c>
      <c r="G851" s="1" t="s">
        <v>1028</v>
      </c>
      <c r="H851" s="1" t="str">
        <f ca="1">IFERROR(__xludf.DUMMYFUNCTION("GOOGLETRANSLATE(G851,""pl"",""en"")"),"Olecko, Olecko, Olecki, Warmian-Masurian Voivodeship")</f>
        <v>Olecko, Olecko, Olecki, Warmian-Masurian Voivodeship</v>
      </c>
      <c r="I851" s="1" t="b">
        <v>1</v>
      </c>
      <c r="J851" s="1" t="s">
        <v>21</v>
      </c>
      <c r="K851" s="1" t="s">
        <v>22</v>
      </c>
      <c r="L851" s="1" t="s">
        <v>4008</v>
      </c>
      <c r="M851" s="1">
        <v>2</v>
      </c>
      <c r="N851" s="1" t="s">
        <v>24</v>
      </c>
      <c r="O851" s="1" t="str">
        <f ca="1">IFERROR(__xludf.DUMMYFUNCTION("GOOGLETRANSLATE(N851,""pl"",""en"")"),"full ownership")</f>
        <v>full ownership</v>
      </c>
      <c r="P851" s="3" t="s">
        <v>4009</v>
      </c>
      <c r="Q851" s="1" t="b">
        <v>1</v>
      </c>
      <c r="R851" s="1" t="s">
        <v>4010</v>
      </c>
    </row>
    <row r="852" spans="1:18" x14ac:dyDescent="0.25">
      <c r="A852" s="2">
        <v>45173</v>
      </c>
      <c r="B852" s="1" t="s">
        <v>4011</v>
      </c>
      <c r="C852" s="1" t="str">
        <f ca="1">IFERROR(__xludf.DUMMYFUNCTION("GOOGLETRANSLATE(B852,""pl"",""en"")"),"New apartment in Pomerania!")</f>
        <v>New apartment in Pomerania!</v>
      </c>
      <c r="D852" s="1">
        <v>686560</v>
      </c>
      <c r="E852" s="1" t="s">
        <v>19</v>
      </c>
      <c r="F852" s="1">
        <v>85.82</v>
      </c>
      <c r="G852" s="1" t="s">
        <v>4012</v>
      </c>
      <c r="H852" s="1" t="str">
        <f ca="1">IFERROR(__xludf.DUMMYFUNCTION("GOOGLETRANSLATE(G852,""pl"",""en"")"),"Pomorzany, West, Szczecin, West Pomeranian Voivodeship")</f>
        <v>Pomorzany, West, Szczecin, West Pomeranian Voivodeship</v>
      </c>
      <c r="I852" s="1" t="s">
        <v>21</v>
      </c>
      <c r="J852" s="1" t="s">
        <v>21</v>
      </c>
      <c r="K852" s="1" t="s">
        <v>22</v>
      </c>
      <c r="L852" s="1" t="s">
        <v>4013</v>
      </c>
      <c r="M852" s="1">
        <v>4</v>
      </c>
      <c r="N852" s="1" t="s">
        <v>24</v>
      </c>
      <c r="O852" s="1" t="str">
        <f ca="1">IFERROR(__xludf.DUMMYFUNCTION("GOOGLETRANSLATE(N852,""pl"",""en"")"),"full ownership")</f>
        <v>full ownership</v>
      </c>
      <c r="P852" s="3" t="s">
        <v>4014</v>
      </c>
      <c r="Q852" s="1" t="b">
        <v>1</v>
      </c>
      <c r="R852" s="1" t="s">
        <v>4015</v>
      </c>
    </row>
    <row r="853" spans="1:18" x14ac:dyDescent="0.25">
      <c r="A853" s="2">
        <v>45308</v>
      </c>
      <c r="B853" s="1" t="s">
        <v>4016</v>
      </c>
      <c r="C853" s="1" t="str">
        <f ca="1">IFERROR(__xludf.DUMMYFUNCTION("GOOGLETRANSLATE(B853,""pl"",""en"")"),"3m To enter Żabiniec Two -level")</f>
        <v>3m To enter Żabiniec Two -level</v>
      </c>
      <c r="D853" s="1">
        <v>819000</v>
      </c>
      <c r="E853" s="1" t="s">
        <v>33</v>
      </c>
      <c r="F853" s="1">
        <v>63</v>
      </c>
      <c r="G853" s="1" t="s">
        <v>4818</v>
      </c>
      <c r="H853" s="1" t="str">
        <f ca="1">IFERROR(__xludf.DUMMYFUNCTION("GOOGLETRANSLATE(G853,""pl"",""en"")"),"Prądnik Biały, Prądnik Biały, Kraków, Lesser Poland")</f>
        <v>Prądnik Biały, Prądnik Biały, Kraków, Lesser Poland</v>
      </c>
      <c r="I853" s="1" t="b">
        <v>1</v>
      </c>
      <c r="J853" s="1" t="s">
        <v>21</v>
      </c>
      <c r="K853" s="1" t="s">
        <v>22</v>
      </c>
      <c r="L853" s="1" t="s">
        <v>4017</v>
      </c>
      <c r="M853" s="1">
        <v>3</v>
      </c>
      <c r="N853" s="1" t="s">
        <v>24</v>
      </c>
      <c r="O853" s="1" t="str">
        <f ca="1">IFERROR(__xludf.DUMMYFUNCTION("GOOGLETRANSLATE(N853,""pl"",""en"")"),"full ownership")</f>
        <v>full ownership</v>
      </c>
      <c r="P853" s="3" t="s">
        <v>4018</v>
      </c>
      <c r="Q853" s="1" t="b">
        <v>1</v>
      </c>
      <c r="R853" s="1" t="s">
        <v>4019</v>
      </c>
    </row>
    <row r="854" spans="1:18" x14ac:dyDescent="0.25">
      <c r="A854" s="2">
        <v>45308</v>
      </c>
      <c r="B854" s="1" t="s">
        <v>4020</v>
      </c>
      <c r="C854" s="1" t="str">
        <f ca="1">IFERROR(__xludf.DUMMYFUNCTION("GOOGLETRANSLATE(B854,""pl"",""en"")"),"Only here!!! 3 -room apartment/garage/garden !!")</f>
        <v>Only here!!! 3 -room apartment/garage/garden !!</v>
      </c>
      <c r="D854" s="1">
        <v>780000</v>
      </c>
      <c r="E854" s="1" t="s">
        <v>33</v>
      </c>
      <c r="F854" s="1">
        <v>92</v>
      </c>
      <c r="G854" s="1" t="s">
        <v>4021</v>
      </c>
      <c r="H854" s="1" t="str">
        <f ca="1">IFERROR(__xludf.DUMMYFUNCTION("GOOGLETRANSLATE(G854,""pl"",""en"")"),"Boguszyce, Oleśnica, Oleśnicki, DolnoSilesian Voivodeship")</f>
        <v>Boguszyce, Oleśnica, Oleśnicki, DolnoSilesian Voivodeship</v>
      </c>
      <c r="I854" s="1" t="s">
        <v>21</v>
      </c>
      <c r="J854" s="1" t="s">
        <v>21</v>
      </c>
      <c r="K854" s="1" t="s">
        <v>22</v>
      </c>
      <c r="L854" s="1" t="s">
        <v>4022</v>
      </c>
      <c r="M854" s="1">
        <v>3</v>
      </c>
      <c r="N854" s="1" t="s">
        <v>24</v>
      </c>
      <c r="O854" s="1" t="str">
        <f ca="1">IFERROR(__xludf.DUMMYFUNCTION("GOOGLETRANSLATE(N854,""pl"",""en"")"),"full ownership")</f>
        <v>full ownership</v>
      </c>
      <c r="P854" s="3" t="s">
        <v>4023</v>
      </c>
      <c r="Q854" s="1" t="b">
        <v>1</v>
      </c>
      <c r="R854" s="1" t="s">
        <v>4024</v>
      </c>
    </row>
    <row r="855" spans="1:18" x14ac:dyDescent="0.25">
      <c r="A855" s="2">
        <v>45308</v>
      </c>
      <c r="B855" s="1" t="s">
        <v>4025</v>
      </c>
      <c r="C855" s="1" t="str">
        <f ca="1">IFERROR(__xludf.DUMMYFUNCTION("GOOGLETRANSLATE(B855,""pl"",""en"")"),"2 Pokoje▪️Balkon 30 Park")</f>
        <v>2 Pokoje▪️Balkon 30 Park</v>
      </c>
      <c r="D855" s="1">
        <v>538000</v>
      </c>
      <c r="E855" s="1" t="s">
        <v>33</v>
      </c>
      <c r="F855" s="1">
        <v>48.96</v>
      </c>
      <c r="G855" s="1" t="s">
        <v>4026</v>
      </c>
      <c r="H855" s="1" t="str">
        <f ca="1">IFERROR(__xludf.DUMMYFUNCTION("GOOGLETRANSLATE(G855,""pl"",""en"")"),"Stoki, Widzew, Łódź, Łódź")</f>
        <v>Stoki, Widzew, Łódź, Łódź</v>
      </c>
      <c r="I855" s="1" t="s">
        <v>21</v>
      </c>
      <c r="J855" s="1" t="s">
        <v>21</v>
      </c>
      <c r="K855" s="1" t="s">
        <v>22</v>
      </c>
      <c r="L855" s="1" t="s">
        <v>4027</v>
      </c>
      <c r="M855" s="1">
        <v>2</v>
      </c>
      <c r="N855" s="1" t="s">
        <v>24</v>
      </c>
      <c r="O855" s="1" t="str">
        <f ca="1">IFERROR(__xludf.DUMMYFUNCTION("GOOGLETRANSLATE(N855,""pl"",""en"")"),"full ownership")</f>
        <v>full ownership</v>
      </c>
      <c r="P855" s="3" t="s">
        <v>4028</v>
      </c>
      <c r="Q855" s="1" t="b">
        <v>1</v>
      </c>
      <c r="R855" s="1" t="s">
        <v>4029</v>
      </c>
    </row>
    <row r="856" spans="1:18" x14ac:dyDescent="0.25">
      <c r="A856" s="2">
        <v>45308</v>
      </c>
      <c r="B856" s="1" t="s">
        <v>4030</v>
      </c>
      <c r="C856" s="1" t="str">
        <f ca="1">IFERROR(__xludf.DUMMYFUNCTION("GOOGLETRANSLATE(B856,""pl"",""en"")"),"Alfa Park III Last floor Equipped")</f>
        <v>Alfa Park III Last floor Equipped</v>
      </c>
      <c r="D856" s="1">
        <v>990000</v>
      </c>
      <c r="E856" s="1" t="s">
        <v>33</v>
      </c>
      <c r="F856" s="1">
        <v>62.79</v>
      </c>
      <c r="G856" s="1" t="s">
        <v>3019</v>
      </c>
      <c r="H856" s="1" t="str">
        <f ca="1">IFERROR(__xludf.DUMMYFUNCTION("GOOGLETRANSLATE(G856,""pl"",""en"")"),"street. Myśliwska, Jasień, Gdańsk, Pomeranian Voivodeship")</f>
        <v>street. Myśliwska, Jasień, Gdańsk, Pomeranian Voivodeship</v>
      </c>
      <c r="I856" s="1" t="s">
        <v>21</v>
      </c>
      <c r="J856" s="1" t="s">
        <v>21</v>
      </c>
      <c r="K856" s="1" t="s">
        <v>22</v>
      </c>
      <c r="L856" s="1" t="s">
        <v>4031</v>
      </c>
      <c r="M856" s="1">
        <v>4</v>
      </c>
      <c r="N856" s="1" t="s">
        <v>24</v>
      </c>
      <c r="O856" s="1" t="str">
        <f ca="1">IFERROR(__xludf.DUMMYFUNCTION("GOOGLETRANSLATE(N856,""pl"",""en"")"),"full ownership")</f>
        <v>full ownership</v>
      </c>
      <c r="P856" s="3" t="s">
        <v>4032</v>
      </c>
      <c r="Q856" s="1" t="b">
        <v>1</v>
      </c>
      <c r="R856" s="1" t="s">
        <v>4033</v>
      </c>
    </row>
    <row r="857" spans="1:18" x14ac:dyDescent="0.25">
      <c r="A857" s="2">
        <v>45308</v>
      </c>
      <c r="B857" s="1" t="s">
        <v>4034</v>
      </c>
      <c r="C857" s="1" t="str">
        <f ca="1">IFERROR(__xludf.DUMMYFUNCTION("GOOGLETRANSLATE(B857,""pl"",""en"")"),"I will sell a studio apartment of Chorzów Sobieski 18")</f>
        <v>I will sell a studio apartment of Chorzów Sobieski 18</v>
      </c>
      <c r="D857" s="1">
        <v>180000</v>
      </c>
      <c r="E857" s="1" t="s">
        <v>33</v>
      </c>
      <c r="F857" s="1">
        <v>32.5</v>
      </c>
      <c r="G857" s="1" t="s">
        <v>4035</v>
      </c>
      <c r="H857" s="1" t="str">
        <f ca="1">IFERROR(__xludf.DUMMYFUNCTION("GOOGLETRANSLATE(G857,""pl"",""en"")"),"Centrum, Chorzów, Silesian Voivodeship")</f>
        <v>Centrum, Chorzów, Silesian Voivodeship</v>
      </c>
      <c r="I857" s="1" t="b">
        <v>1</v>
      </c>
      <c r="J857" s="1" t="s">
        <v>21</v>
      </c>
      <c r="K857" s="1" t="s">
        <v>22</v>
      </c>
      <c r="L857" s="1" t="s">
        <v>4036</v>
      </c>
      <c r="M857" s="1">
        <v>2</v>
      </c>
      <c r="N857" s="1" t="s">
        <v>24</v>
      </c>
      <c r="O857" s="1" t="str">
        <f ca="1">IFERROR(__xludf.DUMMYFUNCTION("GOOGLETRANSLATE(N857,""pl"",""en"")"),"full ownership")</f>
        <v>full ownership</v>
      </c>
      <c r="P857" s="3" t="s">
        <v>4037</v>
      </c>
      <c r="Q857" s="1" t="b">
        <v>1</v>
      </c>
      <c r="R857" s="1" t="s">
        <v>4038</v>
      </c>
    </row>
    <row r="858" spans="1:18" x14ac:dyDescent="0.25">
      <c r="A858" s="2">
        <v>45308</v>
      </c>
      <c r="B858" s="1" t="s">
        <v>4039</v>
      </c>
      <c r="C858" s="1" t="str">
        <f ca="1">IFERROR(__xludf.DUMMYFUNCTION("GOOGLETRANSLATE(B858,""pl"",""en"")"),"Ready free -standing houses in Modlnica, no commission!")</f>
        <v>Ready free -standing houses in Modlnica, no commission!</v>
      </c>
      <c r="D858" s="1">
        <v>1199000</v>
      </c>
      <c r="E858" s="1" t="s">
        <v>19</v>
      </c>
      <c r="F858" s="1">
        <v>169</v>
      </c>
      <c r="G858" s="1" t="s">
        <v>4819</v>
      </c>
      <c r="H858" s="1" t="str">
        <f ca="1">IFERROR(__xludf.DUMMYFUNCTION("GOOGLETRANSLATE(G858,""pl"",""en"")"),"Modlnica, Wielka Wieś, Kraków, Lesser Poland")</f>
        <v>Modlnica, Wielka Wieś, Kraków, Lesser Poland</v>
      </c>
      <c r="I858" s="1" t="b">
        <v>1</v>
      </c>
      <c r="J858" s="1" t="s">
        <v>21</v>
      </c>
      <c r="K858" s="1" t="s">
        <v>22</v>
      </c>
      <c r="L858" s="1" t="s">
        <v>4040</v>
      </c>
      <c r="M858" s="1">
        <v>4</v>
      </c>
      <c r="N858" s="1" t="s">
        <v>21</v>
      </c>
      <c r="O858" s="1" t="str">
        <f ca="1">IFERROR(__xludf.DUMMYFUNCTION("GOOGLETRANSLATE(N858,""pl"",""en"")"),"null")</f>
        <v>null</v>
      </c>
      <c r="P858" s="3" t="s">
        <v>4041</v>
      </c>
      <c r="Q858" s="1" t="b">
        <v>1</v>
      </c>
      <c r="R858" s="1" t="s">
        <v>4042</v>
      </c>
    </row>
    <row r="859" spans="1:18" x14ac:dyDescent="0.25">
      <c r="A859" s="2">
        <v>45308</v>
      </c>
      <c r="B859" s="1" t="s">
        <v>4043</v>
      </c>
      <c r="C859" s="1" t="str">
        <f ca="1">IFERROR(__xludf.DUMMYFUNCTION("GOOGLETRANSLATE(B859,""pl"",""en"")"),"Kołobrzeg 2 -room apartment 400m for the green beach")</f>
        <v>Kołobrzeg 2 -room apartment 400m for the green beach</v>
      </c>
      <c r="D859" s="1">
        <v>655000</v>
      </c>
      <c r="E859" s="1" t="s">
        <v>33</v>
      </c>
      <c r="F859" s="1">
        <v>39.369999999999997</v>
      </c>
      <c r="G859" s="1" t="s">
        <v>150</v>
      </c>
      <c r="H859" s="1" t="str">
        <f ca="1">IFERROR(__xludf.DUMMYFUNCTION("GOOGLETRANSLATE(G859,""pl"",""en"")"),"Kołobrzeg, Kołobrzeski, ZachodnioPomeranian Voivodeship")</f>
        <v>Kołobrzeg, Kołobrzeski, ZachodnioPomeranian Voivodeship</v>
      </c>
      <c r="I859" s="1" t="s">
        <v>21</v>
      </c>
      <c r="J859" s="1" t="s">
        <v>21</v>
      </c>
      <c r="K859" s="1" t="s">
        <v>22</v>
      </c>
      <c r="L859" s="1" t="s">
        <v>4044</v>
      </c>
      <c r="M859" s="1">
        <v>2</v>
      </c>
      <c r="N859" s="1" t="s">
        <v>24</v>
      </c>
      <c r="O859" s="1" t="str">
        <f ca="1">IFERROR(__xludf.DUMMYFUNCTION("GOOGLETRANSLATE(N859,""pl"",""en"")"),"full ownership")</f>
        <v>full ownership</v>
      </c>
      <c r="P859" s="3" t="s">
        <v>4045</v>
      </c>
      <c r="Q859" s="1" t="b">
        <v>1</v>
      </c>
      <c r="R859" s="1" t="s">
        <v>4046</v>
      </c>
    </row>
    <row r="860" spans="1:18" x14ac:dyDescent="0.25">
      <c r="A860" s="2">
        <v>45173</v>
      </c>
      <c r="B860" s="1" t="s">
        <v>4047</v>
      </c>
      <c r="C860" s="1" t="str">
        <f ca="1">IFERROR(__xludf.DUMMYFUNCTION("GOOGLETRANSLATE(B860,""pl"",""en"")"),"New apartments in the development state")</f>
        <v>New apartments in the development state</v>
      </c>
      <c r="D860" s="1">
        <v>469000</v>
      </c>
      <c r="E860" s="1" t="s">
        <v>33</v>
      </c>
      <c r="F860" s="1">
        <v>67</v>
      </c>
      <c r="G860" s="1" t="s">
        <v>1236</v>
      </c>
      <c r="H860" s="1" t="str">
        <f ca="1">IFERROR(__xludf.DUMMYFUNCTION("GOOGLETRANSLATE(G860,""pl"",""en"")"),"Wrzosowiak, Częstochowa, Silesian Voivodeship")</f>
        <v>Wrzosowiak, Częstochowa, Silesian Voivodeship</v>
      </c>
      <c r="I860" s="1" t="s">
        <v>21</v>
      </c>
      <c r="J860" s="1" t="s">
        <v>21</v>
      </c>
      <c r="K860" s="1" t="s">
        <v>22</v>
      </c>
      <c r="L860" s="1" t="s">
        <v>4048</v>
      </c>
      <c r="M860" s="1">
        <v>3</v>
      </c>
      <c r="N860" s="1" t="s">
        <v>24</v>
      </c>
      <c r="O860" s="1" t="str">
        <f ca="1">IFERROR(__xludf.DUMMYFUNCTION("GOOGLETRANSLATE(N860,""pl"",""en"")"),"full ownership")</f>
        <v>full ownership</v>
      </c>
      <c r="P860" s="3" t="s">
        <v>4049</v>
      </c>
      <c r="Q860" s="1" t="b">
        <v>1</v>
      </c>
      <c r="R860" s="1" t="s">
        <v>4050</v>
      </c>
    </row>
    <row r="861" spans="1:18" x14ac:dyDescent="0.25">
      <c r="A861" s="2">
        <v>45173</v>
      </c>
      <c r="B861" s="1" t="s">
        <v>4051</v>
      </c>
      <c r="C861" s="1" t="str">
        <f ca="1">IFERROR(__xludf.DUMMYFUNCTION("GOOGLETRANSLATE(B861,""pl"",""en"")"),"Masovian Park Practical apartment GB.307")</f>
        <v>Masovian Park Practical apartment GB.307</v>
      </c>
      <c r="D861" s="1">
        <v>640320</v>
      </c>
      <c r="E861" s="1" t="s">
        <v>19</v>
      </c>
      <c r="F861" s="1">
        <v>69.599999999999994</v>
      </c>
      <c r="G861" s="1" t="s">
        <v>4052</v>
      </c>
      <c r="H861" s="1" t="str">
        <f ca="1">IFERROR(__xludf.DUMMYFUNCTION("GOOGLETRANSLATE(G861,""pl"",""en"")"),"street. Mazowiecka, Kołobrzeg, Kołobrzeski, West Pomeranian Voivodeship")</f>
        <v>street. Mazowiecka, Kołobrzeg, Kołobrzeski, West Pomeranian Voivodeship</v>
      </c>
      <c r="I861" s="1" t="s">
        <v>21</v>
      </c>
      <c r="J861" s="1" t="s">
        <v>21</v>
      </c>
      <c r="K861" s="1" t="s">
        <v>194</v>
      </c>
      <c r="L861" s="1" t="s">
        <v>4053</v>
      </c>
      <c r="M861" s="1">
        <v>3</v>
      </c>
      <c r="N861" s="1" t="s">
        <v>24</v>
      </c>
      <c r="O861" s="1" t="str">
        <f ca="1">IFERROR(__xludf.DUMMYFUNCTION("GOOGLETRANSLATE(N861,""pl"",""en"")"),"full ownership")</f>
        <v>full ownership</v>
      </c>
      <c r="P861" s="3" t="s">
        <v>4054</v>
      </c>
      <c r="Q861" s="1" t="b">
        <v>1</v>
      </c>
      <c r="R861" s="1" t="s">
        <v>4055</v>
      </c>
    </row>
    <row r="862" spans="1:18" x14ac:dyDescent="0.25">
      <c r="A862" s="2">
        <v>45173</v>
      </c>
      <c r="B862" s="1" t="s">
        <v>4056</v>
      </c>
      <c r="C862" s="1" t="str">
        <f ca="1">IFERROR(__xludf.DUMMYFUNCTION("GOOGLETRANSLATE(B862,""pl"",""en"")"),"Modern housing estate, good price")</f>
        <v>Modern housing estate, good price</v>
      </c>
      <c r="D862" s="1">
        <v>655637</v>
      </c>
      <c r="E862" s="1" t="s">
        <v>19</v>
      </c>
      <c r="F862" s="1">
        <v>76.06</v>
      </c>
      <c r="G862" s="1" t="s">
        <v>4057</v>
      </c>
      <c r="H862" s="1" t="str">
        <f ca="1">IFERROR(__xludf.DUMMYFUNCTION("GOOGLETRANSLATE(G862,""pl"",""en"")"),"street. Tadeusz Kościuszko, Smętowo, Kartuzy, Kartuski, Pomeranian")</f>
        <v>street. Tadeusz Kościuszko, Smętowo, Kartuzy, Kartuski, Pomeranian</v>
      </c>
      <c r="I862" s="1" t="s">
        <v>21</v>
      </c>
      <c r="J862" s="1" t="s">
        <v>21</v>
      </c>
      <c r="K862" s="1" t="s">
        <v>22</v>
      </c>
      <c r="L862" s="1" t="s">
        <v>4058</v>
      </c>
      <c r="M862" s="1">
        <v>4</v>
      </c>
      <c r="N862" s="1" t="s">
        <v>24</v>
      </c>
      <c r="O862" s="1" t="str">
        <f ca="1">IFERROR(__xludf.DUMMYFUNCTION("GOOGLETRANSLATE(N862,""pl"",""en"")"),"full ownership")</f>
        <v>full ownership</v>
      </c>
      <c r="P862" s="3" t="s">
        <v>4059</v>
      </c>
      <c r="Q862" s="1" t="b">
        <v>1</v>
      </c>
      <c r="R862" s="1" t="s">
        <v>4060</v>
      </c>
    </row>
    <row r="863" spans="1:18" x14ac:dyDescent="0.25">
      <c r="A863" s="2">
        <v>45173</v>
      </c>
      <c r="B863" s="1" t="s">
        <v>4061</v>
      </c>
      <c r="C863" s="1" t="str">
        <f ca="1">IFERROR(__xludf.DUMMYFUNCTION("GOOGLETRANSLATE(B863,""pl"",""en"")"),"Modern houses 120m2 Swoszowice- Kraków")</f>
        <v>Modern houses 120m2 Swoszowice- Kraków</v>
      </c>
      <c r="D863" s="1">
        <v>1100000</v>
      </c>
      <c r="E863" s="1" t="s">
        <v>19</v>
      </c>
      <c r="F863" s="1">
        <v>120</v>
      </c>
      <c r="G863" s="1" t="s">
        <v>4799</v>
      </c>
      <c r="H863" s="1" t="str">
        <f ca="1">IFERROR(__xludf.DUMMYFUNCTION("GOOGLETRANSLATE(G863,""pl"",""en"")"),"street. Mirosława Krzyżański, Wróblowice, Swoszowice, Kraków, Lesser Poland")</f>
        <v>street. Mirosława Krzyżański, Wróblowice, Swoszowice, Kraków, Lesser Poland</v>
      </c>
      <c r="I863" s="1" t="b">
        <v>1</v>
      </c>
      <c r="J863" s="1" t="s">
        <v>21</v>
      </c>
      <c r="K863" s="1" t="s">
        <v>22</v>
      </c>
      <c r="L863" s="1" t="s">
        <v>4062</v>
      </c>
      <c r="M863" s="1">
        <v>4</v>
      </c>
      <c r="N863" s="1" t="s">
        <v>21</v>
      </c>
      <c r="O863" s="1" t="str">
        <f ca="1">IFERROR(__xludf.DUMMYFUNCTION("GOOGLETRANSLATE(N863,""pl"",""en"")"),"null")</f>
        <v>null</v>
      </c>
      <c r="P863" s="3" t="s">
        <v>4063</v>
      </c>
      <c r="Q863" s="1" t="b">
        <v>1</v>
      </c>
      <c r="R863" s="1" t="s">
        <v>4064</v>
      </c>
    </row>
    <row r="864" spans="1:18" x14ac:dyDescent="0.25">
      <c r="A864" s="2">
        <v>45173</v>
      </c>
      <c r="B864" s="1" t="s">
        <v>4065</v>
      </c>
      <c r="C864" s="1" t="str">
        <f ca="1">IFERROR(__xludf.DUMMYFUNCTION("GOOGLETRANSLATE(B864,""pl"",""en"")"),"Modern M5, 92 m2, two -level loft")</f>
        <v>Modern M5, 92 m2, two -level loft</v>
      </c>
      <c r="D864" s="1">
        <v>679000</v>
      </c>
      <c r="E864" s="1" t="s">
        <v>33</v>
      </c>
      <c r="F864" s="1">
        <v>92.03</v>
      </c>
      <c r="G864" s="1" t="s">
        <v>4066</v>
      </c>
      <c r="H864" s="1" t="str">
        <f ca="1">IFERROR(__xludf.DUMMYFUNCTION("GOOGLETRANSLATE(G864,""pl"",""en"")"),"street. Powstańców Warszawy, Łochowo, Białe Błota, Bydgoszcz, Kujawsko-Pomeranian Voivodeship")</f>
        <v>street. Powstańców Warszawy, Łochowo, Białe Błota, Bydgoszcz, Kujawsko-Pomeranian Voivodeship</v>
      </c>
      <c r="I864" s="1" t="s">
        <v>21</v>
      </c>
      <c r="J864" s="1" t="s">
        <v>21</v>
      </c>
      <c r="K864" s="1" t="s">
        <v>22</v>
      </c>
      <c r="L864" s="1" t="s">
        <v>4067</v>
      </c>
      <c r="M864" s="1">
        <v>5</v>
      </c>
      <c r="N864" s="1" t="s">
        <v>24</v>
      </c>
      <c r="O864" s="1" t="str">
        <f ca="1">IFERROR(__xludf.DUMMYFUNCTION("GOOGLETRANSLATE(N864,""pl"",""en"")"),"full ownership")</f>
        <v>full ownership</v>
      </c>
      <c r="P864" s="3" t="s">
        <v>4068</v>
      </c>
      <c r="Q864" s="1" t="b">
        <v>1</v>
      </c>
      <c r="R864" s="1" t="s">
        <v>4069</v>
      </c>
    </row>
    <row r="865" spans="1:18" x14ac:dyDescent="0.25">
      <c r="A865" s="2">
        <v>45308</v>
      </c>
      <c r="B865" s="1" t="s">
        <v>4070</v>
      </c>
      <c r="C865" s="1" t="str">
        <f ca="1">IFERROR(__xludf.DUMMYFUNCTION("GOOGLETRANSLATE(B865,""pl"",""en"")"),"New Year's discount days! Discounts up to 120,000!")</f>
        <v>New Year's discount days! Discounts up to 120,000!</v>
      </c>
      <c r="D865" s="1">
        <v>575544</v>
      </c>
      <c r="E865" s="1" t="s">
        <v>19</v>
      </c>
      <c r="F865" s="1">
        <v>57.91</v>
      </c>
      <c r="G865" s="1" t="s">
        <v>130</v>
      </c>
      <c r="H865" s="1" t="str">
        <f ca="1">IFERROR(__xludf.DUMMYFUNCTION("GOOGLETRANSLATE(G865,""pl"",""en"")"),"Ujeścisko-Łostowice, Gdańsk, Pomeranian Voivodeship")</f>
        <v>Ujeścisko-Łostowice, Gdańsk, Pomeranian Voivodeship</v>
      </c>
      <c r="I865" s="1" t="s">
        <v>21</v>
      </c>
      <c r="J865" s="1" t="s">
        <v>21</v>
      </c>
      <c r="K865" s="1" t="s">
        <v>22</v>
      </c>
      <c r="L865" s="1" t="s">
        <v>4071</v>
      </c>
      <c r="M865" s="1">
        <v>3</v>
      </c>
      <c r="N865" s="1" t="s">
        <v>24</v>
      </c>
      <c r="O865" s="1" t="str">
        <f ca="1">IFERROR(__xludf.DUMMYFUNCTION("GOOGLETRANSLATE(N865,""pl"",""en"")"),"full ownership")</f>
        <v>full ownership</v>
      </c>
      <c r="P865" s="3" t="s">
        <v>4072</v>
      </c>
      <c r="Q865" s="1" t="b">
        <v>1</v>
      </c>
      <c r="R865" s="1" t="s">
        <v>4073</v>
      </c>
    </row>
    <row r="866" spans="1:18" x14ac:dyDescent="0.25">
      <c r="A866" s="2">
        <v>45308</v>
      </c>
      <c r="B866" s="1" t="s">
        <v>4074</v>
      </c>
      <c r="C866" s="1" t="str">
        <f ca="1">IFERROR(__xludf.DUMMYFUNCTION("GOOGLETRANSLATE(B866,""pl"",""en"")"),"Investment 5 rooms Prague South")</f>
        <v>Investment 5 rooms Prague South</v>
      </c>
      <c r="D866" s="1">
        <v>730000</v>
      </c>
      <c r="E866" s="1" t="s">
        <v>33</v>
      </c>
      <c r="F866" s="1">
        <v>57</v>
      </c>
      <c r="G866" s="1" t="s">
        <v>4075</v>
      </c>
      <c r="H866" s="1" t="str">
        <f ca="1">IFERROR(__xludf.DUMMYFUNCTION("GOOGLETRANSLATE(G866,""pl"",""en"")"),"street. Bracławska, Gocław, Praga-Południe, Warsaw, Masovian Voivodeship")</f>
        <v>street. Bracławska, Gocław, Praga-Południe, Warsaw, Masovian Voivodeship</v>
      </c>
      <c r="I866" s="1" t="b">
        <v>1</v>
      </c>
      <c r="J866" s="1" t="s">
        <v>21</v>
      </c>
      <c r="K866" s="1" t="s">
        <v>22</v>
      </c>
      <c r="L866" s="1" t="s">
        <v>4076</v>
      </c>
      <c r="M866" s="1">
        <v>5</v>
      </c>
      <c r="N866" s="1" t="s">
        <v>85</v>
      </c>
      <c r="O866" s="1" t="str">
        <f ca="1">IFERROR(__xludf.DUMMYFUNCTION("GOOGLETRANSLATE(N866,""pl"",""en"")"),"Cooperative ownership of the right to the premises")</f>
        <v>Cooperative ownership of the right to the premises</v>
      </c>
      <c r="P866" s="3" t="s">
        <v>4077</v>
      </c>
      <c r="Q866" s="1" t="b">
        <v>1</v>
      </c>
      <c r="R866" s="1" t="s">
        <v>4078</v>
      </c>
    </row>
    <row r="867" spans="1:18" x14ac:dyDescent="0.25">
      <c r="A867" s="2">
        <v>45308</v>
      </c>
      <c r="B867" s="1" t="s">
        <v>512</v>
      </c>
      <c r="C867" s="1" t="str">
        <f ca="1">IFERROR(__xludf.DUMMYFUNCTION("GOOGLETRANSLATE(B867,""pl"",""en"")"),"Bielskie Tarasy apartment 3 room New investment")</f>
        <v>Bielskie Tarasy apartment 3 room New investment</v>
      </c>
      <c r="D867" s="1">
        <v>555930</v>
      </c>
      <c r="E867" s="1" t="s">
        <v>19</v>
      </c>
      <c r="F867" s="1">
        <v>61.77</v>
      </c>
      <c r="G867" s="1" t="s">
        <v>513</v>
      </c>
      <c r="H867" s="1" t="str">
        <f ca="1">IFERROR(__xludf.DUMMYFUNCTION("GOOGLETRANSLATE(G867,""pl"",""en"")"),"street. Pillarowa, Stare Bielsko, Bielsko-Biała, Silesian Voivodeship")</f>
        <v>street. Pillarowa, Stare Bielsko, Bielsko-Biała, Silesian Voivodeship</v>
      </c>
      <c r="I867" s="1" t="s">
        <v>21</v>
      </c>
      <c r="J867" s="1" t="s">
        <v>21</v>
      </c>
      <c r="K867" s="1" t="s">
        <v>194</v>
      </c>
      <c r="L867" s="1" t="s">
        <v>4079</v>
      </c>
      <c r="M867" s="1">
        <v>3</v>
      </c>
      <c r="N867" s="1" t="s">
        <v>24</v>
      </c>
      <c r="O867" s="1" t="str">
        <f ca="1">IFERROR(__xludf.DUMMYFUNCTION("GOOGLETRANSLATE(N867,""pl"",""en"")"),"full ownership")</f>
        <v>full ownership</v>
      </c>
      <c r="P867" s="3" t="s">
        <v>4080</v>
      </c>
      <c r="Q867" s="1" t="b">
        <v>1</v>
      </c>
      <c r="R867" s="1" t="s">
        <v>4081</v>
      </c>
    </row>
    <row r="868" spans="1:18" x14ac:dyDescent="0.25">
      <c r="A868" s="2">
        <v>45308</v>
      </c>
      <c r="B868" s="1" t="s">
        <v>4082</v>
      </c>
      <c r="C868" s="1" t="str">
        <f ca="1">IFERROR(__xludf.DUMMYFUNCTION("GOOGLETRANSLATE(B868,""pl"",""en"")"),"Apartment 3 rooms and premium and maple standard")</f>
        <v>Apartment 3 rooms and premium and maple standard</v>
      </c>
      <c r="D868" s="1">
        <v>515000</v>
      </c>
      <c r="E868" s="1" t="s">
        <v>33</v>
      </c>
      <c r="F868" s="1">
        <v>59.5</v>
      </c>
      <c r="G868" s="1" t="s">
        <v>4083</v>
      </c>
      <c r="H868" s="1" t="str">
        <f ca="1">IFERROR(__xludf.DUMMYFUNCTION("GOOGLETRANSLATE(G868,""pl"",""en"")"),"Uroczysko, Kielce, Świętokrzyskie")</f>
        <v>Uroczysko, Kielce, Świętokrzyskie</v>
      </c>
      <c r="I868" s="1" t="s">
        <v>21</v>
      </c>
      <c r="J868" s="1" t="s">
        <v>21</v>
      </c>
      <c r="K868" s="1" t="s">
        <v>45</v>
      </c>
      <c r="L868" s="1" t="s">
        <v>4084</v>
      </c>
      <c r="M868" s="1">
        <v>3</v>
      </c>
      <c r="N868" s="1" t="s">
        <v>24</v>
      </c>
      <c r="O868" s="1" t="str">
        <f ca="1">IFERROR(__xludf.DUMMYFUNCTION("GOOGLETRANSLATE(N868,""pl"",""en"")"),"full ownership")</f>
        <v>full ownership</v>
      </c>
      <c r="P868" s="3" t="s">
        <v>4085</v>
      </c>
      <c r="Q868" s="1" t="b">
        <v>1</v>
      </c>
      <c r="R868" s="1" t="s">
        <v>4086</v>
      </c>
    </row>
    <row r="869" spans="1:18" x14ac:dyDescent="0.25">
      <c r="A869" s="2">
        <v>45308</v>
      </c>
      <c r="B869" s="1" t="s">
        <v>4087</v>
      </c>
      <c r="C869" s="1" t="str">
        <f ca="1">IFERROR(__xludf.DUMMYFUNCTION("GOOGLETRANSLATE(B869,""pl"",""en"")"),"A cozy apartment in Sopot - stone stream")</f>
        <v>A cozy apartment in Sopot - stone stream</v>
      </c>
      <c r="D869" s="1">
        <v>685000</v>
      </c>
      <c r="E869" s="1" t="s">
        <v>33</v>
      </c>
      <c r="F869" s="1">
        <v>45.14</v>
      </c>
      <c r="G869" s="1" t="s">
        <v>4088</v>
      </c>
      <c r="H869" s="1" t="str">
        <f ca="1">IFERROR(__xludf.DUMMYFUNCTION("GOOGLETRANSLATE(G869,""pl"",""en"")"),"street. Józef Kraszewski, Kamienny Potok, Sopot, Pomeranian")</f>
        <v>street. Józef Kraszewski, Kamienny Potok, Sopot, Pomeranian</v>
      </c>
      <c r="I869" s="1" t="s">
        <v>21</v>
      </c>
      <c r="J869" s="1" t="s">
        <v>21</v>
      </c>
      <c r="K869" s="1" t="s">
        <v>22</v>
      </c>
      <c r="L869" s="1" t="s">
        <v>4089</v>
      </c>
      <c r="M869" s="1">
        <v>2</v>
      </c>
      <c r="N869" s="1" t="s">
        <v>24</v>
      </c>
      <c r="O869" s="1" t="str">
        <f ca="1">IFERROR(__xludf.DUMMYFUNCTION("GOOGLETRANSLATE(N869,""pl"",""en"")"),"full ownership")</f>
        <v>full ownership</v>
      </c>
      <c r="P869" s="3" t="s">
        <v>4090</v>
      </c>
      <c r="Q869" s="1" t="b">
        <v>1</v>
      </c>
      <c r="R869" s="1" t="s">
        <v>4091</v>
      </c>
    </row>
    <row r="870" spans="1:18" x14ac:dyDescent="0.25">
      <c r="A870" s="2">
        <v>45308</v>
      </c>
      <c r="B870" s="1" t="s">
        <v>4092</v>
      </c>
      <c r="C870" s="1" t="str">
        <f ca="1">IFERROR(__xludf.DUMMYFUNCTION("GOOGLETRANSLATE(B870,""pl"",""en"")"),"Łazaarz - 4 Pokje - great location!")</f>
        <v>Łazaarz - 4 Pokje - great location!</v>
      </c>
      <c r="D870" s="1">
        <v>544000</v>
      </c>
      <c r="E870" s="1" t="s">
        <v>33</v>
      </c>
      <c r="F870" s="1">
        <v>54.11</v>
      </c>
      <c r="G870" s="1" t="s">
        <v>4820</v>
      </c>
      <c r="H870" s="1" t="str">
        <f ca="1">IFERROR(__xludf.DUMMYFUNCTION("GOOGLETRANSLATE(G870,""pl"",""en"")"),"Łazarz, Grunwald, Poznań, Greater Poland")</f>
        <v>Łazarz, Grunwald, Poznań, Greater Poland</v>
      </c>
      <c r="I870" s="1" t="s">
        <v>21</v>
      </c>
      <c r="J870" s="1" t="s">
        <v>21</v>
      </c>
      <c r="K870" s="1" t="s">
        <v>22</v>
      </c>
      <c r="L870" s="1" t="s">
        <v>4093</v>
      </c>
      <c r="M870" s="1">
        <v>4</v>
      </c>
      <c r="N870" s="1" t="s">
        <v>24</v>
      </c>
      <c r="O870" s="1" t="str">
        <f ca="1">IFERROR(__xludf.DUMMYFUNCTION("GOOGLETRANSLATE(N870,""pl"",""en"")"),"full ownership")</f>
        <v>full ownership</v>
      </c>
      <c r="P870" s="3" t="s">
        <v>4094</v>
      </c>
      <c r="Q870" s="1" t="b">
        <v>1</v>
      </c>
      <c r="R870" s="1" t="s">
        <v>4095</v>
      </c>
    </row>
    <row r="871" spans="1:18" x14ac:dyDescent="0.25">
      <c r="A871" s="2">
        <v>45308</v>
      </c>
      <c r="B871" s="1" t="s">
        <v>4096</v>
      </c>
      <c r="C871" s="1" t="str">
        <f ca="1">IFERROR(__xludf.DUMMYFUNCTION("GOOGLETRANSLATE(B871,""pl"",""en"")"),"2-level apartment, ul. Składowa, Zielona Góra")</f>
        <v>2-level apartment, ul. Składowa, Zielona Góra</v>
      </c>
      <c r="D871" s="1">
        <v>779000</v>
      </c>
      <c r="E871" s="1" t="s">
        <v>33</v>
      </c>
      <c r="F871" s="1">
        <v>115</v>
      </c>
      <c r="G871" s="1" t="s">
        <v>4849</v>
      </c>
      <c r="H871" s="1" t="str">
        <f ca="1">IFERROR(__xludf.DUMMYFUNCTION("GOOGLETRANSLATE(G871,""pl"",""en"")"),"street. Składowa, Centrum, Zielona Góra, Lubusz Voivodeship")</f>
        <v>street. Składowa, Centrum, Zielona Góra, Lubusz Voivodeship</v>
      </c>
      <c r="I871" s="1" t="s">
        <v>21</v>
      </c>
      <c r="J871" s="1" t="s">
        <v>21</v>
      </c>
      <c r="K871" s="1" t="s">
        <v>22</v>
      </c>
      <c r="L871" s="1" t="s">
        <v>4097</v>
      </c>
      <c r="M871" s="1">
        <v>4</v>
      </c>
      <c r="N871" s="1" t="s">
        <v>24</v>
      </c>
      <c r="O871" s="1" t="str">
        <f ca="1">IFERROR(__xludf.DUMMYFUNCTION("GOOGLETRANSLATE(N871,""pl"",""en"")"),"full ownership")</f>
        <v>full ownership</v>
      </c>
      <c r="P871" s="3" t="s">
        <v>4098</v>
      </c>
      <c r="Q871" s="1" t="b">
        <v>1</v>
      </c>
      <c r="R871" s="1" t="s">
        <v>4099</v>
      </c>
    </row>
    <row r="872" spans="1:18" x14ac:dyDescent="0.25">
      <c r="A872" s="2">
        <v>45173</v>
      </c>
      <c r="B872" s="1" t="s">
        <v>4100</v>
      </c>
      <c r="C872" s="1" t="str">
        <f ca="1">IFERROR(__xludf.DUMMYFUNCTION("GOOGLETRANSLATE(B872,""pl"",""en"")"),"New apartments in Czechowice")</f>
        <v>New apartments in Czechowice</v>
      </c>
      <c r="D872" s="1">
        <v>386900</v>
      </c>
      <c r="E872" s="1" t="s">
        <v>19</v>
      </c>
      <c r="F872" s="1">
        <v>64.5</v>
      </c>
      <c r="G872" s="1" t="s">
        <v>4101</v>
      </c>
      <c r="H872" s="1" t="str">
        <f ca="1">IFERROR(__xludf.DUMMYFUNCTION("GOOGLETRANSLATE(G872,""pl"",""en"")"),"Czechowice-Dziedzice, Czechowice-Dziedzice, Bielski, Silesian Voivodeship")</f>
        <v>Czechowice-Dziedzice, Czechowice-Dziedzice, Bielski, Silesian Voivodeship</v>
      </c>
      <c r="I872" s="1" t="s">
        <v>21</v>
      </c>
      <c r="J872" s="1" t="s">
        <v>21</v>
      </c>
      <c r="K872" s="1" t="s">
        <v>22</v>
      </c>
      <c r="L872" s="1" t="s">
        <v>4102</v>
      </c>
      <c r="M872" s="1">
        <v>3</v>
      </c>
      <c r="N872" s="1" t="s">
        <v>24</v>
      </c>
      <c r="O872" s="1" t="str">
        <f ca="1">IFERROR(__xludf.DUMMYFUNCTION("GOOGLETRANSLATE(N872,""pl"",""en"")"),"full ownership")</f>
        <v>full ownership</v>
      </c>
      <c r="P872" s="3" t="s">
        <v>4103</v>
      </c>
      <c r="Q872" s="1" t="b">
        <v>1</v>
      </c>
      <c r="R872" s="1" t="s">
        <v>4104</v>
      </c>
    </row>
    <row r="873" spans="1:18" x14ac:dyDescent="0.25">
      <c r="A873" s="2">
        <v>45173</v>
      </c>
      <c r="B873" s="1" t="s">
        <v>4105</v>
      </c>
      <c r="C873" s="1" t="str">
        <f ca="1">IFERROR(__xludf.DUMMYFUNCTION("GOOGLETRANSLATE(B873,""pl"",""en"")"),"New 3 rooms in Gryfino")</f>
        <v>New 3 rooms in Gryfino</v>
      </c>
      <c r="D873" s="1">
        <v>412925</v>
      </c>
      <c r="E873" s="1" t="s">
        <v>19</v>
      </c>
      <c r="F873" s="1">
        <v>49.75</v>
      </c>
      <c r="G873" s="1" t="s">
        <v>4106</v>
      </c>
      <c r="H873" s="1" t="str">
        <f ca="1">IFERROR(__xludf.DUMMYFUNCTION("GOOGLETRANSLATE(G873,""pl"",""en"")"),"Gryfino, Gryfino, Gryfiński, West Pomeranian Voivodeship")</f>
        <v>Gryfino, Gryfino, Gryfiński, West Pomeranian Voivodeship</v>
      </c>
      <c r="I873" s="1" t="s">
        <v>21</v>
      </c>
      <c r="J873" s="1" t="s">
        <v>21</v>
      </c>
      <c r="K873" s="1" t="s">
        <v>22</v>
      </c>
      <c r="L873" s="1" t="s">
        <v>4107</v>
      </c>
      <c r="M873" s="1">
        <v>3</v>
      </c>
      <c r="N873" s="1" t="s">
        <v>24</v>
      </c>
      <c r="O873" s="1" t="str">
        <f ca="1">IFERROR(__xludf.DUMMYFUNCTION("GOOGLETRANSLATE(N873,""pl"",""en"")"),"full ownership")</f>
        <v>full ownership</v>
      </c>
      <c r="P873" s="3" t="s">
        <v>4108</v>
      </c>
      <c r="Q873" s="1" t="b">
        <v>1</v>
      </c>
      <c r="R873" s="1" t="s">
        <v>4109</v>
      </c>
    </row>
    <row r="874" spans="1:18" x14ac:dyDescent="0.25">
      <c r="A874" s="2">
        <v>45173</v>
      </c>
      <c r="B874" s="1" t="s">
        <v>4110</v>
      </c>
      <c r="C874" s="1" t="str">
        <f ca="1">IFERROR(__xludf.DUMMYFUNCTION("GOOGLETRANSLATE(B874,""pl"",""en"")"),"Javorova - 20b/m47")</f>
        <v>Javorova - 20b/m47</v>
      </c>
      <c r="D874" s="1">
        <v>616400</v>
      </c>
      <c r="E874" s="1" t="s">
        <v>19</v>
      </c>
      <c r="F874" s="1">
        <v>56</v>
      </c>
      <c r="G874" s="1" t="s">
        <v>4111</v>
      </c>
      <c r="H874" s="1" t="str">
        <f ca="1">IFERROR(__xludf.DUMMYFUNCTION("GOOGLETRANSLATE(G874,""pl"",""en"")"),"street. Jaworowa, Jasień, Gdańsk, Pomeranian Voivodeship")</f>
        <v>street. Jaworowa, Jasień, Gdańsk, Pomeranian Voivodeship</v>
      </c>
      <c r="I874" s="1" t="b">
        <v>1</v>
      </c>
      <c r="J874" s="1" t="s">
        <v>21</v>
      </c>
      <c r="K874" s="1" t="s">
        <v>194</v>
      </c>
      <c r="L874" s="1" t="s">
        <v>4112</v>
      </c>
      <c r="M874" s="1">
        <v>3</v>
      </c>
      <c r="N874" s="1" t="s">
        <v>24</v>
      </c>
      <c r="O874" s="1" t="str">
        <f ca="1">IFERROR(__xludf.DUMMYFUNCTION("GOOGLETRANSLATE(N874,""pl"",""en"")"),"full ownership")</f>
        <v>full ownership</v>
      </c>
      <c r="P874" s="3" t="s">
        <v>4113</v>
      </c>
      <c r="Q874" s="1" t="b">
        <v>1</v>
      </c>
      <c r="R874" s="1" t="s">
        <v>4114</v>
      </c>
    </row>
    <row r="875" spans="1:18" x14ac:dyDescent="0.25">
      <c r="A875" s="2">
        <v>45173</v>
      </c>
      <c r="B875" s="1" t="s">
        <v>4115</v>
      </c>
      <c r="C875" s="1" t="str">
        <f ca="1">IFERROR(__xludf.DUMMYFUNCTION("GOOGLETRANSLATE(B875,""pl"",""en"")"),"Segment with a garden and a utility attic.")</f>
        <v>Segment with a garden and a utility attic.</v>
      </c>
      <c r="D875" s="1">
        <v>1535000</v>
      </c>
      <c r="E875" s="1" t="s">
        <v>33</v>
      </c>
      <c r="F875" s="1">
        <v>190.8</v>
      </c>
      <c r="G875" s="1" t="s">
        <v>4116</v>
      </c>
      <c r="H875" s="1" t="str">
        <f ca="1">IFERROR(__xludf.DUMMYFUNCTION("GOOGLETRANSLATE(G875,""pl"",""en"")"),"Olszynka Grochowska, Praga-Południe, Warsaw, Masovian Voivodeship")</f>
        <v>Olszynka Grochowska, Praga-Południe, Warsaw, Masovian Voivodeship</v>
      </c>
      <c r="I875" s="1" t="b">
        <v>1</v>
      </c>
      <c r="J875" s="1" t="s">
        <v>21</v>
      </c>
      <c r="K875" s="1" t="s">
        <v>22</v>
      </c>
      <c r="L875" s="1" t="s">
        <v>4117</v>
      </c>
      <c r="M875" s="1">
        <v>7</v>
      </c>
      <c r="N875" s="1" t="s">
        <v>21</v>
      </c>
      <c r="O875" s="1" t="str">
        <f ca="1">IFERROR(__xludf.DUMMYFUNCTION("GOOGLETRANSLATE(N875,""pl"",""en"")"),"null")</f>
        <v>null</v>
      </c>
      <c r="P875" s="3" t="s">
        <v>4118</v>
      </c>
      <c r="Q875" s="1" t="b">
        <v>1</v>
      </c>
      <c r="R875" s="1" t="s">
        <v>4119</v>
      </c>
    </row>
    <row r="876" spans="1:18" x14ac:dyDescent="0.25">
      <c r="A876" s="2">
        <v>45173</v>
      </c>
      <c r="B876" s="1" t="s">
        <v>4120</v>
      </c>
      <c r="C876" s="1" t="str">
        <f ca="1">IFERROR(__xludf.DUMMYFUNCTION("GOOGLETRANSLATE(B876,""pl"",""en"")"),"Studio apartment Biały Prądnik green")</f>
        <v>Studio apartment Biały Prądnik green</v>
      </c>
      <c r="D876" s="1">
        <v>419000</v>
      </c>
      <c r="E876" s="1" t="s">
        <v>33</v>
      </c>
      <c r="F876" s="1">
        <v>33.72</v>
      </c>
      <c r="G876" s="1" t="s">
        <v>4821</v>
      </c>
      <c r="H876" s="1" t="str">
        <f ca="1">IFERROR(__xludf.DUMMYFUNCTION("GOOGLETRANSLATE(G876,""pl"",""en"")"),"Tony, Prądnik Biały, Kraków, Lesser Poland")</f>
        <v>Tony, Prądnik Biały, Kraków, Lesser Poland</v>
      </c>
      <c r="I876" s="1" t="s">
        <v>21</v>
      </c>
      <c r="J876" s="1" t="s">
        <v>21</v>
      </c>
      <c r="K876" s="1" t="s">
        <v>22</v>
      </c>
      <c r="L876" s="1" t="s">
        <v>4121</v>
      </c>
      <c r="M876" s="1">
        <v>1</v>
      </c>
      <c r="N876" s="1" t="s">
        <v>24</v>
      </c>
      <c r="O876" s="1" t="str">
        <f ca="1">IFERROR(__xludf.DUMMYFUNCTION("GOOGLETRANSLATE(N876,""pl"",""en"")"),"full ownership")</f>
        <v>full ownership</v>
      </c>
      <c r="P876" s="3" t="s">
        <v>4122</v>
      </c>
      <c r="Q876" s="1" t="b">
        <v>1</v>
      </c>
      <c r="R876" s="1" t="s">
        <v>4123</v>
      </c>
    </row>
    <row r="877" spans="1:18" x14ac:dyDescent="0.25">
      <c r="A877" s="2">
        <v>45173</v>
      </c>
      <c r="B877" s="1" t="s">
        <v>4124</v>
      </c>
      <c r="C877" s="1" t="str">
        <f ca="1">IFERROR(__xludf.DUMMYFUNCTION("GOOGLETRANSLATE(B877,""pl"",""en"")"),"Preliminary contract house included in the price of the apartment! Strongly")</f>
        <v>Preliminary contract house included in the price of the apartment! Strongly</v>
      </c>
      <c r="D877" s="1">
        <v>465000</v>
      </c>
      <c r="E877" s="1" t="s">
        <v>33</v>
      </c>
      <c r="F877" s="1">
        <v>90.31</v>
      </c>
      <c r="G877" s="1" t="s">
        <v>4125</v>
      </c>
      <c r="H877" s="1" t="str">
        <f ca="1">IFERROR(__xludf.DUMMYFUNCTION("GOOGLETRANSLATE(G877,""pl"",""en"")"),"Strong, Obrowo, Toruń, Kujawsko-Pomeranian Voivodeship")</f>
        <v>Strong, Obrowo, Toruń, Kujawsko-Pomeranian Voivodeship</v>
      </c>
      <c r="I877" s="1" t="b">
        <v>1</v>
      </c>
      <c r="J877" s="1" t="s">
        <v>21</v>
      </c>
      <c r="K877" s="1" t="s">
        <v>22</v>
      </c>
      <c r="L877" s="1" t="s">
        <v>4126</v>
      </c>
      <c r="M877" s="1">
        <v>3</v>
      </c>
      <c r="N877" s="1" t="s">
        <v>21</v>
      </c>
      <c r="O877" s="1" t="str">
        <f ca="1">IFERROR(__xludf.DUMMYFUNCTION("GOOGLETRANSLATE(N877,""pl"",""en"")"),"null")</f>
        <v>null</v>
      </c>
      <c r="P877" s="3" t="s">
        <v>4127</v>
      </c>
      <c r="Q877" s="1" t="b">
        <v>1</v>
      </c>
      <c r="R877" s="1" t="s">
        <v>4128</v>
      </c>
    </row>
    <row r="878" spans="1:18" x14ac:dyDescent="0.25">
      <c r="A878" s="2">
        <v>45308</v>
      </c>
      <c r="B878" s="1" t="s">
        <v>4129</v>
      </c>
      <c r="C878" s="1" t="str">
        <f ca="1">IFERROR(__xludf.DUMMYFUNCTION("GOOGLETRANSLATE(B878,""pl"",""en"")"),"M2 in a great location")</f>
        <v>M2 in a great location</v>
      </c>
      <c r="D878" s="1">
        <v>350000</v>
      </c>
      <c r="E878" s="1" t="s">
        <v>33</v>
      </c>
      <c r="F878" s="1">
        <v>44.91</v>
      </c>
      <c r="G878" s="1" t="s">
        <v>4130</v>
      </c>
      <c r="H878" s="1" t="str">
        <f ca="1">IFERROR(__xludf.DUMMYFUNCTION("GOOGLETRANSLATE(G878,""pl"",""en"")"),"Sobieszów, Jelenia Góra, DolnoSilesian Voivodeship")</f>
        <v>Sobieszów, Jelenia Góra, DolnoSilesian Voivodeship</v>
      </c>
      <c r="I878" s="1" t="s">
        <v>21</v>
      </c>
      <c r="J878" s="1" t="s">
        <v>21</v>
      </c>
      <c r="K878" s="1" t="s">
        <v>22</v>
      </c>
      <c r="L878" s="1" t="s">
        <v>4131</v>
      </c>
      <c r="M878" s="1">
        <v>2</v>
      </c>
      <c r="N878" s="1" t="s">
        <v>24</v>
      </c>
      <c r="O878" s="1" t="str">
        <f ca="1">IFERROR(__xludf.DUMMYFUNCTION("GOOGLETRANSLATE(N878,""pl"",""en"")"),"full ownership")</f>
        <v>full ownership</v>
      </c>
      <c r="P878" s="3" t="s">
        <v>4132</v>
      </c>
      <c r="Q878" s="1" t="b">
        <v>1</v>
      </c>
      <c r="R878" s="1" t="s">
        <v>4133</v>
      </c>
    </row>
    <row r="879" spans="1:18" x14ac:dyDescent="0.25">
      <c r="A879" s="2">
        <v>45308</v>
      </c>
      <c r="B879" s="1" t="s">
        <v>4134</v>
      </c>
      <c r="C879" s="1" t="str">
        <f ca="1">IFERROR(__xludf.DUMMYFUNCTION("GOOGLETRANSLATE(B879,""pl"",""en"")"),"3 -room housing in Ochota, ul. Pruszkowska")</f>
        <v>3 -room housing in Ochota, ul. Pruszkowska</v>
      </c>
      <c r="D879" s="1">
        <v>705000</v>
      </c>
      <c r="E879" s="1" t="s">
        <v>33</v>
      </c>
      <c r="F879" s="1">
        <v>47.1</v>
      </c>
      <c r="G879" s="1" t="s">
        <v>4135</v>
      </c>
      <c r="H879" s="1" t="str">
        <f ca="1">IFERROR(__xludf.DUMMYFUNCTION("GOOGLETRANSLATE(G879,""pl"",""en"")"),"street. Pruszkowska, Rakowiec, Ochota, Warsaw, Masovian Voivodeship")</f>
        <v>street. Pruszkowska, Rakowiec, Ochota, Warsaw, Masovian Voivodeship</v>
      </c>
      <c r="I879" s="1" t="s">
        <v>21</v>
      </c>
      <c r="J879" s="1" t="s">
        <v>21</v>
      </c>
      <c r="K879" s="1" t="s">
        <v>22</v>
      </c>
      <c r="L879" s="1" t="s">
        <v>4136</v>
      </c>
      <c r="M879" s="1">
        <v>3</v>
      </c>
      <c r="N879" s="1" t="s">
        <v>85</v>
      </c>
      <c r="O879" s="1" t="str">
        <f ca="1">IFERROR(__xludf.DUMMYFUNCTION("GOOGLETRANSLATE(N879,""pl"",""en"")"),"Cooperative ownership of the right to the premises")</f>
        <v>Cooperative ownership of the right to the premises</v>
      </c>
      <c r="P879" s="3" t="s">
        <v>4137</v>
      </c>
      <c r="Q879" s="1" t="b">
        <v>1</v>
      </c>
      <c r="R879" s="1" t="s">
        <v>4138</v>
      </c>
    </row>
    <row r="880" spans="1:18" x14ac:dyDescent="0.25">
      <c r="A880" s="2">
        <v>45308</v>
      </c>
      <c r="B880" s="1" t="s">
        <v>4139</v>
      </c>
      <c r="C880" s="1" t="str">
        <f ca="1">IFERROR(__xludf.DUMMYFUNCTION("GOOGLETRANSLATE(B880,""pl"",""en"")"),"Wilda, ul. Dolna Wilda, 4 Pok, 91m2, park!")</f>
        <v>Wilda, ul. Dolna Wilda, 4 Pok, 91m2, park!</v>
      </c>
      <c r="D880" s="1">
        <v>794000</v>
      </c>
      <c r="E880" s="1" t="s">
        <v>33</v>
      </c>
      <c r="F880" s="1">
        <v>91</v>
      </c>
      <c r="G880" s="1" t="s">
        <v>4822</v>
      </c>
      <c r="H880" s="1" t="str">
        <f ca="1">IFERROR(__xludf.DUMMYFUNCTION("GOOGLETRANSLATE(G880,""pl"",""en"")"),"street. Dolna Wilda, Łęgi Dębinskie, Wilda, Poznań, Greater Poland")</f>
        <v>street. Dolna Wilda, Łęgi Dębinskie, Wilda, Poznań, Greater Poland</v>
      </c>
      <c r="I880" s="1" t="s">
        <v>21</v>
      </c>
      <c r="J880" s="1" t="s">
        <v>21</v>
      </c>
      <c r="K880" s="1" t="s">
        <v>22</v>
      </c>
      <c r="L880" s="1" t="s">
        <v>4140</v>
      </c>
      <c r="M880" s="1">
        <v>4</v>
      </c>
      <c r="N880" s="1" t="s">
        <v>24</v>
      </c>
      <c r="O880" s="1" t="str">
        <f ca="1">IFERROR(__xludf.DUMMYFUNCTION("GOOGLETRANSLATE(N880,""pl"",""en"")"),"full ownership")</f>
        <v>full ownership</v>
      </c>
      <c r="P880" s="3" t="s">
        <v>4141</v>
      </c>
      <c r="Q880" s="1" t="b">
        <v>1</v>
      </c>
      <c r="R880" s="1" t="s">
        <v>4142</v>
      </c>
    </row>
    <row r="881" spans="1:18" x14ac:dyDescent="0.25">
      <c r="A881" s="2">
        <v>45308</v>
      </c>
      <c r="B881" s="1" t="s">
        <v>4143</v>
      </c>
      <c r="C881" s="1" t="str">
        <f ca="1">IFERROR(__xludf.DUMMYFUNCTION("GOOGLETRANSLATE(B881,""pl"",""en"")"),"Apartment in Tylice")</f>
        <v>Apartment in Tylice</v>
      </c>
      <c r="D881" s="1">
        <v>289000</v>
      </c>
      <c r="E881" s="1" t="s">
        <v>33</v>
      </c>
      <c r="F881" s="1">
        <v>58.18</v>
      </c>
      <c r="G881" s="1" t="s">
        <v>4144</v>
      </c>
      <c r="H881" s="1" t="str">
        <f ca="1">IFERROR(__xludf.DUMMYFUNCTION("GOOGLETRANSLATE(G881,""pl"",""en"")"),"Tylice, Zgorzelec, Zgorzelecki, DolnoSilesian Voivodeship")</f>
        <v>Tylice, Zgorzelec, Zgorzelecki, DolnoSilesian Voivodeship</v>
      </c>
      <c r="I881" s="1" t="s">
        <v>21</v>
      </c>
      <c r="J881" s="1" t="s">
        <v>21</v>
      </c>
      <c r="K881" s="1" t="s">
        <v>22</v>
      </c>
      <c r="L881" s="1" t="s">
        <v>4145</v>
      </c>
      <c r="M881" s="1">
        <v>3</v>
      </c>
      <c r="N881" s="1" t="s">
        <v>24</v>
      </c>
      <c r="O881" s="1" t="str">
        <f ca="1">IFERROR(__xludf.DUMMYFUNCTION("GOOGLETRANSLATE(N881,""pl"",""en"")"),"full ownership")</f>
        <v>full ownership</v>
      </c>
      <c r="P881" s="3" t="s">
        <v>4146</v>
      </c>
      <c r="Q881" s="1" t="b">
        <v>1</v>
      </c>
      <c r="R881" s="1" t="s">
        <v>4147</v>
      </c>
    </row>
    <row r="882" spans="1:18" x14ac:dyDescent="0.25">
      <c r="A882" s="2">
        <v>45308</v>
      </c>
      <c r="B882" s="1" t="s">
        <v>4148</v>
      </c>
      <c r="C882" s="1" t="str">
        <f ca="1">IFERROR(__xludf.DUMMYFUNCTION("GOOGLETRANSLATE(B882,""pl"",""en"")"),"Knights of Naramowice + parking spaces included")</f>
        <v>Knights of Naramowice + parking spaces included</v>
      </c>
      <c r="D882" s="1">
        <v>373634</v>
      </c>
      <c r="E882" s="1" t="s">
        <v>19</v>
      </c>
      <c r="F882" s="1">
        <v>28.56</v>
      </c>
      <c r="G882" s="1" t="s">
        <v>4728</v>
      </c>
      <c r="H882" s="1" t="str">
        <f ca="1">IFERROR(__xludf.DUMMYFUNCTION("GOOGLETRANSLATE(G882,""pl"",""en"")"),"Naramowice, Old Town, Poznań, Greater Poland")</f>
        <v>Naramowice, Old Town, Poznań, Greater Poland</v>
      </c>
      <c r="I882" s="1" t="s">
        <v>21</v>
      </c>
      <c r="J882" s="1" t="s">
        <v>21</v>
      </c>
      <c r="K882" s="1" t="s">
        <v>22</v>
      </c>
      <c r="L882" s="1" t="s">
        <v>4149</v>
      </c>
      <c r="M882" s="1">
        <v>1</v>
      </c>
      <c r="N882" s="1" t="s">
        <v>24</v>
      </c>
      <c r="O882" s="1" t="str">
        <f ca="1">IFERROR(__xludf.DUMMYFUNCTION("GOOGLETRANSLATE(N882,""pl"",""en"")"),"full ownership")</f>
        <v>full ownership</v>
      </c>
      <c r="P882" s="3" t="s">
        <v>4150</v>
      </c>
      <c r="Q882" s="1" t="b">
        <v>1</v>
      </c>
      <c r="R882" s="1" t="s">
        <v>4151</v>
      </c>
    </row>
    <row r="883" spans="1:18" x14ac:dyDescent="0.25">
      <c r="A883" s="2">
        <v>45308</v>
      </c>
      <c r="B883" s="1" t="s">
        <v>4152</v>
      </c>
      <c r="C883" s="1" t="str">
        <f ca="1">IFERROR(__xludf.DUMMYFUNCTION("GOOGLETRANSLATE(B883,""pl"",""en"")"),"A flat with a great view in the heart of Wola")</f>
        <v>A flat with a great view in the heart of Wola</v>
      </c>
      <c r="D883" s="1">
        <v>874000</v>
      </c>
      <c r="E883" s="1" t="s">
        <v>33</v>
      </c>
      <c r="F883" s="1">
        <v>56.39</v>
      </c>
      <c r="G883" s="1" t="s">
        <v>4153</v>
      </c>
      <c r="H883" s="1" t="str">
        <f ca="1">IFERROR(__xludf.DUMMYFUNCTION("GOOGLETRANSLATE(G883,""pl"",""en"")"),"street. Radziwie, Młynów, Wola, Warsaw, Masovian Voivodeship")</f>
        <v>street. Radziwie, Młynów, Wola, Warsaw, Masovian Voivodeship</v>
      </c>
      <c r="I883" s="1" t="b">
        <v>1</v>
      </c>
      <c r="J883" s="1" t="s">
        <v>21</v>
      </c>
      <c r="K883" s="1" t="s">
        <v>22</v>
      </c>
      <c r="L883" s="1" t="s">
        <v>4154</v>
      </c>
      <c r="M883" s="1">
        <v>2</v>
      </c>
      <c r="N883" s="1" t="s">
        <v>24</v>
      </c>
      <c r="O883" s="1" t="str">
        <f ca="1">IFERROR(__xludf.DUMMYFUNCTION("GOOGLETRANSLATE(N883,""pl"",""en"")"),"full ownership")</f>
        <v>full ownership</v>
      </c>
      <c r="P883" s="3" t="s">
        <v>4155</v>
      </c>
      <c r="Q883" s="1" t="b">
        <v>1</v>
      </c>
      <c r="R883" s="1" t="s">
        <v>4156</v>
      </c>
    </row>
    <row r="884" spans="1:18" x14ac:dyDescent="0.25">
      <c r="A884" s="2">
        <v>45308</v>
      </c>
      <c r="B884" s="1" t="s">
        <v>4157</v>
      </c>
      <c r="C884" s="1" t="str">
        <f ca="1">IFERROR(__xludf.DUMMYFUNCTION("GOOGLETRANSLATE(B884,""pl"",""en"")"),"3m! Closed housing estate Garden Klima!")</f>
        <v>3m! Closed housing estate Garden Klima!</v>
      </c>
      <c r="D884" s="1">
        <v>749000</v>
      </c>
      <c r="E884" s="1" t="s">
        <v>33</v>
      </c>
      <c r="F884" s="1">
        <v>52.06</v>
      </c>
      <c r="G884" s="1" t="s">
        <v>4823</v>
      </c>
      <c r="H884" s="1" t="str">
        <f ca="1">IFERROR(__xludf.DUMMYFUNCTION("GOOGLETRANSLATE(G884,""pl"",""en"")"),"Rżyka, Bieżanów-Prokocim, Kraków, Lesser Poland")</f>
        <v>Rżyka, Bieżanów-Prokocim, Kraków, Lesser Poland</v>
      </c>
      <c r="I884" s="1" t="b">
        <v>1</v>
      </c>
      <c r="J884" s="1" t="s">
        <v>21</v>
      </c>
      <c r="K884" s="1" t="s">
        <v>22</v>
      </c>
      <c r="L884" s="1" t="s">
        <v>4158</v>
      </c>
      <c r="M884" s="1">
        <v>3</v>
      </c>
      <c r="N884" s="1" t="s">
        <v>24</v>
      </c>
      <c r="O884" s="1" t="str">
        <f ca="1">IFERROR(__xludf.DUMMYFUNCTION("GOOGLETRANSLATE(N884,""pl"",""en"")"),"full ownership")</f>
        <v>full ownership</v>
      </c>
      <c r="P884" s="3" t="s">
        <v>4159</v>
      </c>
      <c r="Q884" s="1" t="b">
        <v>1</v>
      </c>
      <c r="R884" s="1" t="s">
        <v>4160</v>
      </c>
    </row>
    <row r="885" spans="1:18" x14ac:dyDescent="0.25">
      <c r="A885" s="2">
        <v>45308</v>
      </c>
      <c r="B885" s="1" t="s">
        <v>4161</v>
      </c>
      <c r="C885" s="1" t="str">
        <f ca="1">IFERROR(__xludf.DUMMYFUNCTION("GOOGLETRANSLATE(B885,""pl"",""en"")"),"Czyżkówko 2 rooms in a quiet and green area")</f>
        <v>Czyżkówko 2 rooms in a quiet and green area</v>
      </c>
      <c r="D885" s="1">
        <v>376622</v>
      </c>
      <c r="E885" s="1" t="s">
        <v>19</v>
      </c>
      <c r="F885" s="1">
        <v>37.549999999999997</v>
      </c>
      <c r="G885" s="1" t="s">
        <v>4162</v>
      </c>
      <c r="H885" s="1" t="str">
        <f ca="1">IFERROR(__xludf.DUMMYFUNCTION("GOOGLETRANSLATE(G885,""pl"",""en"")"),"Czyżkówko, Bydgoszcz, Kujawsko-Pomeranian Voivodeship")</f>
        <v>Czyżkówko, Bydgoszcz, Kujawsko-Pomeranian Voivodeship</v>
      </c>
      <c r="I885" s="1" t="s">
        <v>21</v>
      </c>
      <c r="J885" s="1" t="s">
        <v>21</v>
      </c>
      <c r="K885" s="1" t="s">
        <v>22</v>
      </c>
      <c r="L885" s="1" t="s">
        <v>4163</v>
      </c>
      <c r="M885" s="1">
        <v>2</v>
      </c>
      <c r="N885" s="1" t="s">
        <v>24</v>
      </c>
      <c r="O885" s="1" t="str">
        <f ca="1">IFERROR(__xludf.DUMMYFUNCTION("GOOGLETRANSLATE(N885,""pl"",""en"")"),"full ownership")</f>
        <v>full ownership</v>
      </c>
      <c r="P885" s="3" t="s">
        <v>4164</v>
      </c>
      <c r="Q885" s="1" t="b">
        <v>1</v>
      </c>
      <c r="R885" s="1" t="s">
        <v>4165</v>
      </c>
    </row>
    <row r="886" spans="1:18" x14ac:dyDescent="0.25">
      <c r="A886" s="2">
        <v>45308</v>
      </c>
      <c r="B886" s="1" t="s">
        <v>4166</v>
      </c>
      <c r="C886" s="1" t="str">
        <f ca="1">IFERROR(__xludf.DUMMYFUNCTION("GOOGLETRANSLATE(B886,""pl"",""en"")"),"Gwarna 8. Tenement house in the center (04)")</f>
        <v>Gwarna 8. Tenement house in the center (04)</v>
      </c>
      <c r="D886" s="1">
        <v>630200</v>
      </c>
      <c r="E886" s="1" t="s">
        <v>19</v>
      </c>
      <c r="F886" s="1">
        <v>48.85</v>
      </c>
      <c r="G886" s="1" t="s">
        <v>4824</v>
      </c>
      <c r="H886" s="1" t="str">
        <f ca="1">IFERROR(__xludf.DUMMYFUNCTION("GOOGLETRANSLATE(G886,""pl"",""en"")"),"street. Gwarna, Centrum, Old Town, Poznań, Greater Poland")</f>
        <v>street. Gwarna, Centrum, Old Town, Poznań, Greater Poland</v>
      </c>
      <c r="I886" s="1" t="s">
        <v>21</v>
      </c>
      <c r="J886" s="1" t="s">
        <v>21</v>
      </c>
      <c r="K886" s="1" t="s">
        <v>194</v>
      </c>
      <c r="L886" s="1" t="s">
        <v>4167</v>
      </c>
      <c r="M886" s="1">
        <v>2</v>
      </c>
      <c r="N886" s="1" t="s">
        <v>24</v>
      </c>
      <c r="O886" s="1" t="str">
        <f ca="1">IFERROR(__xludf.DUMMYFUNCTION("GOOGLETRANSLATE(N886,""pl"",""en"")"),"full ownership")</f>
        <v>full ownership</v>
      </c>
      <c r="P886" s="3" t="s">
        <v>4168</v>
      </c>
      <c r="Q886" s="1" t="b">
        <v>1</v>
      </c>
      <c r="R886" s="1" t="s">
        <v>4169</v>
      </c>
    </row>
    <row r="887" spans="1:18" x14ac:dyDescent="0.25">
      <c r="A887" s="2">
        <v>45308</v>
      </c>
      <c r="B887" s="1" t="s">
        <v>4170</v>
      </c>
      <c r="C887" s="1" t="str">
        <f ca="1">IFERROR(__xludf.DUMMYFUNCTION("GOOGLETRANSLATE(B887,""pl"",""en"")"),"New spacious apartments with a garden, parking lot.")</f>
        <v>New spacious apartments with a garden, parking lot.</v>
      </c>
      <c r="D887" s="1">
        <v>480000</v>
      </c>
      <c r="E887" s="1" t="s">
        <v>33</v>
      </c>
      <c r="F887" s="1">
        <v>70</v>
      </c>
      <c r="G887" s="1" t="s">
        <v>4171</v>
      </c>
      <c r="H887" s="1" t="str">
        <f ca="1">IFERROR(__xludf.DUMMYFUNCTION("GOOGLETRANSLATE(G887,""pl"",""en"")"),"Barlinek, Barlinek, Myśliborski, West Pomeranian Voivodeship")</f>
        <v>Barlinek, Barlinek, Myśliborski, West Pomeranian Voivodeship</v>
      </c>
      <c r="I887" s="1" t="s">
        <v>21</v>
      </c>
      <c r="J887" s="1" t="s">
        <v>21</v>
      </c>
      <c r="K887" s="1" t="s">
        <v>45</v>
      </c>
      <c r="L887" s="1" t="s">
        <v>4172</v>
      </c>
      <c r="M887" s="1">
        <v>4</v>
      </c>
      <c r="N887" s="1" t="s">
        <v>24</v>
      </c>
      <c r="O887" s="1" t="str">
        <f ca="1">IFERROR(__xludf.DUMMYFUNCTION("GOOGLETRANSLATE(N887,""pl"",""en"")"),"full ownership")</f>
        <v>full ownership</v>
      </c>
      <c r="P887" s="3" t="s">
        <v>4173</v>
      </c>
      <c r="Q887" s="1" t="b">
        <v>1</v>
      </c>
      <c r="R887" s="1" t="s">
        <v>4174</v>
      </c>
    </row>
    <row r="888" spans="1:18" x14ac:dyDescent="0.25">
      <c r="A888" s="2">
        <v>45308</v>
      </c>
      <c r="B888" s="1" t="s">
        <v>4175</v>
      </c>
      <c r="C888" s="1" t="str">
        <f ca="1">IFERROR(__xludf.DUMMYFUNCTION("GOOGLETRANSLATE(B888,""pl"",""en"")"),"New apartment (B3.A8) - 3 rooms - m. uncomput")</f>
        <v>New apartment (B3.A8) - 3 rooms - m. uncomput</v>
      </c>
      <c r="D888" s="1">
        <v>517748</v>
      </c>
      <c r="E888" s="1" t="s">
        <v>19</v>
      </c>
      <c r="F888" s="1">
        <v>63.14</v>
      </c>
      <c r="G888" s="1" t="s">
        <v>4176</v>
      </c>
      <c r="H888" s="1" t="str">
        <f ca="1">IFERROR(__xludf.DUMMYFUNCTION("GOOGLETRANSLATE(G888,""pl"",""en"")"),"Police, Police, Policki, West Pomeranian Voivodeship")</f>
        <v>Police, Police, Policki, West Pomeranian Voivodeship</v>
      </c>
      <c r="I888" s="1" t="s">
        <v>21</v>
      </c>
      <c r="J888" s="1" t="s">
        <v>21</v>
      </c>
      <c r="K888" s="1" t="s">
        <v>194</v>
      </c>
      <c r="L888" s="1" t="s">
        <v>4177</v>
      </c>
      <c r="M888" s="1">
        <v>3</v>
      </c>
      <c r="N888" s="1" t="s">
        <v>24</v>
      </c>
      <c r="O888" s="1" t="str">
        <f ca="1">IFERROR(__xludf.DUMMYFUNCTION("GOOGLETRANSLATE(N888,""pl"",""en"")"),"full ownership")</f>
        <v>full ownership</v>
      </c>
      <c r="P888" s="3" t="s">
        <v>4178</v>
      </c>
      <c r="Q888" s="1" t="b">
        <v>1</v>
      </c>
      <c r="R888" s="1" t="s">
        <v>4179</v>
      </c>
    </row>
    <row r="889" spans="1:18" x14ac:dyDescent="0.25">
      <c r="A889" s="2">
        <v>45308</v>
      </c>
      <c r="B889" s="1" t="s">
        <v>4180</v>
      </c>
      <c r="C889" s="1" t="str">
        <f ca="1">IFERROR(__xludf.DUMMYFUNCTION("GOOGLETRANSLATE(B889,""pl"",""en"")"),"Last days of discounts! New Year's Eve occasions up to 3.01")</f>
        <v>Last days of discounts! New Year's Eve occasions up to 3.01</v>
      </c>
      <c r="D889" s="1">
        <v>314874</v>
      </c>
      <c r="E889" s="1" t="s">
        <v>19</v>
      </c>
      <c r="F889" s="1">
        <v>27.71</v>
      </c>
      <c r="G889" s="1" t="s">
        <v>282</v>
      </c>
      <c r="H889" s="1" t="str">
        <f ca="1">IFERROR(__xludf.DUMMYFUNCTION("GOOGLETRANSLATE(G889,""pl"",""en"")"),"Orunia Górna - Gdańsk Południe, Gdańsk, Pomeranian Voivodeship")</f>
        <v>Orunia Górna - Gdańsk Południe, Gdańsk, Pomeranian Voivodeship</v>
      </c>
      <c r="I889" s="1" t="s">
        <v>21</v>
      </c>
      <c r="J889" s="1" t="s">
        <v>21</v>
      </c>
      <c r="K889" s="1" t="s">
        <v>22</v>
      </c>
      <c r="L889" s="1" t="s">
        <v>4181</v>
      </c>
      <c r="M889" s="1">
        <v>1</v>
      </c>
      <c r="N889" s="1" t="s">
        <v>24</v>
      </c>
      <c r="O889" s="1" t="str">
        <f ca="1">IFERROR(__xludf.DUMMYFUNCTION("GOOGLETRANSLATE(N889,""pl"",""en"")"),"full ownership")</f>
        <v>full ownership</v>
      </c>
      <c r="P889" s="3" t="s">
        <v>4182</v>
      </c>
      <c r="Q889" s="1" t="b">
        <v>1</v>
      </c>
      <c r="R889" s="1" t="s">
        <v>4183</v>
      </c>
    </row>
    <row r="890" spans="1:18" x14ac:dyDescent="0.25">
      <c r="A890" s="2">
        <v>45308</v>
      </c>
      <c r="B890" s="1" t="s">
        <v>4184</v>
      </c>
      <c r="C890" s="1" t="str">
        <f ca="1">IFERROR(__xludf.DUMMYFUNCTION("GOOGLETRANSLATE(B890,""pl"",""en"")"),"A spacious apartment with a mezzanine near the subway")</f>
        <v>A spacious apartment with a mezzanine near the subway</v>
      </c>
      <c r="D890" s="1">
        <v>994560</v>
      </c>
      <c r="E890" s="1" t="s">
        <v>33</v>
      </c>
      <c r="F890" s="1">
        <v>88.8</v>
      </c>
      <c r="G890" s="1" t="s">
        <v>4185</v>
      </c>
      <c r="H890" s="1" t="str">
        <f ca="1">IFERROR(__xludf.DUMMYFUNCTION("GOOGLETRANSLATE(G890,""pl"",""en"")"),"street. Kazimierz Sott ""Sokoł"", Natolin, Ursynów, Warsaw, Masovian Voivodeship")</f>
        <v>street. Kazimierz Sott "Sokoł", Natolin, Ursynów, Warsaw, Masovian Voivodeship</v>
      </c>
      <c r="I890" s="1" t="s">
        <v>21</v>
      </c>
      <c r="J890" s="1" t="s">
        <v>21</v>
      </c>
      <c r="K890" s="1" t="s">
        <v>22</v>
      </c>
      <c r="L890" s="1" t="s">
        <v>4186</v>
      </c>
      <c r="M890" s="1">
        <v>3</v>
      </c>
      <c r="N890" s="1" t="s">
        <v>24</v>
      </c>
      <c r="O890" s="1" t="str">
        <f ca="1">IFERROR(__xludf.DUMMYFUNCTION("GOOGLETRANSLATE(N890,""pl"",""en"")"),"full ownership")</f>
        <v>full ownership</v>
      </c>
      <c r="P890" s="3" t="s">
        <v>4187</v>
      </c>
      <c r="Q890" s="1" t="b">
        <v>1</v>
      </c>
      <c r="R890" s="1" t="s">
        <v>4188</v>
      </c>
    </row>
    <row r="891" spans="1:18" x14ac:dyDescent="0.25">
      <c r="A891" s="2">
        <v>45308</v>
      </c>
      <c r="B891" s="1" t="s">
        <v>4189</v>
      </c>
      <c r="C891" s="1" t="str">
        <f ca="1">IFERROR(__xludf.DUMMYFUNCTION("GOOGLETRANSLATE(B891,""pl"",""en"")"),"2 -room apartment on a high ground floor")</f>
        <v>2 -room apartment on a high ground floor</v>
      </c>
      <c r="D891" s="1">
        <v>590000</v>
      </c>
      <c r="E891" s="1" t="s">
        <v>33</v>
      </c>
      <c r="F891" s="1">
        <v>34</v>
      </c>
      <c r="G891" s="1" t="s">
        <v>4825</v>
      </c>
      <c r="H891" s="1" t="str">
        <f ca="1">IFERROR(__xludf.DUMMYFUNCTION("GOOGLETRANSLATE(G891,""pl"",""en"")"),"street. Armii Krajowej 7, Małe Błonia, Krowodrza, Kraków, Lesser Poland")</f>
        <v>street. Armii Krajowej 7, Małe Błonia, Krowodrza, Kraków, Lesser Poland</v>
      </c>
      <c r="I891" s="1" t="s">
        <v>21</v>
      </c>
      <c r="J891" s="1" t="s">
        <v>21</v>
      </c>
      <c r="K891" s="1" t="s">
        <v>45</v>
      </c>
      <c r="L891" s="1" t="s">
        <v>4190</v>
      </c>
      <c r="M891" s="1">
        <v>2</v>
      </c>
      <c r="N891" s="1" t="s">
        <v>85</v>
      </c>
      <c r="O891" s="1" t="str">
        <f ca="1">IFERROR(__xludf.DUMMYFUNCTION("GOOGLETRANSLATE(N891,""pl"",""en"")"),"Cooperative ownership of the right to the premises")</f>
        <v>Cooperative ownership of the right to the premises</v>
      </c>
      <c r="P891" s="3" t="s">
        <v>4191</v>
      </c>
      <c r="Q891" s="1" t="b">
        <v>1</v>
      </c>
      <c r="R891" s="1" t="s">
        <v>4192</v>
      </c>
    </row>
    <row r="892" spans="1:18" x14ac:dyDescent="0.25">
      <c r="A892" s="2">
        <v>45308</v>
      </c>
      <c r="B892" s="1" t="s">
        <v>4193</v>
      </c>
      <c r="C892" s="1" t="str">
        <f ca="1">IFERROR(__xludf.DUMMYFUNCTION("GOOGLETRANSLATE(B892,""pl"",""en"")"),"Raków / 3 rooms / after general renovation")</f>
        <v>Raków / 3 rooms / after general renovation</v>
      </c>
      <c r="D892" s="1">
        <v>325900</v>
      </c>
      <c r="E892" s="1" t="s">
        <v>33</v>
      </c>
      <c r="F892" s="1">
        <v>48</v>
      </c>
      <c r="G892" s="1" t="s">
        <v>4194</v>
      </c>
      <c r="H892" s="1" t="str">
        <f ca="1">IFERROR(__xludf.DUMMYFUNCTION("GOOGLETRANSLATE(G892,""pl"",""en"")"),"al. Avenue of Peace, Raków, Częstochowa, Silesian Voivodeship")</f>
        <v>al. Avenue of Peace, Raków, Częstochowa, Silesian Voivodeship</v>
      </c>
      <c r="I892" s="1" t="s">
        <v>21</v>
      </c>
      <c r="J892" s="1" t="s">
        <v>21</v>
      </c>
      <c r="K892" s="1" t="s">
        <v>22</v>
      </c>
      <c r="L892" s="1" t="s">
        <v>4195</v>
      </c>
      <c r="M892" s="1">
        <v>3</v>
      </c>
      <c r="N892" s="1" t="s">
        <v>24</v>
      </c>
      <c r="O892" s="1" t="str">
        <f ca="1">IFERROR(__xludf.DUMMYFUNCTION("GOOGLETRANSLATE(N892,""pl"",""en"")"),"full ownership")</f>
        <v>full ownership</v>
      </c>
      <c r="P892" s="3" t="s">
        <v>4196</v>
      </c>
      <c r="Q892" s="1" t="b">
        <v>1</v>
      </c>
      <c r="R892" s="1" t="s">
        <v>4197</v>
      </c>
    </row>
    <row r="893" spans="1:18" x14ac:dyDescent="0.25">
      <c r="A893" s="2">
        <v>45308</v>
      </c>
      <c r="B893" s="1" t="s">
        <v>4198</v>
      </c>
      <c r="C893" s="1" t="str">
        <f ca="1">IFERROR(__xludf.DUMMYFUNCTION("GOOGLETRANSLATE(B893,""pl"",""en"")"),"Large selection at the park and utp_sklepy_tramwaj_zobaczcz")</f>
        <v>Large selection at the park and utp_sklepy_tramwaj_zobaczcz</v>
      </c>
      <c r="D893" s="1">
        <v>327100</v>
      </c>
      <c r="E893" s="1" t="s">
        <v>19</v>
      </c>
      <c r="F893" s="1">
        <v>40.799999999999997</v>
      </c>
      <c r="G893" s="1" t="s">
        <v>1180</v>
      </c>
      <c r="H893" s="1" t="str">
        <f ca="1">IFERROR(__xludf.DUMMYFUNCTION("GOOGLETRANSLATE(G893,""pl"",""en"")"),"New Fordon, Bydgoszcz, Kuyavian-Pomeranian")</f>
        <v>New Fordon, Bydgoszcz, Kuyavian-Pomeranian</v>
      </c>
      <c r="I893" s="1" t="b">
        <v>1</v>
      </c>
      <c r="J893" s="1" t="s">
        <v>21</v>
      </c>
      <c r="K893" s="1" t="s">
        <v>22</v>
      </c>
      <c r="L893" s="1" t="s">
        <v>4199</v>
      </c>
      <c r="M893" s="1">
        <v>2</v>
      </c>
      <c r="N893" s="1" t="s">
        <v>24</v>
      </c>
      <c r="O893" s="1" t="str">
        <f ca="1">IFERROR(__xludf.DUMMYFUNCTION("GOOGLETRANSLATE(N893,""pl"",""en"")"),"full ownership")</f>
        <v>full ownership</v>
      </c>
      <c r="P893" s="3" t="s">
        <v>4200</v>
      </c>
      <c r="Q893" s="1" t="b">
        <v>1</v>
      </c>
      <c r="R893" s="1" t="s">
        <v>4201</v>
      </c>
    </row>
    <row r="894" spans="1:18" x14ac:dyDescent="0.25">
      <c r="A894" s="2">
        <v>45173</v>
      </c>
      <c r="B894" s="1" t="s">
        <v>4202</v>
      </c>
      <c r="C894" s="1" t="str">
        <f ca="1">IFERROR(__xludf.DUMMYFUNCTION("GOOGLETRANSLATE(B894,""pl"",""en"")"),"A spacious apartment on Kościuszki Street")</f>
        <v>A spacious apartment on Kościuszki Street</v>
      </c>
      <c r="D894" s="1">
        <v>404000</v>
      </c>
      <c r="E894" s="1" t="s">
        <v>33</v>
      </c>
      <c r="F894" s="1">
        <v>67.56</v>
      </c>
      <c r="G894" s="1" t="s">
        <v>4203</v>
      </c>
      <c r="H894" s="1" t="str">
        <f ca="1">IFERROR(__xludf.DUMMYFUNCTION("GOOGLETRANSLATE(G894,""pl"",""en"")"),"street. Tadeusz Kościuszko, Biała Podlaska, Lublin")</f>
        <v>street. Tadeusz Kościuszko, Biała Podlaska, Lublin</v>
      </c>
      <c r="I894" s="1" t="s">
        <v>21</v>
      </c>
      <c r="J894" s="1" t="s">
        <v>21</v>
      </c>
      <c r="K894" s="1" t="s">
        <v>22</v>
      </c>
      <c r="L894" s="1" t="s">
        <v>4204</v>
      </c>
      <c r="M894" s="1">
        <v>3</v>
      </c>
      <c r="N894" s="1" t="s">
        <v>24</v>
      </c>
      <c r="O894" s="1" t="str">
        <f ca="1">IFERROR(__xludf.DUMMYFUNCTION("GOOGLETRANSLATE(N894,""pl"",""en"")"),"full ownership")</f>
        <v>full ownership</v>
      </c>
      <c r="P894" s="3" t="s">
        <v>4205</v>
      </c>
      <c r="Q894" s="1" t="b">
        <v>1</v>
      </c>
      <c r="R894" s="1" t="s">
        <v>4206</v>
      </c>
    </row>
    <row r="895" spans="1:18" x14ac:dyDescent="0.25">
      <c r="A895" s="2">
        <v>45173</v>
      </c>
      <c r="B895" s="1" t="s">
        <v>4207</v>
      </c>
      <c r="C895" s="1" t="str">
        <f ca="1">IFERROR(__xludf.DUMMYFUNCTION("GOOGLETRANSLATE(B895,""pl"",""en"")"),"Loft Park M-4 Developer 69m2 | Arched windows")</f>
        <v>Loft Park M-4 Developer 69m2 | Arched windows</v>
      </c>
      <c r="D895" s="1">
        <v>628937</v>
      </c>
      <c r="E895" s="1" t="s">
        <v>19</v>
      </c>
      <c r="F895" s="1">
        <v>69.2</v>
      </c>
      <c r="G895" s="1" t="s">
        <v>3566</v>
      </c>
      <c r="H895" s="1" t="str">
        <f ca="1">IFERROR(__xludf.DUMMYFUNCTION("GOOGLETRANSLATE(G895,""pl"",""en"")"),"Szwederowo, Bydgoszcz, Kujawsko-Pomeranian Voivodeship")</f>
        <v>Szwederowo, Bydgoszcz, Kujawsko-Pomeranian Voivodeship</v>
      </c>
      <c r="I895" s="1" t="s">
        <v>21</v>
      </c>
      <c r="J895" s="1" t="s">
        <v>21</v>
      </c>
      <c r="K895" s="1" t="s">
        <v>22</v>
      </c>
      <c r="L895" s="1" t="s">
        <v>4208</v>
      </c>
      <c r="M895" s="1">
        <v>3</v>
      </c>
      <c r="N895" s="1" t="s">
        <v>24</v>
      </c>
      <c r="O895" s="1" t="str">
        <f ca="1">IFERROR(__xludf.DUMMYFUNCTION("GOOGLETRANSLATE(N895,""pl"",""en"")"),"full ownership")</f>
        <v>full ownership</v>
      </c>
      <c r="P895" s="3" t="s">
        <v>4209</v>
      </c>
      <c r="Q895" s="1" t="b">
        <v>1</v>
      </c>
      <c r="R895" s="1" t="s">
        <v>4210</v>
      </c>
    </row>
    <row r="896" spans="1:18" x14ac:dyDescent="0.25">
      <c r="A896" s="2">
        <v>45173</v>
      </c>
      <c r="B896" s="1" t="s">
        <v>4211</v>
      </c>
      <c r="C896" s="1" t="str">
        <f ca="1">IFERROR(__xludf.DUMMYFUNCTION("GOOGLETRANSLATE(B896,""pl"",""en"")"),"For sale a beautiful two -level apartment")</f>
        <v>For sale a beautiful two -level apartment</v>
      </c>
      <c r="D896" s="1">
        <v>899000</v>
      </c>
      <c r="E896" s="1" t="s">
        <v>33</v>
      </c>
      <c r="F896" s="1">
        <v>96</v>
      </c>
      <c r="G896" s="1" t="s">
        <v>4212</v>
      </c>
      <c r="H896" s="1" t="str">
        <f ca="1">IFERROR(__xludf.DUMMYFUNCTION("GOOGLETRANSLATE(G896,""pl"",""en"")"),"street. Saint. Jadwigi, Trzebnica, Trzebnica, Trzebnicki, DolnoSilesian Voivodeship")</f>
        <v>street. Saint. Jadwigi, Trzebnica, Trzebnica, Trzebnicki, DolnoSilesian Voivodeship</v>
      </c>
      <c r="I896" s="1" t="s">
        <v>21</v>
      </c>
      <c r="J896" s="1" t="s">
        <v>21</v>
      </c>
      <c r="K896" s="1" t="s">
        <v>45</v>
      </c>
      <c r="L896" s="1" t="s">
        <v>4213</v>
      </c>
      <c r="M896" s="1">
        <v>4</v>
      </c>
      <c r="N896" s="1" t="s">
        <v>24</v>
      </c>
      <c r="O896" s="1" t="str">
        <f ca="1">IFERROR(__xludf.DUMMYFUNCTION("GOOGLETRANSLATE(N896,""pl"",""en"")"),"full ownership")</f>
        <v>full ownership</v>
      </c>
      <c r="P896" s="3" t="s">
        <v>4214</v>
      </c>
      <c r="Q896" s="1" t="b">
        <v>1</v>
      </c>
      <c r="R896" s="1" t="s">
        <v>4215</v>
      </c>
    </row>
    <row r="897" spans="1:18" x14ac:dyDescent="0.25">
      <c r="A897" s="2">
        <v>45173</v>
      </c>
      <c r="B897" s="1" t="s">
        <v>4216</v>
      </c>
      <c r="C897" s="1" t="str">
        <f ca="1">IFERROR(__xludf.DUMMYFUNCTION("GOOGLETRANSLATE(B897,""pl"",""en"")"),"Sunny apartment in a new estate.")</f>
        <v>Sunny apartment in a new estate.</v>
      </c>
      <c r="D897" s="1">
        <v>777000</v>
      </c>
      <c r="E897" s="1" t="s">
        <v>33</v>
      </c>
      <c r="F897" s="1">
        <v>74.2</v>
      </c>
      <c r="G897" s="1" t="s">
        <v>4217</v>
      </c>
      <c r="H897" s="1" t="str">
        <f ca="1">IFERROR(__xludf.DUMMYFUNCTION("GOOGLETRANSLATE(G897,""pl"",""en"")"),"street. Leon Staniszewski, Wiczlino, Gdynia, Pomeranian")</f>
        <v>street. Leon Staniszewski, Wiczlino, Gdynia, Pomeranian</v>
      </c>
      <c r="I897" s="1" t="s">
        <v>21</v>
      </c>
      <c r="J897" s="1" t="s">
        <v>21</v>
      </c>
      <c r="K897" s="1" t="s">
        <v>22</v>
      </c>
      <c r="L897" s="1" t="s">
        <v>4218</v>
      </c>
      <c r="M897" s="1">
        <v>3</v>
      </c>
      <c r="N897" s="1" t="s">
        <v>24</v>
      </c>
      <c r="O897" s="1" t="str">
        <f ca="1">IFERROR(__xludf.DUMMYFUNCTION("GOOGLETRANSLATE(N897,""pl"",""en"")"),"full ownership")</f>
        <v>full ownership</v>
      </c>
      <c r="P897" s="3" t="s">
        <v>4219</v>
      </c>
      <c r="Q897" s="1" t="b">
        <v>1</v>
      </c>
      <c r="R897" s="1" t="s">
        <v>4220</v>
      </c>
    </row>
    <row r="898" spans="1:18" x14ac:dyDescent="0.25">
      <c r="A898" s="2">
        <v>45173</v>
      </c>
      <c r="B898" s="1" t="s">
        <v>4221</v>
      </c>
      <c r="C898" s="1" t="str">
        <f ca="1">IFERROR(__xludf.DUMMYFUNCTION("GOOGLETRANSLATE(B898,""pl"",""en"")"),"I will sell an apartment in Brańsk")</f>
        <v>I will sell an apartment in Brańsk</v>
      </c>
      <c r="D898" s="1">
        <v>200000</v>
      </c>
      <c r="E898" s="1" t="s">
        <v>33</v>
      </c>
      <c r="F898" s="1">
        <v>41.5</v>
      </c>
      <c r="G898" s="1" t="s">
        <v>4222</v>
      </c>
      <c r="H898" s="1" t="str">
        <f ca="1">IFERROR(__xludf.DUMMYFUNCTION("GOOGLETRANSLATE(G898,""pl"",""en"")"),"Brańsk, Bielski, Podlasie")</f>
        <v>Brańsk, Bielski, Podlasie</v>
      </c>
      <c r="I898" s="1" t="s">
        <v>21</v>
      </c>
      <c r="J898" s="1" t="s">
        <v>21</v>
      </c>
      <c r="K898" s="1" t="s">
        <v>22</v>
      </c>
      <c r="L898" s="1" t="s">
        <v>4223</v>
      </c>
      <c r="M898" s="1">
        <v>2</v>
      </c>
      <c r="N898" s="1" t="s">
        <v>24</v>
      </c>
      <c r="O898" s="1" t="str">
        <f ca="1">IFERROR(__xludf.DUMMYFUNCTION("GOOGLETRANSLATE(N898,""pl"",""en"")"),"full ownership")</f>
        <v>full ownership</v>
      </c>
      <c r="P898" s="3" t="s">
        <v>4224</v>
      </c>
      <c r="Q898" s="1" t="b">
        <v>1</v>
      </c>
      <c r="R898" s="1" t="s">
        <v>4225</v>
      </c>
    </row>
    <row r="899" spans="1:18" x14ac:dyDescent="0.25">
      <c r="A899" s="2">
        <v>45173</v>
      </c>
      <c r="B899" s="1" t="s">
        <v>4226</v>
      </c>
      <c r="C899" s="1" t="str">
        <f ca="1">IFERROR(__xludf.DUMMYFUNCTION("GOOGLETRANSLATE(B899,""pl"",""en"")"),"A stylish studio apartment in a tenement house M14")</f>
        <v>A stylish studio apartment in a tenement house M14</v>
      </c>
      <c r="D899" s="1">
        <v>196042</v>
      </c>
      <c r="E899" s="1" t="s">
        <v>19</v>
      </c>
      <c r="F899" s="1">
        <v>29.26</v>
      </c>
      <c r="G899" s="1" t="s">
        <v>4227</v>
      </c>
      <c r="H899" s="1" t="str">
        <f ca="1">IFERROR(__xludf.DUMMYFUNCTION("GOOGLETRANSLATE(G899,""pl"",""en"")"),"street. Fabryczna, Księży Młyn, Widzew, Łódź, Łódź")</f>
        <v>street. Fabryczna, Księży Młyn, Widzew, Łódź, Łódź</v>
      </c>
      <c r="I899" s="1" t="s">
        <v>21</v>
      </c>
      <c r="J899" s="1" t="s">
        <v>21</v>
      </c>
      <c r="K899" s="1" t="s">
        <v>194</v>
      </c>
      <c r="L899" s="1" t="s">
        <v>4228</v>
      </c>
      <c r="M899" s="1">
        <v>1</v>
      </c>
      <c r="N899" s="1" t="s">
        <v>24</v>
      </c>
      <c r="O899" s="1" t="str">
        <f ca="1">IFERROR(__xludf.DUMMYFUNCTION("GOOGLETRANSLATE(N899,""pl"",""en"")"),"full ownership")</f>
        <v>full ownership</v>
      </c>
      <c r="P899" s="3" t="s">
        <v>4229</v>
      </c>
      <c r="Q899" s="1" t="b">
        <v>1</v>
      </c>
      <c r="R899" s="1" t="s">
        <v>4230</v>
      </c>
    </row>
    <row r="900" spans="1:18" x14ac:dyDescent="0.25">
      <c r="A900" s="2">
        <v>45173</v>
      </c>
      <c r="B900" s="1" t="s">
        <v>4231</v>
      </c>
      <c r="C900" s="1" t="str">
        <f ca="1">IFERROR(__xludf.DUMMYFUNCTION("GOOGLETRANSLATE(B900,""pl"",""en"")"),"Stable price! Kostrzyńska 42 | KGH-G-M5 apartment")</f>
        <v>Stable price! Kostrzyńska 42 | KGH-G-M5 apartment</v>
      </c>
      <c r="D900" s="1">
        <v>467542</v>
      </c>
      <c r="E900" s="1" t="s">
        <v>19</v>
      </c>
      <c r="F900" s="1">
        <v>75.41</v>
      </c>
      <c r="G900" s="1" t="s">
        <v>4850</v>
      </c>
      <c r="H900" s="1" t="str">
        <f ca="1">IFERROR(__xludf.DUMMYFUNCTION("GOOGLETRANSLATE(G900,""pl"",""en"")"),"street. Kostrzyńska 42, Gorzów Wielkopolski, Lubusz Voivodeship")</f>
        <v>street. Kostrzyńska 42, Gorzów Wielkopolski, Lubusz Voivodeship</v>
      </c>
      <c r="I900" s="1" t="s">
        <v>21</v>
      </c>
      <c r="J900" s="1" t="s">
        <v>21</v>
      </c>
      <c r="K900" s="1" t="s">
        <v>194</v>
      </c>
      <c r="L900" s="4" t="s">
        <v>4826</v>
      </c>
      <c r="M900" s="1">
        <v>4</v>
      </c>
      <c r="N900" s="1" t="s">
        <v>24</v>
      </c>
      <c r="O900" s="1" t="str">
        <f ca="1">IFERROR(__xludf.DUMMYFUNCTION("GOOGLETRANSLATE(N900,""pl"",""en"")"),"full ownership")</f>
        <v>full ownership</v>
      </c>
      <c r="P900" s="3" t="s">
        <v>4232</v>
      </c>
      <c r="Q900" s="1" t="b">
        <v>1</v>
      </c>
      <c r="R900" s="1" t="s">
        <v>4233</v>
      </c>
    </row>
    <row r="901" spans="1:18" x14ac:dyDescent="0.25">
      <c r="A901" s="2">
        <v>45308</v>
      </c>
      <c r="B901" s="1" t="s">
        <v>4234</v>
      </c>
      <c r="C901" s="1" t="str">
        <f ca="1">IFERROR(__xludf.DUMMYFUNCTION("GOOGLETRANSLATE(B901,""pl"",""en"")"),"3-room apartment, habicha")</f>
        <v>3-room apartment, habicha</v>
      </c>
      <c r="D901" s="1">
        <v>890000</v>
      </c>
      <c r="E901" s="1" t="s">
        <v>33</v>
      </c>
      <c r="F901" s="1">
        <v>46</v>
      </c>
      <c r="G901" s="1" t="s">
        <v>4235</v>
      </c>
      <c r="H901" s="1" t="str">
        <f ca="1">IFERROR(__xludf.DUMMYFUNCTION("GOOGLETRANSLATE(G901,""pl"",""en"")"),"street. Edward Habich, Szamoty, Ursus, Warsaw, Masovian Voivodeship")</f>
        <v>street. Edward Habich, Szamoty, Ursus, Warsaw, Masovian Voivodeship</v>
      </c>
      <c r="I901" s="1" t="s">
        <v>21</v>
      </c>
      <c r="J901" s="1" t="s">
        <v>21</v>
      </c>
      <c r="K901" s="1" t="s">
        <v>45</v>
      </c>
      <c r="L901" s="1" t="s">
        <v>4236</v>
      </c>
      <c r="M901" s="1">
        <v>3</v>
      </c>
      <c r="N901" s="1" t="s">
        <v>24</v>
      </c>
      <c r="O901" s="1" t="str">
        <f ca="1">IFERROR(__xludf.DUMMYFUNCTION("GOOGLETRANSLATE(N901,""pl"",""en"")"),"full ownership")</f>
        <v>full ownership</v>
      </c>
      <c r="P901" s="3" t="s">
        <v>4237</v>
      </c>
      <c r="Q901" s="1" t="b">
        <v>1</v>
      </c>
      <c r="R901" s="1" t="s">
        <v>4238</v>
      </c>
    </row>
    <row r="902" spans="1:18" x14ac:dyDescent="0.25">
      <c r="A902" s="2">
        <v>45308</v>
      </c>
      <c r="B902" s="1" t="s">
        <v>4239</v>
      </c>
      <c r="C902" s="1" t="str">
        <f ca="1">IFERROR(__xludf.DUMMYFUNCTION("GOOGLETRANSLATE(B902,""pl"",""en"")"),"M4 for renovation in the north")</f>
        <v>M4 for renovation in the north</v>
      </c>
      <c r="D902" s="1">
        <v>395000</v>
      </c>
      <c r="E902" s="1" t="s">
        <v>33</v>
      </c>
      <c r="F902" s="1">
        <v>61</v>
      </c>
      <c r="G902" s="1" t="s">
        <v>673</v>
      </c>
      <c r="H902" s="1" t="str">
        <f ca="1">IFERROR(__xludf.DUMMYFUNCTION("GOOGLETRANSLATE(G902,""pl"",""en"")"),"North, Częstochowa, Silesian Voivodeship")</f>
        <v>North, Częstochowa, Silesian Voivodeship</v>
      </c>
      <c r="I902" s="1" t="s">
        <v>21</v>
      </c>
      <c r="J902" s="1" t="s">
        <v>21</v>
      </c>
      <c r="K902" s="1" t="s">
        <v>22</v>
      </c>
      <c r="L902" s="1" t="s">
        <v>4240</v>
      </c>
      <c r="M902" s="1">
        <v>3</v>
      </c>
      <c r="N902" s="1" t="s">
        <v>24</v>
      </c>
      <c r="O902" s="1" t="str">
        <f ca="1">IFERROR(__xludf.DUMMYFUNCTION("GOOGLETRANSLATE(N902,""pl"",""en"")"),"full ownership")</f>
        <v>full ownership</v>
      </c>
      <c r="P902" s="3" t="s">
        <v>4241</v>
      </c>
      <c r="Q902" s="1" t="b">
        <v>1</v>
      </c>
      <c r="R902" s="1" t="s">
        <v>4242</v>
      </c>
    </row>
    <row r="903" spans="1:18" x14ac:dyDescent="0.25">
      <c r="A903" s="2">
        <v>45308</v>
      </c>
      <c r="B903" s="1" t="s">
        <v>4243</v>
      </c>
      <c r="C903" s="1" t="str">
        <f ca="1">IFERROR(__xludf.DUMMYFUNCTION("GOOGLETRANSLATE(B903,""pl"",""en"")"),"Your own ""M"" in the mountains | apartment C1 | VAT 23%")</f>
        <v>Your own "M" in the mountains | apartment C1 | VAT 23%</v>
      </c>
      <c r="D903" s="1" t="s">
        <v>21</v>
      </c>
      <c r="E903" s="1" t="s">
        <v>19</v>
      </c>
      <c r="F903" s="1">
        <v>39.71</v>
      </c>
      <c r="G903" s="1" t="s">
        <v>4244</v>
      </c>
      <c r="H903" s="1" t="str">
        <f ca="1">IFERROR(__xludf.DUMMYFUNCTION("GOOGLETRANSLATE(G903,""pl"",""en"")"),"street. Wolności, Szklarska Poręba, Karkonoski, DolnoSilesian Voivodeship")</f>
        <v>street. Wolności, Szklarska Poręba, Karkonoski, DolnoSilesian Voivodeship</v>
      </c>
      <c r="I903" s="1" t="b">
        <v>1</v>
      </c>
      <c r="J903" s="1" t="s">
        <v>21</v>
      </c>
      <c r="K903" s="1" t="s">
        <v>194</v>
      </c>
      <c r="L903" s="1" t="s">
        <v>4245</v>
      </c>
      <c r="M903" s="1">
        <v>2</v>
      </c>
      <c r="N903" s="1" t="s">
        <v>24</v>
      </c>
      <c r="O903" s="1" t="str">
        <f ca="1">IFERROR(__xludf.DUMMYFUNCTION("GOOGLETRANSLATE(N903,""pl"",""en"")"),"full ownership")</f>
        <v>full ownership</v>
      </c>
      <c r="P903" s="3" t="s">
        <v>4246</v>
      </c>
      <c r="Q903" s="1" t="b">
        <v>1</v>
      </c>
      <c r="R903" s="1" t="s">
        <v>4247</v>
      </c>
    </row>
    <row r="904" spans="1:18" x14ac:dyDescent="0.25">
      <c r="A904" s="2">
        <v>45308</v>
      </c>
      <c r="B904" s="1" t="s">
        <v>4248</v>
      </c>
      <c r="C904" s="1" t="str">
        <f ca="1">IFERROR(__xludf.DUMMYFUNCTION("GOOGLETRANSLATE(B904,""pl"",""en"")"),"A spacious apartment with ROD plot + garage")</f>
        <v>A spacious apartment with ROD plot + garage</v>
      </c>
      <c r="D904" s="1">
        <v>410000</v>
      </c>
      <c r="E904" s="1" t="s">
        <v>33</v>
      </c>
      <c r="F904" s="1">
        <v>59.39</v>
      </c>
      <c r="G904" s="1" t="s">
        <v>4841</v>
      </c>
      <c r="H904" s="1" t="str">
        <f ca="1">IFERROR(__xludf.DUMMYFUNCTION("GOOGLETRANSLATE(G904,""pl"",""en"")"),"Gorzów Wielkopolski, Lubusz Voivodeship")</f>
        <v>Gorzów Wielkopolski, Lubusz Voivodeship</v>
      </c>
      <c r="I904" s="1" t="s">
        <v>21</v>
      </c>
      <c r="J904" s="1" t="s">
        <v>21</v>
      </c>
      <c r="K904" s="1" t="s">
        <v>22</v>
      </c>
      <c r="L904" s="1" t="s">
        <v>4249</v>
      </c>
      <c r="M904" s="1">
        <v>3</v>
      </c>
      <c r="N904" s="1" t="s">
        <v>24</v>
      </c>
      <c r="O904" s="1" t="str">
        <f ca="1">IFERROR(__xludf.DUMMYFUNCTION("GOOGLETRANSLATE(N904,""pl"",""en"")"),"full ownership")</f>
        <v>full ownership</v>
      </c>
      <c r="P904" s="3" t="s">
        <v>4250</v>
      </c>
      <c r="Q904" s="1" t="b">
        <v>1</v>
      </c>
      <c r="R904" s="1" t="s">
        <v>4251</v>
      </c>
    </row>
    <row r="905" spans="1:18" x14ac:dyDescent="0.25">
      <c r="A905" s="2">
        <v>45308</v>
      </c>
      <c r="B905" s="1" t="s">
        <v>4252</v>
      </c>
      <c r="C905" s="1" t="str">
        <f ca="1">IFERROR(__xludf.DUMMYFUNCTION("GOOGLETRANSLATE(B905,""pl"",""en"")"),"New inclined investment 37.9 sq m.")</f>
        <v>New inclined investment 37.9 sq m.</v>
      </c>
      <c r="D905" s="1">
        <v>379000</v>
      </c>
      <c r="E905" s="1" t="s">
        <v>19</v>
      </c>
      <c r="F905" s="1">
        <v>37.9</v>
      </c>
      <c r="G905" s="1" t="s">
        <v>4253</v>
      </c>
      <c r="H905" s="1" t="str">
        <f ca="1">IFERROR(__xludf.DUMMYFUNCTION("GOOGLETRANSLATE(G905,""pl"",""en"")"),"street. Ravenny, Czechowice-Dziedzice, Czechowice-Dziedzice, Bielski, Silesian Voivodeship")</f>
        <v>street. Ravenny, Czechowice-Dziedzice, Czechowice-Dziedzice, Bielski, Silesian Voivodeship</v>
      </c>
      <c r="I905" s="1" t="s">
        <v>21</v>
      </c>
      <c r="J905" s="1" t="s">
        <v>21</v>
      </c>
      <c r="K905" s="1" t="s">
        <v>194</v>
      </c>
      <c r="L905" s="1" t="s">
        <v>4254</v>
      </c>
      <c r="M905" s="1">
        <v>2</v>
      </c>
      <c r="N905" s="1" t="s">
        <v>24</v>
      </c>
      <c r="O905" s="1" t="str">
        <f ca="1">IFERROR(__xludf.DUMMYFUNCTION("GOOGLETRANSLATE(N905,""pl"",""en"")"),"full ownership")</f>
        <v>full ownership</v>
      </c>
      <c r="P905" s="3" t="s">
        <v>4255</v>
      </c>
      <c r="Q905" s="1" t="b">
        <v>1</v>
      </c>
      <c r="R905" s="1" t="s">
        <v>4256</v>
      </c>
    </row>
    <row r="906" spans="1:18" x14ac:dyDescent="0.25">
      <c r="A906" s="2">
        <v>45308</v>
      </c>
      <c r="B906" s="1" t="s">
        <v>4257</v>
      </c>
      <c r="C906" s="1" t="str">
        <f ca="1">IFERROR(__xludf.DUMMYFUNCTION("GOOGLETRANSLATE(B906,""pl"",""en"")"),"A spacious apartment in Żoliborz Artistic")</f>
        <v>A spacious apartment in Żoliborz Artistic</v>
      </c>
      <c r="D906" s="1">
        <v>1260000</v>
      </c>
      <c r="E906" s="1" t="s">
        <v>33</v>
      </c>
      <c r="F906" s="1">
        <v>51.85</v>
      </c>
      <c r="G906" s="1" t="s">
        <v>4258</v>
      </c>
      <c r="H906" s="1" t="str">
        <f ca="1">IFERROR(__xludf.DUMMYFUNCTION("GOOGLETRANSLATE(G906,""pl"",""en"")"),"Żoliborz artistic, Sady Żoliborskie, Żoliborz, Warsaw, Masovian Voivodeship")</f>
        <v>Żoliborz artistic, Sady Żoliborskie, Żoliborz, Warsaw, Masovian Voivodeship</v>
      </c>
      <c r="I906" s="1" t="s">
        <v>21</v>
      </c>
      <c r="J906" s="1" t="s">
        <v>21</v>
      </c>
      <c r="K906" s="1" t="s">
        <v>45</v>
      </c>
      <c r="L906" s="1" t="s">
        <v>4259</v>
      </c>
      <c r="M906" s="1">
        <v>2</v>
      </c>
      <c r="N906" s="1" t="s">
        <v>24</v>
      </c>
      <c r="O906" s="1" t="str">
        <f ca="1">IFERROR(__xludf.DUMMYFUNCTION("GOOGLETRANSLATE(N906,""pl"",""en"")"),"full ownership")</f>
        <v>full ownership</v>
      </c>
      <c r="P906" s="3" t="s">
        <v>4260</v>
      </c>
      <c r="Q906" s="1" t="b">
        <v>1</v>
      </c>
      <c r="R906" s="1" t="s">
        <v>4261</v>
      </c>
    </row>
    <row r="907" spans="1:18" x14ac:dyDescent="0.25">
      <c r="A907" s="2">
        <v>45308</v>
      </c>
      <c r="B907" s="1" t="s">
        <v>4262</v>
      </c>
      <c r="C907" s="1" t="str">
        <f ca="1">IFERROR(__xludf.DUMMYFUNCTION("GOOGLETRANSLATE(B907,""pl"",""en"")"),"Apartment housing estate with a parking place")</f>
        <v>Apartment housing estate with a parking place</v>
      </c>
      <c r="D907" s="1">
        <v>750000</v>
      </c>
      <c r="E907" s="1" t="s">
        <v>33</v>
      </c>
      <c r="F907" s="1">
        <v>51.7</v>
      </c>
      <c r="G907" s="1" t="s">
        <v>4263</v>
      </c>
      <c r="H907" s="1" t="str">
        <f ca="1">IFERROR(__xludf.DUMMYFUNCTION("GOOGLETRANSLATE(G907,""pl"",""en"")"),"street. Wojska Polskiego, Świnoujście, ZachodnioPomeranian Voivodeship")</f>
        <v>street. Wojska Polskiego, Świnoujście, ZachodnioPomeranian Voivodeship</v>
      </c>
      <c r="I907" s="1" t="s">
        <v>21</v>
      </c>
      <c r="J907" s="1" t="s">
        <v>21</v>
      </c>
      <c r="K907" s="1" t="s">
        <v>45</v>
      </c>
      <c r="L907" s="1" t="s">
        <v>4264</v>
      </c>
      <c r="M907" s="1">
        <v>2</v>
      </c>
      <c r="N907" s="1" t="s">
        <v>24</v>
      </c>
      <c r="O907" s="1" t="str">
        <f ca="1">IFERROR(__xludf.DUMMYFUNCTION("GOOGLETRANSLATE(N907,""pl"",""en"")"),"full ownership")</f>
        <v>full ownership</v>
      </c>
      <c r="P907" s="3" t="s">
        <v>4265</v>
      </c>
      <c r="Q907" s="1" t="b">
        <v>1</v>
      </c>
      <c r="R907" s="1" t="s">
        <v>4266</v>
      </c>
    </row>
    <row r="908" spans="1:18" x14ac:dyDescent="0.25">
      <c r="A908" s="2">
        <v>45173</v>
      </c>
      <c r="B908" s="1" t="s">
        <v>4267</v>
      </c>
      <c r="C908" s="1" t="str">
        <f ca="1">IFERROR(__xludf.DUMMYFUNCTION("GOOGLETRANSLATE(B908,""pl"",""en"")"),"We credit the sunny m26 b2 52.93m2 hill")</f>
        <v>We credit the sunny m26 b2 52.93m2 hill</v>
      </c>
      <c r="D908" s="1">
        <v>280529</v>
      </c>
      <c r="E908" s="1" t="s">
        <v>19</v>
      </c>
      <c r="F908" s="1">
        <v>52.93</v>
      </c>
      <c r="G908" s="1" t="s">
        <v>4268</v>
      </c>
      <c r="H908" s="1" t="str">
        <f ca="1">IFERROR(__xludf.DUMMYFUNCTION("GOOGLETRANSLATE(G908,""pl"",""en"")"),"street. Ełcka, Olecko, Olecko, Olecki, Warmian-Masurian Voivodeship")</f>
        <v>street. Ełcka, Olecko, Olecko, Olecki, Warmian-Masurian Voivodeship</v>
      </c>
      <c r="I908" s="1" t="s">
        <v>21</v>
      </c>
      <c r="J908" s="1" t="s">
        <v>21</v>
      </c>
      <c r="K908" s="1" t="s">
        <v>194</v>
      </c>
      <c r="L908" s="1" t="s">
        <v>4269</v>
      </c>
      <c r="M908" s="1">
        <v>3</v>
      </c>
      <c r="N908" s="1" t="s">
        <v>24</v>
      </c>
      <c r="O908" s="1" t="str">
        <f ca="1">IFERROR(__xludf.DUMMYFUNCTION("GOOGLETRANSLATE(N908,""pl"",""en"")"),"full ownership")</f>
        <v>full ownership</v>
      </c>
      <c r="P908" s="3" t="s">
        <v>4270</v>
      </c>
      <c r="Q908" s="1" t="b">
        <v>1</v>
      </c>
      <c r="R908" s="1" t="s">
        <v>4271</v>
      </c>
    </row>
    <row r="909" spans="1:18" x14ac:dyDescent="0.25">
      <c r="A909" s="2">
        <v>45173</v>
      </c>
      <c r="B909" s="1" t="s">
        <v>4272</v>
      </c>
      <c r="C909" s="1" t="str">
        <f ca="1">IFERROR(__xludf.DUMMYFUNCTION("GOOGLETRANSLATE(B909,""pl"",""en"")"),"Your new 3 room in a fresh investment")</f>
        <v>Your new 3 room in a fresh investment</v>
      </c>
      <c r="D909" s="1">
        <v>442942</v>
      </c>
      <c r="E909" s="1" t="s">
        <v>19</v>
      </c>
      <c r="F909" s="1">
        <v>57.76</v>
      </c>
      <c r="G909" s="1" t="s">
        <v>4827</v>
      </c>
      <c r="H909" s="1" t="str">
        <f ca="1">IFERROR(__xludf.DUMMYFUNCTION("GOOGLETRANSLATE(G909,""pl"",""en"")"),"Zelasewo, Swarzędz, Poznań, Greater Poland")</f>
        <v>Zelasewo, Swarzędz, Poznań, Greater Poland</v>
      </c>
      <c r="I909" s="1" t="s">
        <v>21</v>
      </c>
      <c r="J909" s="1" t="s">
        <v>21</v>
      </c>
      <c r="K909" s="1" t="s">
        <v>22</v>
      </c>
      <c r="L909" s="1" t="s">
        <v>4273</v>
      </c>
      <c r="M909" s="1">
        <v>3</v>
      </c>
      <c r="N909" s="1" t="s">
        <v>24</v>
      </c>
      <c r="O909" s="1" t="str">
        <f ca="1">IFERROR(__xludf.DUMMYFUNCTION("GOOGLETRANSLATE(N909,""pl"",""en"")"),"full ownership")</f>
        <v>full ownership</v>
      </c>
      <c r="P909" s="3" t="s">
        <v>4274</v>
      </c>
      <c r="Q909" s="1" t="b">
        <v>1</v>
      </c>
      <c r="R909" s="1" t="s">
        <v>4275</v>
      </c>
    </row>
    <row r="910" spans="1:18" x14ac:dyDescent="0.25">
      <c r="A910" s="2">
        <v>45173</v>
      </c>
      <c r="B910" s="1" t="s">
        <v>4276</v>
      </c>
      <c r="C910" s="1" t="str">
        <f ca="1">IFERROR(__xludf.DUMMYFUNCTION("GOOGLETRANSLATE(B910,""pl"",""en"")"),"Sale of an apartment! Podwisłocze street !!")</f>
        <v>Sale of an apartment! Podwisłocze street !!</v>
      </c>
      <c r="D910" s="1">
        <v>479000</v>
      </c>
      <c r="E910" s="1" t="s">
        <v>33</v>
      </c>
      <c r="F910" s="1">
        <v>64.650000000000006</v>
      </c>
      <c r="G910" s="1" t="s">
        <v>475</v>
      </c>
      <c r="H910" s="1" t="str">
        <f ca="1">IFERROR(__xludf.DUMMYFUNCTION("GOOGLETRANSLATE(G910,""pl"",""en"")"),"street. Podwisłocze, Nowe Miasto, Rzeszów, Podkarpackie")</f>
        <v>street. Podwisłocze, Nowe Miasto, Rzeszów, Podkarpackie</v>
      </c>
      <c r="I910" s="1" t="s">
        <v>21</v>
      </c>
      <c r="J910" s="1" t="s">
        <v>21</v>
      </c>
      <c r="K910" s="1" t="s">
        <v>22</v>
      </c>
      <c r="L910" s="1" t="s">
        <v>4277</v>
      </c>
      <c r="M910" s="1">
        <v>3</v>
      </c>
      <c r="N910" s="1" t="s">
        <v>85</v>
      </c>
      <c r="O910" s="1" t="str">
        <f ca="1">IFERROR(__xludf.DUMMYFUNCTION("GOOGLETRANSLATE(N910,""pl"",""en"")"),"Cooperative ownership of the right to the premises")</f>
        <v>Cooperative ownership of the right to the premises</v>
      </c>
      <c r="P910" s="3" t="s">
        <v>4278</v>
      </c>
      <c r="Q910" s="1" t="b">
        <v>1</v>
      </c>
      <c r="R910" s="1" t="s">
        <v>4279</v>
      </c>
    </row>
    <row r="911" spans="1:18" x14ac:dyDescent="0.25">
      <c r="A911" s="2">
        <v>45173</v>
      </c>
      <c r="B911" s="1" t="s">
        <v>4280</v>
      </c>
      <c r="C911" s="1" t="str">
        <f ca="1">IFERROR(__xludf.DUMMYFUNCTION("GOOGLETRANSLATE(B911,""pl"",""en"")"),"Studio apartment with the Gumieńce/Warzymice/Przecław garden")</f>
        <v>Studio apartment with the Gumieńce/Warzymice/Przecław garden</v>
      </c>
      <c r="D911" s="1">
        <v>371000</v>
      </c>
      <c r="E911" s="1" t="s">
        <v>33</v>
      </c>
      <c r="F911" s="1">
        <v>33</v>
      </c>
      <c r="G911" s="1" t="s">
        <v>4281</v>
      </c>
      <c r="H911" s="1" t="str">
        <f ca="1">IFERROR(__xludf.DUMMYFUNCTION("GOOGLETRANSLATE(G911,""pl"",""en"")"),"Ostoja, Kołbaskowo, Policki, West Pomeranian Voivodeship")</f>
        <v>Ostoja, Kołbaskowo, Policki, West Pomeranian Voivodeship</v>
      </c>
      <c r="I911" s="1" t="s">
        <v>21</v>
      </c>
      <c r="J911" s="1" t="s">
        <v>21</v>
      </c>
      <c r="K911" s="1" t="s">
        <v>22</v>
      </c>
      <c r="L911" s="1" t="s">
        <v>4282</v>
      </c>
      <c r="M911" s="1">
        <v>1</v>
      </c>
      <c r="N911" s="1" t="s">
        <v>24</v>
      </c>
      <c r="O911" s="1" t="str">
        <f ca="1">IFERROR(__xludf.DUMMYFUNCTION("GOOGLETRANSLATE(N911,""pl"",""en"")"),"full ownership")</f>
        <v>full ownership</v>
      </c>
      <c r="P911" s="3" t="s">
        <v>4283</v>
      </c>
      <c r="Q911" s="1" t="b">
        <v>1</v>
      </c>
      <c r="R911" s="1" t="s">
        <v>4284</v>
      </c>
    </row>
    <row r="912" spans="1:18" x14ac:dyDescent="0.25">
      <c r="A912" s="2">
        <v>45173</v>
      </c>
      <c r="B912" s="1" t="s">
        <v>4285</v>
      </c>
      <c r="C912" s="1" t="str">
        <f ca="1">IFERROR(__xludf.DUMMYFUNCTION("GOOGLETRANSLATE(B912,""pl"",""en"")"),"House in Chełm Śląski for sale. RESERVATION")</f>
        <v>House in Chełm Śląski for sale. RESERVATION</v>
      </c>
      <c r="D912" s="1">
        <v>649000</v>
      </c>
      <c r="E912" s="1" t="s">
        <v>33</v>
      </c>
      <c r="F912" s="1">
        <v>200</v>
      </c>
      <c r="G912" s="1" t="s">
        <v>4286</v>
      </c>
      <c r="H912" s="1" t="str">
        <f ca="1">IFERROR(__xludf.DUMMYFUNCTION("GOOGLETRANSLATE(G912,""pl"",""en"")"),"Chełm Śląski, Chełm Śląski, Bieruńsko-Lędziński, Silesian Voivodeship")</f>
        <v>Chełm Śląski, Chełm Śląski, Bieruńsko-Lędziński, Silesian Voivodeship</v>
      </c>
      <c r="I912" s="1" t="b">
        <v>1</v>
      </c>
      <c r="J912" s="1" t="s">
        <v>21</v>
      </c>
      <c r="K912" s="1" t="s">
        <v>22</v>
      </c>
      <c r="L912" s="1" t="s">
        <v>4287</v>
      </c>
      <c r="M912" s="1">
        <v>5</v>
      </c>
      <c r="N912" s="1" t="s">
        <v>21</v>
      </c>
      <c r="O912" s="1" t="str">
        <f ca="1">IFERROR(__xludf.DUMMYFUNCTION("GOOGLETRANSLATE(N912,""pl"",""en"")"),"null")</f>
        <v>null</v>
      </c>
      <c r="P912" s="3" t="s">
        <v>4288</v>
      </c>
      <c r="Q912" s="1" t="b">
        <v>1</v>
      </c>
      <c r="R912" s="1" t="s">
        <v>4289</v>
      </c>
    </row>
    <row r="913" spans="1:18" x14ac:dyDescent="0.25">
      <c r="A913" s="2">
        <v>45173</v>
      </c>
      <c r="B913" s="1" t="s">
        <v>4290</v>
      </c>
      <c r="C913" s="1" t="str">
        <f ca="1">IFERROR(__xludf.DUMMYFUNCTION("GOOGLETRANSLATE(B913,""pl"",""en"")"),"A unique apartment with a view of the eyewall worth 0%")</f>
        <v>A unique apartment with a view of the eyewall worth 0%</v>
      </c>
      <c r="D913" s="1">
        <v>761545</v>
      </c>
      <c r="E913" s="1" t="s">
        <v>19</v>
      </c>
      <c r="F913" s="1">
        <v>78.5</v>
      </c>
      <c r="G913" s="1" t="s">
        <v>4690</v>
      </c>
      <c r="H913" s="1" t="str">
        <f ca="1">IFERROR(__xludf.DUMMYFUNCTION("GOOGLETRANSLATE(G913,""pl"",""en"")"),"Starołęka Mała, Nowe Miasto, Poznań, Greater Poland")</f>
        <v>Starołęka Mała, Nowe Miasto, Poznań, Greater Poland</v>
      </c>
      <c r="I913" s="1" t="b">
        <v>1</v>
      </c>
      <c r="J913" s="1" t="s">
        <v>21</v>
      </c>
      <c r="K913" s="1" t="s">
        <v>22</v>
      </c>
      <c r="L913" s="1" t="s">
        <v>4291</v>
      </c>
      <c r="M913" s="1">
        <v>4</v>
      </c>
      <c r="N913" s="1" t="s">
        <v>24</v>
      </c>
      <c r="O913" s="1" t="str">
        <f ca="1">IFERROR(__xludf.DUMMYFUNCTION("GOOGLETRANSLATE(N913,""pl"",""en"")"),"full ownership")</f>
        <v>full ownership</v>
      </c>
      <c r="P913" s="3" t="s">
        <v>4292</v>
      </c>
      <c r="Q913" s="1" t="b">
        <v>1</v>
      </c>
      <c r="R913" s="1" t="s">
        <v>4293</v>
      </c>
    </row>
    <row r="914" spans="1:18" x14ac:dyDescent="0.25">
      <c r="A914" s="2">
        <v>45173</v>
      </c>
      <c r="B914" s="1" t="s">
        <v>4294</v>
      </c>
      <c r="C914" s="1" t="str">
        <f ca="1">IFERROR(__xludf.DUMMYFUNCTION("GOOGLETRANSLATE(B914,""pl"",""en"")"),"Three rooms after renovation with equipment in Gdańsk")</f>
        <v>Three rooms after renovation with equipment in Gdańsk</v>
      </c>
      <c r="D914" s="1">
        <v>675000</v>
      </c>
      <c r="E914" s="1" t="s">
        <v>33</v>
      </c>
      <c r="F914" s="1">
        <v>64</v>
      </c>
      <c r="G914" s="1" t="s">
        <v>4295</v>
      </c>
      <c r="H914" s="1" t="str">
        <f ca="1">IFERROR(__xludf.DUMMYFUNCTION("GOOGLETRANSLATE(G914,""pl"",""en"")"),"Chełm, Gdańsk, Pomeranian Voivodeship")</f>
        <v>Chełm, Gdańsk, Pomeranian Voivodeship</v>
      </c>
      <c r="I914" s="1" t="s">
        <v>21</v>
      </c>
      <c r="J914" s="1" t="s">
        <v>21</v>
      </c>
      <c r="K914" s="1" t="s">
        <v>45</v>
      </c>
      <c r="L914" s="1" t="s">
        <v>4296</v>
      </c>
      <c r="M914" s="1">
        <v>3</v>
      </c>
      <c r="N914" s="1" t="s">
        <v>24</v>
      </c>
      <c r="O914" s="1" t="str">
        <f ca="1">IFERROR(__xludf.DUMMYFUNCTION("GOOGLETRANSLATE(N914,""pl"",""en"")"),"full ownership")</f>
        <v>full ownership</v>
      </c>
      <c r="P914" s="3" t="s">
        <v>4297</v>
      </c>
      <c r="Q914" s="1" t="b">
        <v>1</v>
      </c>
      <c r="R914" s="1" t="s">
        <v>4298</v>
      </c>
    </row>
    <row r="915" spans="1:18" x14ac:dyDescent="0.25">
      <c r="A915" s="2">
        <v>45308</v>
      </c>
      <c r="B915" s="1" t="s">
        <v>4299</v>
      </c>
      <c r="C915" s="1" t="str">
        <f ca="1">IFERROR(__xludf.DUMMYFUNCTION("GOOGLETRANSLATE(B915,""pl"",""en"")"),"Oświęcim apartment")</f>
        <v>Oświęcim apartment</v>
      </c>
      <c r="D915" s="1">
        <v>315000</v>
      </c>
      <c r="E915" s="1" t="s">
        <v>33</v>
      </c>
      <c r="F915" s="1">
        <v>47.44</v>
      </c>
      <c r="G915" s="1" t="s">
        <v>4828</v>
      </c>
      <c r="H915" s="1" t="str">
        <f ca="1">IFERROR(__xludf.DUMMYFUNCTION("GOOGLETRANSLATE(G915,""pl"",""en"")"),"Aleja Jstreetiusz Słowacki, Oświęcim, Oświęcim, Lesser Poland")</f>
        <v>Aleja Jstreetiusz Słowacki, Oświęcim, Oświęcim, Lesser Poland</v>
      </c>
      <c r="I915" s="1" t="s">
        <v>21</v>
      </c>
      <c r="J915" s="1" t="s">
        <v>21</v>
      </c>
      <c r="K915" s="1" t="s">
        <v>22</v>
      </c>
      <c r="L915" s="1" t="s">
        <v>4300</v>
      </c>
      <c r="M915" s="1">
        <v>2</v>
      </c>
      <c r="N915" s="1" t="s">
        <v>24</v>
      </c>
      <c r="O915" s="1" t="str">
        <f ca="1">IFERROR(__xludf.DUMMYFUNCTION("GOOGLETRANSLATE(N915,""pl"",""en"")"),"full ownership")</f>
        <v>full ownership</v>
      </c>
      <c r="P915" s="3" t="s">
        <v>4301</v>
      </c>
      <c r="Q915" s="1" t="b">
        <v>1</v>
      </c>
      <c r="R915" s="1" t="s">
        <v>4302</v>
      </c>
    </row>
    <row r="916" spans="1:18" x14ac:dyDescent="0.25">
      <c r="A916" s="2">
        <v>45308</v>
      </c>
      <c r="B916" s="1" t="s">
        <v>4303</v>
      </c>
      <c r="C916" s="1" t="str">
        <f ca="1">IFERROR(__xludf.DUMMYFUNCTION("GOOGLETRANSLATE(B916,""pl"",""en"")"),"Two -level, terrace 22 sq m, 2 balconies")</f>
        <v>Two -level, terrace 22 sq m, 2 balconies</v>
      </c>
      <c r="D916" s="1">
        <v>880000</v>
      </c>
      <c r="E916" s="1" t="s">
        <v>33</v>
      </c>
      <c r="F916" s="1">
        <v>75.400000000000006</v>
      </c>
      <c r="G916" s="1" t="s">
        <v>4304</v>
      </c>
      <c r="H916" s="1" t="str">
        <f ca="1">IFERROR(__xludf.DUMMYFUNCTION("GOOGLETRANSLATE(G916,""pl"",""en"")"),"street. Kornela Makuszyński, Karwina, Gdynia, Pomeranian Voivodeship")</f>
        <v>street. Kornela Makuszyński, Karwina, Gdynia, Pomeranian Voivodeship</v>
      </c>
      <c r="I916" s="1" t="s">
        <v>21</v>
      </c>
      <c r="J916" s="1" t="s">
        <v>21</v>
      </c>
      <c r="K916" s="1" t="s">
        <v>22</v>
      </c>
      <c r="L916" s="1" t="s">
        <v>4305</v>
      </c>
      <c r="M916" s="1">
        <v>3</v>
      </c>
      <c r="N916" s="1" t="s">
        <v>24</v>
      </c>
      <c r="O916" s="1" t="str">
        <f ca="1">IFERROR(__xludf.DUMMYFUNCTION("GOOGLETRANSLATE(N916,""pl"",""en"")"),"full ownership")</f>
        <v>full ownership</v>
      </c>
      <c r="P916" s="3" t="s">
        <v>4306</v>
      </c>
      <c r="Q916" s="1" t="b">
        <v>1</v>
      </c>
      <c r="R916" s="1" t="s">
        <v>4307</v>
      </c>
    </row>
    <row r="917" spans="1:18" x14ac:dyDescent="0.25">
      <c r="A917" s="2">
        <v>45308</v>
      </c>
      <c r="B917" s="1" t="s">
        <v>4308</v>
      </c>
      <c r="C917" s="1" t="str">
        <f ca="1">IFERROR(__xludf.DUMMYFUNCTION("GOOGLETRANSLATE(B917,""pl"",""en"")"),"A beautiful apartment at Galeria Posnania")</f>
        <v>A beautiful apartment at Galeria Posnania</v>
      </c>
      <c r="D917" s="1">
        <v>519000</v>
      </c>
      <c r="E917" s="1" t="s">
        <v>33</v>
      </c>
      <c r="F917" s="1">
        <v>32</v>
      </c>
      <c r="G917" s="1" t="s">
        <v>4829</v>
      </c>
      <c r="H917" s="1" t="str">
        <f ca="1">IFERROR(__xludf.DUMMYFUNCTION("GOOGLETRANSLATE(G917,""pl"",""en"")"),"Latin, Nowe Miasto, Poznań, Greater Poland")</f>
        <v>Latin, Nowe Miasto, Poznań, Greater Poland</v>
      </c>
      <c r="I917" s="1" t="s">
        <v>21</v>
      </c>
      <c r="J917" s="1" t="s">
        <v>21</v>
      </c>
      <c r="K917" s="1" t="s">
        <v>45</v>
      </c>
      <c r="L917" s="1" t="s">
        <v>4309</v>
      </c>
      <c r="M917" s="1">
        <v>2</v>
      </c>
      <c r="N917" s="1" t="s">
        <v>24</v>
      </c>
      <c r="O917" s="1" t="str">
        <f ca="1">IFERROR(__xludf.DUMMYFUNCTION("GOOGLETRANSLATE(N917,""pl"",""en"")"),"full ownership")</f>
        <v>full ownership</v>
      </c>
      <c r="P917" s="3" t="s">
        <v>4310</v>
      </c>
      <c r="Q917" s="1" t="b">
        <v>1</v>
      </c>
      <c r="R917" s="1" t="s">
        <v>4311</v>
      </c>
    </row>
    <row r="918" spans="1:18" x14ac:dyDescent="0.25">
      <c r="A918" s="2">
        <v>45308</v>
      </c>
      <c r="B918" s="1" t="s">
        <v>4312</v>
      </c>
      <c r="C918" s="1" t="str">
        <f ca="1">IFERROR(__xludf.DUMMYFUNCTION("GOOGLETRANSLATE(B918,""pl"",""en"")"),"A large house for a family")</f>
        <v>A large house for a family</v>
      </c>
      <c r="D918" s="1">
        <v>550000</v>
      </c>
      <c r="E918" s="1" t="s">
        <v>33</v>
      </c>
      <c r="F918" s="1">
        <v>278</v>
      </c>
      <c r="G918" s="1" t="s">
        <v>4830</v>
      </c>
      <c r="H918" s="1" t="str">
        <f ca="1">IFERROR(__xludf.DUMMYFUNCTION("GOOGLETRANSLATE(G918,""pl"",""en"")"),"street. Cicha, Wola Filipowska, Krzeszowice, Kraków, Lesser Poland")</f>
        <v>street. Cicha, Wola Filipowska, Krzeszowice, Kraków, Lesser Poland</v>
      </c>
      <c r="I918" s="1" t="b">
        <v>1</v>
      </c>
      <c r="J918" s="1" t="s">
        <v>21</v>
      </c>
      <c r="K918" s="1" t="s">
        <v>22</v>
      </c>
      <c r="L918" s="1" t="s">
        <v>4313</v>
      </c>
      <c r="M918" s="1">
        <v>5</v>
      </c>
      <c r="N918" s="1" t="s">
        <v>21</v>
      </c>
      <c r="O918" s="1" t="str">
        <f ca="1">IFERROR(__xludf.DUMMYFUNCTION("GOOGLETRANSLATE(N918,""pl"",""en"")"),"null")</f>
        <v>null</v>
      </c>
      <c r="P918" s="3" t="s">
        <v>4314</v>
      </c>
      <c r="Q918" s="1" t="b">
        <v>1</v>
      </c>
      <c r="R918" s="1" t="s">
        <v>4315</v>
      </c>
    </row>
    <row r="919" spans="1:18" x14ac:dyDescent="0.25">
      <c r="A919" s="2">
        <v>45308</v>
      </c>
      <c r="B919" s="1" t="s">
        <v>4316</v>
      </c>
      <c r="C919" s="1" t="str">
        <f ca="1">IFERROR(__xludf.DUMMYFUNCTION("GOOGLETRANSLATE(B919,""pl"",""en"")"),"2 -room apartment ready to introduce")</f>
        <v>2 -room apartment ready to introduce</v>
      </c>
      <c r="D919" s="1">
        <v>279000</v>
      </c>
      <c r="E919" s="1" t="s">
        <v>33</v>
      </c>
      <c r="F919" s="1">
        <v>41</v>
      </c>
      <c r="G919" s="1" t="s">
        <v>4317</v>
      </c>
      <c r="H919" s="1" t="str">
        <f ca="1">IFERROR(__xludf.DUMMYFUNCTION("GOOGLETRANSLATE(G919,""pl"",""en"")"),"street. Piotr Skarga, Piekary Silesian Voivodeship, Silesia")</f>
        <v>street. Piotr Skarga, Piekary Silesian Voivodeship, Silesia</v>
      </c>
      <c r="I919" s="1" t="s">
        <v>21</v>
      </c>
      <c r="J919" s="1" t="s">
        <v>21</v>
      </c>
      <c r="K919" s="1" t="s">
        <v>45</v>
      </c>
      <c r="L919" s="1" t="s">
        <v>4318</v>
      </c>
      <c r="M919" s="1">
        <v>2</v>
      </c>
      <c r="N919" s="1" t="s">
        <v>24</v>
      </c>
      <c r="O919" s="1" t="str">
        <f ca="1">IFERROR(__xludf.DUMMYFUNCTION("GOOGLETRANSLATE(N919,""pl"",""en"")"),"full ownership")</f>
        <v>full ownership</v>
      </c>
      <c r="P919" s="3" t="s">
        <v>4319</v>
      </c>
      <c r="Q919" s="1" t="b">
        <v>1</v>
      </c>
      <c r="R919" s="1" t="s">
        <v>4320</v>
      </c>
    </row>
    <row r="920" spans="1:18" x14ac:dyDescent="0.25">
      <c r="A920" s="2">
        <v>45308</v>
      </c>
      <c r="B920" s="1" t="s">
        <v>4321</v>
      </c>
      <c r="C920" s="1" t="str">
        <f ca="1">IFERROR(__xludf.DUMMYFUNCTION("GOOGLETRANSLATE(B920,""pl"",""en"")"),"Stylish 2 rooms with a laundry and wardrobe in the center")</f>
        <v>Stylish 2 rooms with a laundry and wardrobe in the center</v>
      </c>
      <c r="D920" s="1">
        <v>399000</v>
      </c>
      <c r="E920" s="1" t="s">
        <v>33</v>
      </c>
      <c r="F920" s="1">
        <v>55.75</v>
      </c>
      <c r="G920" s="1" t="s">
        <v>4322</v>
      </c>
      <c r="H920" s="1" t="str">
        <f ca="1">IFERROR(__xludf.DUMMYFUNCTION("GOOGLETRANSLATE(G920,""pl"",""en"")"),"street. Broni, Radom, Masovian Voivodeship")</f>
        <v>street. Broni, Radom, Masovian Voivodeship</v>
      </c>
      <c r="I920" s="1" t="s">
        <v>21</v>
      </c>
      <c r="J920" s="1" t="s">
        <v>21</v>
      </c>
      <c r="K920" s="1" t="s">
        <v>22</v>
      </c>
      <c r="L920" s="1" t="s">
        <v>4323</v>
      </c>
      <c r="M920" s="1">
        <v>2</v>
      </c>
      <c r="N920" s="1" t="s">
        <v>24</v>
      </c>
      <c r="O920" s="1" t="str">
        <f ca="1">IFERROR(__xludf.DUMMYFUNCTION("GOOGLETRANSLATE(N920,""pl"",""en"")"),"full ownership")</f>
        <v>full ownership</v>
      </c>
      <c r="P920" s="3" t="s">
        <v>4324</v>
      </c>
      <c r="Q920" s="1" t="b">
        <v>1</v>
      </c>
      <c r="R920" s="1" t="s">
        <v>4325</v>
      </c>
    </row>
    <row r="921" spans="1:18" x14ac:dyDescent="0.25">
      <c r="A921" s="2">
        <v>45173</v>
      </c>
      <c r="B921" s="1" t="s">
        <v>4326</v>
      </c>
      <c r="C921" s="1" t="str">
        <f ca="1">IFERROR(__xludf.DUMMYFUNCTION("GOOGLETRANSLATE(B921,""pl"",""en"")"),"I will sell a new house with a garage hall and a large plot!")</f>
        <v>I will sell a new house with a garage hall and a large plot!</v>
      </c>
      <c r="D921" s="1">
        <v>1300000</v>
      </c>
      <c r="E921" s="1" t="s">
        <v>19</v>
      </c>
      <c r="F921" s="1">
        <v>386</v>
      </c>
      <c r="G921" s="1" t="s">
        <v>4831</v>
      </c>
      <c r="H921" s="1" t="str">
        <f ca="1">IFERROR(__xludf.DUMMYFUNCTION("GOOGLETRANSLATE(G921,""pl"",""en"")"),"street. Teresa Remiszewska, Międzychód, Międzychód, Międzychodzki, Greater Poland")</f>
        <v>street. Teresa Remiszewska, Międzychód, Międzychód, Międzychodzki, Greater Poland</v>
      </c>
      <c r="I921" s="1" t="b">
        <v>1</v>
      </c>
      <c r="J921" s="1" t="s">
        <v>21</v>
      </c>
      <c r="K921" s="1" t="s">
        <v>22</v>
      </c>
      <c r="L921" s="1" t="s">
        <v>4327</v>
      </c>
      <c r="M921" s="1">
        <v>4</v>
      </c>
      <c r="N921" s="1" t="s">
        <v>21</v>
      </c>
      <c r="O921" s="1" t="str">
        <f ca="1">IFERROR(__xludf.DUMMYFUNCTION("GOOGLETRANSLATE(N921,""pl"",""en"")"),"null")</f>
        <v>null</v>
      </c>
      <c r="P921" s="3" t="s">
        <v>4328</v>
      </c>
      <c r="Q921" s="1" t="b">
        <v>1</v>
      </c>
      <c r="R921" s="1" t="s">
        <v>4329</v>
      </c>
    </row>
    <row r="922" spans="1:18" x14ac:dyDescent="0.25">
      <c r="A922" s="2">
        <v>45173</v>
      </c>
      <c r="B922" s="1" t="s">
        <v>4330</v>
      </c>
      <c r="C922" s="1" t="str">
        <f ca="1">IFERROR(__xludf.DUMMYFUNCTION("GOOGLETRANSLATE(B922,""pl"",""en"")"),"Tenement house * 2.8h * 2 balconies * view * Parkiet")</f>
        <v>Tenement house * 2.8h * 2 balconies * view * Parkiet</v>
      </c>
      <c r="D922" s="1">
        <v>1100000</v>
      </c>
      <c r="E922" s="1" t="s">
        <v>33</v>
      </c>
      <c r="F922" s="1">
        <v>63</v>
      </c>
      <c r="G922" s="1" t="s">
        <v>3940</v>
      </c>
      <c r="H922" s="1" t="str">
        <f ca="1">IFERROR(__xludf.DUMMYFUNCTION("GOOGLETRANSLATE(G922,""pl"",""en"")"),"Nowa Praga, Praga-Północ, Warsaw, Masovian Voivodeship")</f>
        <v>Nowa Praga, Praga-Północ, Warsaw, Masovian Voivodeship</v>
      </c>
      <c r="I922" s="1" t="s">
        <v>21</v>
      </c>
      <c r="J922" s="1" t="s">
        <v>21</v>
      </c>
      <c r="K922" s="1" t="s">
        <v>22</v>
      </c>
      <c r="L922" s="1" t="s">
        <v>4331</v>
      </c>
      <c r="M922" s="1">
        <v>3</v>
      </c>
      <c r="N922" s="1" t="s">
        <v>24</v>
      </c>
      <c r="O922" s="1" t="str">
        <f ca="1">IFERROR(__xludf.DUMMYFUNCTION("GOOGLETRANSLATE(N922,""pl"",""en"")"),"full ownership")</f>
        <v>full ownership</v>
      </c>
      <c r="P922" s="3" t="s">
        <v>4332</v>
      </c>
      <c r="Q922" s="1" t="b">
        <v>1</v>
      </c>
      <c r="R922" s="1" t="s">
        <v>4333</v>
      </c>
    </row>
    <row r="923" spans="1:18" x14ac:dyDescent="0.25">
      <c r="A923" s="2">
        <v>45173</v>
      </c>
      <c r="B923" s="1" t="s">
        <v>4334</v>
      </c>
      <c r="C923" s="1" t="str">
        <f ca="1">IFERROR(__xludf.DUMMYFUNCTION("GOOGLETRANSLATE(B923,""pl"",""en"")"),"Ustroń Profession-Nowa Apartments 51M2, with a garden")</f>
        <v>Ustroń Profession-Nowa Apartments 51M2, with a garden</v>
      </c>
      <c r="D923" s="1">
        <v>529000</v>
      </c>
      <c r="E923" s="1" t="s">
        <v>33</v>
      </c>
      <c r="F923" s="1">
        <v>51.1</v>
      </c>
      <c r="G923" s="1" t="s">
        <v>369</v>
      </c>
      <c r="H923" s="1" t="str">
        <f ca="1">IFERROR(__xludf.DUMMYFUNCTION("GOOGLETRANSLATE(G923,""pl"",""en"")"),"Ustroń, Cieszyński, Silesian Voivodeship")</f>
        <v>Ustroń, Cieszyński, Silesian Voivodeship</v>
      </c>
      <c r="I923" s="1" t="s">
        <v>21</v>
      </c>
      <c r="J923" s="1" t="s">
        <v>21</v>
      </c>
      <c r="K923" s="1" t="s">
        <v>22</v>
      </c>
      <c r="L923" s="1" t="s">
        <v>4335</v>
      </c>
      <c r="M923" s="1">
        <v>3</v>
      </c>
      <c r="N923" s="1" t="s">
        <v>24</v>
      </c>
      <c r="O923" s="1" t="str">
        <f ca="1">IFERROR(__xludf.DUMMYFUNCTION("GOOGLETRANSLATE(N923,""pl"",""en"")"),"full ownership")</f>
        <v>full ownership</v>
      </c>
      <c r="P923" s="3" t="s">
        <v>4336</v>
      </c>
      <c r="Q923" s="1" t="b">
        <v>1</v>
      </c>
      <c r="R923" s="1" t="s">
        <v>4337</v>
      </c>
    </row>
    <row r="924" spans="1:18" x14ac:dyDescent="0.25">
      <c r="A924" s="2">
        <v>45173</v>
      </c>
      <c r="B924" s="1" t="s">
        <v>4338</v>
      </c>
      <c r="C924" s="1" t="str">
        <f ca="1">IFERROR(__xludf.DUMMYFUNCTION("GOOGLETRANSLATE(B924,""pl"",""en"")"),"Nice 2 rooms for sale!")</f>
        <v>Nice 2 rooms for sale!</v>
      </c>
      <c r="D924" s="1">
        <v>299000</v>
      </c>
      <c r="E924" s="1" t="s">
        <v>33</v>
      </c>
      <c r="F924" s="1">
        <v>47</v>
      </c>
      <c r="G924" s="1" t="s">
        <v>4832</v>
      </c>
      <c r="H924" s="1" t="str">
        <f ca="1">IFERROR(__xludf.DUMMYFUNCTION("GOOGLETRANSLATE(G924,""pl"",""en"")"),"Brzeg, Brzeski, Opole Voivodeship")</f>
        <v>Brzeg, Brzeski, Opole Voivodeship</v>
      </c>
      <c r="I924" s="1" t="s">
        <v>21</v>
      </c>
      <c r="J924" s="1" t="s">
        <v>21</v>
      </c>
      <c r="K924" s="1" t="s">
        <v>22</v>
      </c>
      <c r="L924" s="1" t="s">
        <v>4339</v>
      </c>
      <c r="M924" s="1">
        <v>2</v>
      </c>
      <c r="N924" s="1" t="s">
        <v>24</v>
      </c>
      <c r="O924" s="1" t="str">
        <f ca="1">IFERROR(__xludf.DUMMYFUNCTION("GOOGLETRANSLATE(N924,""pl"",""en"")"),"full ownership")</f>
        <v>full ownership</v>
      </c>
      <c r="P924" s="3" t="s">
        <v>4340</v>
      </c>
      <c r="Q924" s="1" t="b">
        <v>1</v>
      </c>
      <c r="R924" s="1" t="s">
        <v>4341</v>
      </c>
    </row>
    <row r="925" spans="1:18" x14ac:dyDescent="0.25">
      <c r="A925" s="2">
        <v>45173</v>
      </c>
      <c r="B925" s="1" t="s">
        <v>658</v>
      </c>
      <c r="C925" s="1" t="str">
        <f ca="1">IFERROR(__xludf.DUMMYFUNCTION("GOOGLETRANSLATE(B925,""pl"",""en"")"),"A sensational offer for a family or investment")</f>
        <v>A sensational offer for a family or investment</v>
      </c>
      <c r="D925" s="1">
        <v>949000</v>
      </c>
      <c r="E925" s="1" t="s">
        <v>33</v>
      </c>
      <c r="F925" s="1">
        <v>67.2</v>
      </c>
      <c r="G925" s="1" t="s">
        <v>4342</v>
      </c>
      <c r="H925" s="1" t="str">
        <f ca="1">IFERROR(__xludf.DUMMYFUNCTION("GOOGLETRANSLATE(G925,""pl"",""en"")"),"al. Aleja Rzeczpospolita, Błonia Wilanów, Wilanów, Warsaw, Masovian Voivodeship")</f>
        <v>al. Aleja Rzeczpospolita, Błonia Wilanów, Wilanów, Warsaw, Masovian Voivodeship</v>
      </c>
      <c r="I925" s="1" t="s">
        <v>21</v>
      </c>
      <c r="J925" s="1" t="s">
        <v>21</v>
      </c>
      <c r="K925" s="1" t="s">
        <v>22</v>
      </c>
      <c r="L925" s="1" t="s">
        <v>4343</v>
      </c>
      <c r="M925" s="1">
        <v>2</v>
      </c>
      <c r="N925" s="1" t="s">
        <v>24</v>
      </c>
      <c r="O925" s="1" t="str">
        <f ca="1">IFERROR(__xludf.DUMMYFUNCTION("GOOGLETRANSLATE(N925,""pl"",""en"")"),"full ownership")</f>
        <v>full ownership</v>
      </c>
      <c r="P925" s="3" t="s">
        <v>4344</v>
      </c>
      <c r="Q925" s="1" t="b">
        <v>1</v>
      </c>
      <c r="R925" s="1" t="s">
        <v>4345</v>
      </c>
    </row>
    <row r="926" spans="1:18" x14ac:dyDescent="0.25">
      <c r="A926" s="2">
        <v>45173</v>
      </c>
      <c r="B926" s="1" t="s">
        <v>4346</v>
      </c>
      <c r="C926" s="1" t="str">
        <f ca="1">IFERROR(__xludf.DUMMYFUNCTION("GOOGLETRANSLATE(B926,""pl"",""en"")"),"Sunny apartment with a large terrace")</f>
        <v>Sunny apartment with a large terrace</v>
      </c>
      <c r="D926" s="1">
        <v>589000</v>
      </c>
      <c r="E926" s="1" t="s">
        <v>33</v>
      </c>
      <c r="F926" s="1">
        <v>82.66</v>
      </c>
      <c r="G926" s="1" t="s">
        <v>4347</v>
      </c>
      <c r="H926" s="1" t="str">
        <f ca="1">IFERROR(__xludf.DUMMYFUNCTION("GOOGLETRANSLATE(G926,""pl"",""en"")"),"street. Powstańców Warszawy, Pruszcz Gdański, Gdański, Pomeranian")</f>
        <v>street. Powstańców Warszawy, Pruszcz Gdański, Gdański, Pomeranian</v>
      </c>
      <c r="I926" s="1" t="s">
        <v>21</v>
      </c>
      <c r="J926" s="1" t="s">
        <v>21</v>
      </c>
      <c r="K926" s="1" t="s">
        <v>22</v>
      </c>
      <c r="L926" s="1" t="s">
        <v>4348</v>
      </c>
      <c r="M926" s="1">
        <v>3</v>
      </c>
      <c r="N926" s="1" t="s">
        <v>24</v>
      </c>
      <c r="O926" s="1" t="str">
        <f ca="1">IFERROR(__xludf.DUMMYFUNCTION("GOOGLETRANSLATE(N926,""pl"",""en"")"),"full ownership")</f>
        <v>full ownership</v>
      </c>
      <c r="P926" s="3" t="s">
        <v>4349</v>
      </c>
      <c r="Q926" s="1" t="b">
        <v>1</v>
      </c>
      <c r="R926" s="1" t="s">
        <v>4350</v>
      </c>
    </row>
    <row r="927" spans="1:18" x14ac:dyDescent="0.25">
      <c r="A927" s="2">
        <v>45308</v>
      </c>
      <c r="B927" s="1" t="s">
        <v>4351</v>
      </c>
      <c r="C927" s="1" t="str">
        <f ca="1">IFERROR(__xludf.DUMMYFUNCTION("GOOGLETRANSLATE(B927,""pl"",""en"")"),"Apartment, 39.09 m², Gorzów Wielkopolski")</f>
        <v>Apartment, 39.09 m², Gorzów Wielkopolski</v>
      </c>
      <c r="D927" s="1">
        <v>299000</v>
      </c>
      <c r="E927" s="1" t="s">
        <v>33</v>
      </c>
      <c r="F927" s="1">
        <v>39.090000000000003</v>
      </c>
      <c r="G927" s="1" t="s">
        <v>4841</v>
      </c>
      <c r="H927" s="1" t="str">
        <f ca="1">IFERROR(__xludf.DUMMYFUNCTION("GOOGLETRANSLATE(G927,""pl"",""en"")"),"Gorzów Wielkopolski, Lubusz Voivodeship")</f>
        <v>Gorzów Wielkopolski, Lubusz Voivodeship</v>
      </c>
      <c r="I927" s="1" t="s">
        <v>21</v>
      </c>
      <c r="J927" s="1" t="s">
        <v>21</v>
      </c>
      <c r="K927" s="1" t="s">
        <v>22</v>
      </c>
      <c r="L927" s="1" t="s">
        <v>4352</v>
      </c>
      <c r="M927" s="1">
        <v>2</v>
      </c>
      <c r="N927" s="1" t="s">
        <v>24</v>
      </c>
      <c r="O927" s="1" t="str">
        <f ca="1">IFERROR(__xludf.DUMMYFUNCTION("GOOGLETRANSLATE(N927,""pl"",""en"")"),"full ownership")</f>
        <v>full ownership</v>
      </c>
      <c r="P927" s="3" t="s">
        <v>4353</v>
      </c>
      <c r="Q927" s="1" t="b">
        <v>1</v>
      </c>
      <c r="R927" s="1" t="s">
        <v>4354</v>
      </c>
    </row>
    <row r="928" spans="1:18" x14ac:dyDescent="0.25">
      <c r="A928" s="2">
        <v>45308</v>
      </c>
      <c r="B928" s="1" t="s">
        <v>4355</v>
      </c>
      <c r="C928" s="1" t="str">
        <f ca="1">IFERROR(__xludf.DUMMYFUNCTION("GOOGLETRANSLATE(B928,""pl"",""en"")"),"Kołobrzeg- Apartment in Villa Tarsis")</f>
        <v>Kołobrzeg- Apartment in Villa Tarsis</v>
      </c>
      <c r="D928" s="1">
        <v>455000</v>
      </c>
      <c r="E928" s="1" t="s">
        <v>33</v>
      </c>
      <c r="F928" s="1">
        <v>47.7</v>
      </c>
      <c r="G928" s="1" t="s">
        <v>150</v>
      </c>
      <c r="H928" s="1" t="str">
        <f ca="1">IFERROR(__xludf.DUMMYFUNCTION("GOOGLETRANSLATE(G928,""pl"",""en"")"),"Kołobrzeg, Kołobrzeski, ZachodnioPomeranian Voivodeship")</f>
        <v>Kołobrzeg, Kołobrzeski, ZachodnioPomeranian Voivodeship</v>
      </c>
      <c r="I928" s="1" t="s">
        <v>21</v>
      </c>
      <c r="J928" s="1" t="s">
        <v>21</v>
      </c>
      <c r="K928" s="1" t="s">
        <v>22</v>
      </c>
      <c r="L928" s="1" t="s">
        <v>4356</v>
      </c>
      <c r="M928" s="1">
        <v>2</v>
      </c>
      <c r="N928" s="1" t="s">
        <v>24</v>
      </c>
      <c r="O928" s="1" t="str">
        <f ca="1">IFERROR(__xludf.DUMMYFUNCTION("GOOGLETRANSLATE(N928,""pl"",""en"")"),"full ownership")</f>
        <v>full ownership</v>
      </c>
      <c r="P928" s="3" t="s">
        <v>4357</v>
      </c>
      <c r="Q928" s="1" t="b">
        <v>1</v>
      </c>
      <c r="R928" s="1" t="s">
        <v>4358</v>
      </c>
    </row>
    <row r="929" spans="1:18" x14ac:dyDescent="0.25">
      <c r="A929" s="2">
        <v>45308</v>
      </c>
      <c r="B929" s="1" t="s">
        <v>4359</v>
      </c>
      <c r="C929" s="1" t="str">
        <f ca="1">IFERROR(__xludf.DUMMYFUNCTION("GOOGLETRANSLATE(B929,""pl"",""en"")"),"Sunny three -room apartment with a balcony")</f>
        <v>Sunny three -room apartment with a balcony</v>
      </c>
      <c r="D929" s="1">
        <v>609000</v>
      </c>
      <c r="E929" s="1" t="s">
        <v>33</v>
      </c>
      <c r="F929" s="1">
        <v>56.9</v>
      </c>
      <c r="G929" s="1" t="s">
        <v>4360</v>
      </c>
      <c r="H929" s="1" t="str">
        <f ca="1">IFERROR(__xludf.DUMMYFUNCTION("GOOGLETRANSLATE(G929,""pl"",""en"")"),"street. Gdynia, Świnoujście, West Pomeranian Voivodeship")</f>
        <v>street. Gdynia, Świnoujście, West Pomeranian Voivodeship</v>
      </c>
      <c r="I929" s="1" t="b">
        <v>1</v>
      </c>
      <c r="J929" s="1" t="s">
        <v>21</v>
      </c>
      <c r="K929" s="1" t="s">
        <v>22</v>
      </c>
      <c r="L929" s="1" t="s">
        <v>4361</v>
      </c>
      <c r="M929" s="1">
        <v>3</v>
      </c>
      <c r="N929" s="1" t="s">
        <v>24</v>
      </c>
      <c r="O929" s="1" t="str">
        <f ca="1">IFERROR(__xludf.DUMMYFUNCTION("GOOGLETRANSLATE(N929,""pl"",""en"")"),"full ownership")</f>
        <v>full ownership</v>
      </c>
      <c r="P929" s="3" t="s">
        <v>4362</v>
      </c>
      <c r="Q929" s="1" t="b">
        <v>1</v>
      </c>
      <c r="R929" s="1" t="s">
        <v>4363</v>
      </c>
    </row>
    <row r="930" spans="1:18" x14ac:dyDescent="0.25">
      <c r="A930" s="2">
        <v>45308</v>
      </c>
      <c r="B930" s="1" t="s">
        <v>4364</v>
      </c>
      <c r="C930" s="1" t="str">
        <f ca="1">IFERROR(__xludf.DUMMYFUNCTION("GOOGLETRANSLATE(B930,""pl"",""en"")"),"I will sell an apartment in the center of Supraśl")</f>
        <v>I will sell an apartment in the center of Supraśl</v>
      </c>
      <c r="D930" s="1">
        <v>320000</v>
      </c>
      <c r="E930" s="1" t="s">
        <v>33</v>
      </c>
      <c r="F930" s="1">
        <v>52</v>
      </c>
      <c r="G930" s="1" t="s">
        <v>4365</v>
      </c>
      <c r="H930" s="1" t="str">
        <f ca="1">IFERROR(__xludf.DUMMYFUNCTION("GOOGLETRANSLATE(G930,""pl"",""en"")"),"Supraśl, Supraśl, Białystok, Podlasie")</f>
        <v>Supraśl, Supraśl, Białystok, Podlasie</v>
      </c>
      <c r="I930" s="1" t="s">
        <v>21</v>
      </c>
      <c r="J930" s="1" t="s">
        <v>21</v>
      </c>
      <c r="K930" s="1" t="s">
        <v>45</v>
      </c>
      <c r="L930" s="1" t="s">
        <v>4366</v>
      </c>
      <c r="M930" s="1">
        <v>2</v>
      </c>
      <c r="N930" s="1" t="s">
        <v>24</v>
      </c>
      <c r="O930" s="1" t="str">
        <f ca="1">IFERROR(__xludf.DUMMYFUNCTION("GOOGLETRANSLATE(N930,""pl"",""en"")"),"full ownership")</f>
        <v>full ownership</v>
      </c>
      <c r="P930" s="3" t="s">
        <v>4367</v>
      </c>
      <c r="Q930" s="1" t="b">
        <v>1</v>
      </c>
      <c r="R930" s="1" t="s">
        <v>4368</v>
      </c>
    </row>
    <row r="931" spans="1:18" x14ac:dyDescent="0.25">
      <c r="A931" s="2">
        <v>45308</v>
      </c>
      <c r="B931" s="1" t="s">
        <v>4369</v>
      </c>
      <c r="C931" s="1" t="str">
        <f ca="1">IFERROR(__xludf.DUMMYFUNCTION("GOOGLETRANSLATE(B931,""pl"",""en"")"),"Apartment BRDA")</f>
        <v>Apartment BRDA</v>
      </c>
      <c r="D931" s="1">
        <v>462725</v>
      </c>
      <c r="E931" s="1" t="s">
        <v>19</v>
      </c>
      <c r="F931" s="1">
        <v>55.75</v>
      </c>
      <c r="G931" s="1" t="s">
        <v>4370</v>
      </c>
      <c r="H931" s="1" t="str">
        <f ca="1">IFERROR(__xludf.DUMMYFUNCTION("GOOGLETRANSLATE(G931,""pl"",""en"")"),"street. Dworcowa, Śródmieście, Bydgoszcz, Kujawsko-Pomeranian Voivodeship")</f>
        <v>street. Dworcowa, Śródmieście, Bydgoszcz, Kujawsko-Pomeranian Voivodeship</v>
      </c>
      <c r="I931" s="1" t="s">
        <v>21</v>
      </c>
      <c r="J931" s="1" t="s">
        <v>21</v>
      </c>
      <c r="K931" s="1" t="s">
        <v>194</v>
      </c>
      <c r="L931" s="1" t="s">
        <v>4371</v>
      </c>
      <c r="M931" s="1">
        <v>2</v>
      </c>
      <c r="N931" s="1" t="s">
        <v>24</v>
      </c>
      <c r="O931" s="1" t="str">
        <f ca="1">IFERROR(__xludf.DUMMYFUNCTION("GOOGLETRANSLATE(N931,""pl"",""en"")"),"full ownership")</f>
        <v>full ownership</v>
      </c>
      <c r="P931" s="3" t="s">
        <v>4372</v>
      </c>
      <c r="Q931" s="1" t="b">
        <v>1</v>
      </c>
      <c r="R931" s="1" t="s">
        <v>4373</v>
      </c>
    </row>
    <row r="932" spans="1:18" x14ac:dyDescent="0.25">
      <c r="A932" s="2">
        <v>45308</v>
      </c>
      <c r="B932" s="1" t="s">
        <v>4374</v>
      </c>
      <c r="C932" s="1" t="str">
        <f ca="1">IFERROR(__xludf.DUMMYFUNCTION("GOOGLETRANSLATE(B932,""pl"",""en"")"),"3 -room apartment for sale, Dzierżoniów")</f>
        <v>3 -room apartment for sale, Dzierżoniów</v>
      </c>
      <c r="D932" s="1">
        <v>285000</v>
      </c>
      <c r="E932" s="1" t="s">
        <v>33</v>
      </c>
      <c r="F932" s="1">
        <v>56</v>
      </c>
      <c r="G932" s="1" t="s">
        <v>4375</v>
      </c>
      <c r="H932" s="1" t="str">
        <f ca="1">IFERROR(__xludf.DUMMYFUNCTION("GOOGLETRANSLATE(G932,""pl"",""en"")"),"Dzierżoniów, Dzierżoniowski, DolnoSilesian Voivodeship")</f>
        <v>Dzierżoniów, Dzierżoniowski, DolnoSilesian Voivodeship</v>
      </c>
      <c r="I932" s="1" t="s">
        <v>21</v>
      </c>
      <c r="J932" s="1" t="s">
        <v>21</v>
      </c>
      <c r="K932" s="1" t="s">
        <v>22</v>
      </c>
      <c r="L932" s="1" t="s">
        <v>4376</v>
      </c>
      <c r="M932" s="1">
        <v>3</v>
      </c>
      <c r="N932" s="1" t="s">
        <v>85</v>
      </c>
      <c r="O932" s="1" t="str">
        <f ca="1">IFERROR(__xludf.DUMMYFUNCTION("GOOGLETRANSLATE(N932,""pl"",""en"")"),"Cooperative ownership of the right to the premises")</f>
        <v>Cooperative ownership of the right to the premises</v>
      </c>
      <c r="P932" s="3" t="s">
        <v>4377</v>
      </c>
      <c r="Q932" s="1" t="b">
        <v>1</v>
      </c>
      <c r="R932" s="1" t="s">
        <v>4378</v>
      </c>
    </row>
    <row r="933" spans="1:18" x14ac:dyDescent="0.25">
      <c r="A933" s="2">
        <v>45308</v>
      </c>
      <c r="B933" s="1" t="s">
        <v>4379</v>
      </c>
      <c r="C933" s="1" t="str">
        <f ca="1">IFERROR(__xludf.DUMMYFUNCTION("GOOGLETRANSLATE(B933,""pl"",""en"")"),"Sasanka XL with garage, 4 rooms, 2 bathrooms, garden")</f>
        <v>Sasanka XL with garage, 4 rooms, 2 bathrooms, garden</v>
      </c>
      <c r="D933" s="1">
        <v>549000</v>
      </c>
      <c r="E933" s="1" t="s">
        <v>19</v>
      </c>
      <c r="F933" s="1">
        <v>101</v>
      </c>
      <c r="G933" s="1" t="s">
        <v>4380</v>
      </c>
      <c r="H933" s="1" t="str">
        <f ca="1">IFERROR(__xludf.DUMMYFUNCTION("GOOGLETRANSLATE(G933,""pl"",""en"")"),"Ciechanów, Ciechanowski, Masovian Voivodeship")</f>
        <v>Ciechanów, Ciechanowski, Masovian Voivodeship</v>
      </c>
      <c r="I933" s="1" t="b">
        <v>1</v>
      </c>
      <c r="J933" s="1" t="s">
        <v>21</v>
      </c>
      <c r="K933" s="1" t="s">
        <v>45</v>
      </c>
      <c r="L933" s="1" t="s">
        <v>4381</v>
      </c>
      <c r="M933" s="1">
        <v>4</v>
      </c>
      <c r="N933" s="1" t="s">
        <v>21</v>
      </c>
      <c r="O933" s="1" t="str">
        <f ca="1">IFERROR(__xludf.DUMMYFUNCTION("GOOGLETRANSLATE(N933,""pl"",""en"")"),"null")</f>
        <v>null</v>
      </c>
      <c r="P933" s="3" t="s">
        <v>4382</v>
      </c>
      <c r="Q933" s="1" t="b">
        <v>1</v>
      </c>
      <c r="R933" s="1" t="s">
        <v>4383</v>
      </c>
    </row>
    <row r="934" spans="1:18" x14ac:dyDescent="0.25">
      <c r="A934" s="2">
        <v>45173</v>
      </c>
      <c r="B934" s="1" t="s">
        <v>4384</v>
      </c>
      <c r="C934" s="1" t="str">
        <f ca="1">IFERROR(__xludf.DUMMYFUNCTION("GOOGLETRANSLATE(B934,""pl"",""en"")"),"A well -designed house in Mosina -NOWA PRICE")</f>
        <v>A well -designed house in Mosina -NOWA PRICE</v>
      </c>
      <c r="D934" s="1">
        <v>849500</v>
      </c>
      <c r="E934" s="1" t="s">
        <v>19</v>
      </c>
      <c r="F934" s="1">
        <v>199</v>
      </c>
      <c r="G934" s="1" t="s">
        <v>4833</v>
      </c>
      <c r="H934" s="1" t="str">
        <f ca="1">IFERROR(__xludf.DUMMYFUNCTION("GOOGLETRANSLATE(G934,""pl"",""en"")"),"Mosina, Mosina, Poznań, Greater Poland")</f>
        <v>Mosina, Mosina, Poznań, Greater Poland</v>
      </c>
      <c r="I934" s="1" t="b">
        <v>1</v>
      </c>
      <c r="J934" s="1" t="s">
        <v>21</v>
      </c>
      <c r="K934" s="1" t="s">
        <v>22</v>
      </c>
      <c r="L934" s="1" t="s">
        <v>4385</v>
      </c>
      <c r="M934" s="1">
        <v>7</v>
      </c>
      <c r="N934" s="1" t="s">
        <v>21</v>
      </c>
      <c r="O934" s="1" t="str">
        <f ca="1">IFERROR(__xludf.DUMMYFUNCTION("GOOGLETRANSLATE(N934,""pl"",""en"")"),"null")</f>
        <v>null</v>
      </c>
      <c r="P934" s="3" t="s">
        <v>4386</v>
      </c>
      <c r="Q934" s="1" t="b">
        <v>1</v>
      </c>
      <c r="R934" s="1" t="s">
        <v>4387</v>
      </c>
    </row>
    <row r="935" spans="1:18" x14ac:dyDescent="0.25">
      <c r="A935" s="2">
        <v>45173</v>
      </c>
      <c r="B935" s="1" t="s">
        <v>4388</v>
      </c>
      <c r="C935" s="1" t="str">
        <f ca="1">IFERROR(__xludf.DUMMYFUNCTION("GOOGLETRANSLATE(B935,""pl"",""en"")"),"Comfortable house-Doma, Zabierzów. New price !!!")</f>
        <v>Comfortable house-Doma, Zabierzów. New price !!!</v>
      </c>
      <c r="D935" s="1">
        <v>1080000</v>
      </c>
      <c r="E935" s="1" t="s">
        <v>33</v>
      </c>
      <c r="F935" s="1">
        <v>156</v>
      </c>
      <c r="G935" s="1" t="s">
        <v>4834</v>
      </c>
      <c r="H935" s="1" t="str">
        <f ca="1">IFERROR(__xludf.DUMMYFUNCTION("GOOGLETRANSLATE(G935,""pl"",""en"")"),"Rudawa, Zabierzów, Kraków, Lesser Poland")</f>
        <v>Rudawa, Zabierzów, Kraków, Lesser Poland</v>
      </c>
      <c r="I935" s="1" t="b">
        <v>1</v>
      </c>
      <c r="J935" s="1" t="s">
        <v>21</v>
      </c>
      <c r="K935" s="1" t="s">
        <v>22</v>
      </c>
      <c r="L935" s="1" t="s">
        <v>4389</v>
      </c>
      <c r="M935" s="1">
        <v>7</v>
      </c>
      <c r="N935" s="1" t="s">
        <v>21</v>
      </c>
      <c r="O935" s="1" t="str">
        <f ca="1">IFERROR(__xludf.DUMMYFUNCTION("GOOGLETRANSLATE(N935,""pl"",""en"")"),"null")</f>
        <v>null</v>
      </c>
      <c r="P935" s="3" t="s">
        <v>4390</v>
      </c>
      <c r="Q935" s="1" t="b">
        <v>1</v>
      </c>
      <c r="R935" s="1" t="s">
        <v>4391</v>
      </c>
    </row>
    <row r="936" spans="1:18" x14ac:dyDescent="0.25">
      <c r="A936" s="2">
        <v>45173</v>
      </c>
      <c r="B936" s="1" t="s">
        <v>4392</v>
      </c>
      <c r="C936" s="1" t="str">
        <f ca="1">IFERROR(__xludf.DUMMYFUNCTION("GOOGLETRANSLATE(B936,""pl"",""en"")"),"Houses with gardens near Gdynia 149m2")</f>
        <v>Houses with gardens near Gdynia 149m2</v>
      </c>
      <c r="D936" s="1">
        <v>1019000</v>
      </c>
      <c r="E936" s="1" t="s">
        <v>19</v>
      </c>
      <c r="F936" s="1">
        <v>149</v>
      </c>
      <c r="G936" s="1" t="s">
        <v>4393</v>
      </c>
      <c r="H936" s="1" t="str">
        <f ca="1">IFERROR(__xludf.DUMMYFUNCTION("GOOGLETRANSLATE(G936,""pl"",""en"")"),"Jaworowe Wzgórze, Pogórze, Kosakowo, Pucki, Pomeranian")</f>
        <v>Jaworowe Wzgórze, Pogórze, Kosakowo, Pucki, Pomeranian</v>
      </c>
      <c r="I936" s="1" t="b">
        <v>1</v>
      </c>
      <c r="J936" s="1" t="s">
        <v>21</v>
      </c>
      <c r="K936" s="1" t="s">
        <v>22</v>
      </c>
      <c r="L936" s="1" t="s">
        <v>4394</v>
      </c>
      <c r="M936" s="1">
        <v>5</v>
      </c>
      <c r="N936" s="1" t="s">
        <v>21</v>
      </c>
      <c r="O936" s="1" t="str">
        <f ca="1">IFERROR(__xludf.DUMMYFUNCTION("GOOGLETRANSLATE(N936,""pl"",""en"")"),"null")</f>
        <v>null</v>
      </c>
      <c r="P936" s="3" t="s">
        <v>4395</v>
      </c>
      <c r="Q936" s="1" t="b">
        <v>1</v>
      </c>
      <c r="R936" s="1" t="s">
        <v>4396</v>
      </c>
    </row>
    <row r="937" spans="1:18" x14ac:dyDescent="0.25">
      <c r="A937" s="2">
        <v>45173</v>
      </c>
      <c r="B937" s="1" t="s">
        <v>4397</v>
      </c>
      <c r="C937" s="1" t="str">
        <f ca="1">IFERROR(__xludf.DUMMYFUNCTION("GOOGLETRANSLATE(B937,""pl"",""en"")"),"Ground floor - 2 rooms to the entrance.")</f>
        <v>Ground floor - 2 rooms to the entrance.</v>
      </c>
      <c r="D937" s="1">
        <v>359000</v>
      </c>
      <c r="E937" s="1" t="s">
        <v>33</v>
      </c>
      <c r="F937" s="1">
        <v>45.7</v>
      </c>
      <c r="G937" s="1" t="s">
        <v>4398</v>
      </c>
      <c r="H937" s="1" t="str">
        <f ca="1">IFERROR(__xludf.DUMMYFUNCTION("GOOGLETRANSLATE(G937,""pl"",""en"")"),"street. Antoniukowska, Antoniuk, Białystok, Podlasie")</f>
        <v>street. Antoniukowska, Antoniuk, Białystok, Podlasie</v>
      </c>
      <c r="I937" s="1" t="s">
        <v>21</v>
      </c>
      <c r="J937" s="1" t="s">
        <v>21</v>
      </c>
      <c r="K937" s="1" t="s">
        <v>22</v>
      </c>
      <c r="L937" s="1" t="s">
        <v>4399</v>
      </c>
      <c r="M937" s="1">
        <v>2</v>
      </c>
      <c r="N937" s="1" t="s">
        <v>24</v>
      </c>
      <c r="O937" s="1" t="str">
        <f ca="1">IFERROR(__xludf.DUMMYFUNCTION("GOOGLETRANSLATE(N937,""pl"",""en"")"),"full ownership")</f>
        <v>full ownership</v>
      </c>
      <c r="P937" s="3" t="s">
        <v>4400</v>
      </c>
      <c r="Q937" s="1" t="b">
        <v>1</v>
      </c>
      <c r="R937" s="1" t="s">
        <v>4401</v>
      </c>
    </row>
    <row r="938" spans="1:18" x14ac:dyDescent="0.25">
      <c r="A938" s="2">
        <v>45173</v>
      </c>
      <c r="B938" s="1" t="s">
        <v>4402</v>
      </c>
      <c r="C938" s="1" t="str">
        <f ca="1">IFERROR(__xludf.DUMMYFUNCTION("GOOGLETRANSLATE(B938,""pl"",""en"")"),"Park hill stage II")</f>
        <v>Park hill stage II</v>
      </c>
      <c r="D938" s="1">
        <v>559680</v>
      </c>
      <c r="E938" s="1" t="s">
        <v>19</v>
      </c>
      <c r="F938" s="1">
        <v>63.6</v>
      </c>
      <c r="G938" s="1" t="s">
        <v>4403</v>
      </c>
      <c r="H938" s="1" t="str">
        <f ca="1">IFERROR(__xludf.DUMMYFUNCTION("GOOGLETRANSLATE(G938,""pl"",""en"")"),"Housing estate on Stok, Kielce, Świętokrzyskie")</f>
        <v>Housing estate on Stok, Kielce, Świętokrzyskie</v>
      </c>
      <c r="I938" s="1" t="s">
        <v>21</v>
      </c>
      <c r="J938" s="1" t="s">
        <v>21</v>
      </c>
      <c r="K938" s="1" t="s">
        <v>22</v>
      </c>
      <c r="L938" s="1" t="s">
        <v>4404</v>
      </c>
      <c r="M938" s="1">
        <v>3</v>
      </c>
      <c r="N938" s="1" t="s">
        <v>24</v>
      </c>
      <c r="O938" s="1" t="str">
        <f ca="1">IFERROR(__xludf.DUMMYFUNCTION("GOOGLETRANSLATE(N938,""pl"",""en"")"),"full ownership")</f>
        <v>full ownership</v>
      </c>
      <c r="P938" s="3" t="s">
        <v>4405</v>
      </c>
      <c r="Q938" s="1" t="b">
        <v>1</v>
      </c>
      <c r="R938" s="1" t="s">
        <v>4406</v>
      </c>
    </row>
    <row r="939" spans="1:18" x14ac:dyDescent="0.25">
      <c r="A939" s="2">
        <v>45173</v>
      </c>
      <c r="B939" s="1" t="s">
        <v>4407</v>
      </c>
      <c r="C939" s="1" t="str">
        <f ca="1">IFERROR(__xludf.DUMMYFUNCTION("GOOGLETRANSLATE(B939,""pl"",""en"")"),"Warsaw, Targówek, axis. Vilnius, perfect for the family")</f>
        <v>Warsaw, Targówek, axis. Vilnius, perfect for the family</v>
      </c>
      <c r="D939" s="1">
        <v>980000</v>
      </c>
      <c r="E939" s="1" t="s">
        <v>33</v>
      </c>
      <c r="F939" s="1">
        <v>70</v>
      </c>
      <c r="G939" s="1" t="s">
        <v>4408</v>
      </c>
      <c r="H939" s="1" t="str">
        <f ca="1">IFERROR(__xludf.DUMMYFUNCTION("GOOGLETRANSLATE(G939,""pl"",""en"")"),"street. Montwiłłowska, Elsnerów, Targówek, Warsaw, Masovian Voivodeship")</f>
        <v>street. Montwiłłowska, Elsnerów, Targówek, Warsaw, Masovian Voivodeship</v>
      </c>
      <c r="I939" s="1" t="s">
        <v>21</v>
      </c>
      <c r="J939" s="1" t="s">
        <v>21</v>
      </c>
      <c r="K939" s="1" t="s">
        <v>22</v>
      </c>
      <c r="L939" s="1" t="s">
        <v>4409</v>
      </c>
      <c r="M939" s="1">
        <v>4</v>
      </c>
      <c r="N939" s="1" t="s">
        <v>24</v>
      </c>
      <c r="O939" s="1" t="str">
        <f ca="1">IFERROR(__xludf.DUMMYFUNCTION("GOOGLETRANSLATE(N939,""pl"",""en"")"),"full ownership")</f>
        <v>full ownership</v>
      </c>
      <c r="P939" s="3" t="s">
        <v>4410</v>
      </c>
      <c r="Q939" s="1" t="b">
        <v>1</v>
      </c>
      <c r="R939" s="1" t="s">
        <v>4411</v>
      </c>
    </row>
    <row r="940" spans="1:18" x14ac:dyDescent="0.25">
      <c r="A940" s="2">
        <v>45173</v>
      </c>
      <c r="B940" s="1" t="s">
        <v>4412</v>
      </c>
      <c r="C940" s="1" t="str">
        <f ca="1">IFERROR(__xludf.DUMMYFUNCTION("GOOGLETRANSLATE(B940,""pl"",""en"")"),"A renovated, furnished studio apartment with CO!")</f>
        <v>A renovated, furnished studio apartment with CO!</v>
      </c>
      <c r="D940" s="1">
        <v>155000</v>
      </c>
      <c r="E940" s="1" t="s">
        <v>33</v>
      </c>
      <c r="F940" s="1">
        <v>20</v>
      </c>
      <c r="G940" s="1" t="s">
        <v>4413</v>
      </c>
      <c r="H940" s="1" t="str">
        <f ca="1">IFERROR(__xludf.DUMMYFUNCTION("GOOGLETRANSLATE(G940,""pl"",""en"")"),"street. Armii Krajowej, Mysłowice, Silesian Voivodeship")</f>
        <v>street. Armii Krajowej, Mysłowice, Silesian Voivodeship</v>
      </c>
      <c r="I940" s="1" t="s">
        <v>21</v>
      </c>
      <c r="J940" s="1" t="s">
        <v>21</v>
      </c>
      <c r="K940" s="1" t="s">
        <v>22</v>
      </c>
      <c r="L940" s="1" t="s">
        <v>4414</v>
      </c>
      <c r="M940" s="1">
        <v>1</v>
      </c>
      <c r="N940" s="1" t="s">
        <v>24</v>
      </c>
      <c r="O940" s="1" t="str">
        <f ca="1">IFERROR(__xludf.DUMMYFUNCTION("GOOGLETRANSLATE(N940,""pl"",""en"")"),"full ownership")</f>
        <v>full ownership</v>
      </c>
      <c r="P940" s="3" t="s">
        <v>4415</v>
      </c>
      <c r="Q940" s="1" t="b">
        <v>1</v>
      </c>
      <c r="R940" s="1" t="s">
        <v>4416</v>
      </c>
    </row>
    <row r="941" spans="1:18" x14ac:dyDescent="0.25">
      <c r="A941" s="2">
        <v>45173</v>
      </c>
      <c r="B941" s="1" t="s">
        <v>4417</v>
      </c>
      <c r="C941" s="1" t="str">
        <f ca="1">IFERROR(__xludf.DUMMYFUNCTION("GOOGLETRANSLATE(B941,""pl"",""en"")"),"Two -level apartment pl. Unii Lubelskiej/Szucha")</f>
        <v>Two -level apartment pl. Unii Lubelskiej/Szucha</v>
      </c>
      <c r="D941" s="1">
        <v>2623520</v>
      </c>
      <c r="E941" s="1" t="s">
        <v>33</v>
      </c>
      <c r="F941" s="1">
        <v>138.08000000000001</v>
      </c>
      <c r="G941" s="1" t="s">
        <v>4418</v>
      </c>
      <c r="H941" s="1" t="str">
        <f ca="1">IFERROR(__xludf.DUMMYFUNCTION("GOOGLETRANSLATE(G941,""pl"",""en"")"),"Śródmieście South, Śródmieście, Warsaw, Masovian Voivodeship")</f>
        <v>Śródmieście South, Śródmieście, Warsaw, Masovian Voivodeship</v>
      </c>
      <c r="I941" s="1" t="s">
        <v>21</v>
      </c>
      <c r="J941" s="1" t="s">
        <v>21</v>
      </c>
      <c r="K941" s="1" t="s">
        <v>22</v>
      </c>
      <c r="L941" s="1" t="s">
        <v>4419</v>
      </c>
      <c r="M941" s="1">
        <v>4</v>
      </c>
      <c r="N941" s="1" t="s">
        <v>24</v>
      </c>
      <c r="O941" s="1" t="str">
        <f ca="1">IFERROR(__xludf.DUMMYFUNCTION("GOOGLETRANSLATE(N941,""pl"",""en"")"),"full ownership")</f>
        <v>full ownership</v>
      </c>
      <c r="P941" s="3" t="s">
        <v>4420</v>
      </c>
      <c r="Q941" s="1" t="b">
        <v>1</v>
      </c>
      <c r="R941" s="1" t="s">
        <v>4421</v>
      </c>
    </row>
    <row r="942" spans="1:18" x14ac:dyDescent="0.25">
      <c r="A942" s="2">
        <v>45173</v>
      </c>
      <c r="B942" s="1" t="s">
        <v>4422</v>
      </c>
      <c r="C942" s="1" t="str">
        <f ca="1">IFERROR(__xludf.DUMMYFUNCTION("GOOGLETRANSLATE(B942,""pl"",""en"")"),"Unique M-5, Fordon, Przylesie")</f>
        <v>Unique M-5, Fordon, Przylesie</v>
      </c>
      <c r="D942" s="1">
        <v>485000</v>
      </c>
      <c r="E942" s="1" t="s">
        <v>33</v>
      </c>
      <c r="F942" s="1">
        <v>72.959999999999994</v>
      </c>
      <c r="G942" s="1" t="s">
        <v>1180</v>
      </c>
      <c r="H942" s="1" t="str">
        <f ca="1">IFERROR(__xludf.DUMMYFUNCTION("GOOGLETRANSLATE(G942,""pl"",""en"")"),"New Fordon, Bydgoszcz, Kuyavian-Pomeranian")</f>
        <v>New Fordon, Bydgoszcz, Kuyavian-Pomeranian</v>
      </c>
      <c r="I942" s="1" t="s">
        <v>21</v>
      </c>
      <c r="J942" s="1" t="s">
        <v>21</v>
      </c>
      <c r="K942" s="1" t="s">
        <v>22</v>
      </c>
      <c r="L942" s="1" t="s">
        <v>4423</v>
      </c>
      <c r="M942" s="1">
        <v>4</v>
      </c>
      <c r="N942" s="1" t="s">
        <v>24</v>
      </c>
      <c r="O942" s="1" t="str">
        <f ca="1">IFERROR(__xludf.DUMMYFUNCTION("GOOGLETRANSLATE(N942,""pl"",""en"")"),"full ownership")</f>
        <v>full ownership</v>
      </c>
      <c r="P942" s="3" t="s">
        <v>4424</v>
      </c>
      <c r="Q942" s="1" t="b">
        <v>1</v>
      </c>
      <c r="R942" s="1" t="s">
        <v>4425</v>
      </c>
    </row>
    <row r="943" spans="1:18" x14ac:dyDescent="0.25">
      <c r="A943" s="2">
        <v>45173</v>
      </c>
      <c r="B943" s="1" t="s">
        <v>4426</v>
      </c>
      <c r="C943" s="1" t="str">
        <f ca="1">IFERROR(__xludf.DUMMYFUNCTION("GOOGLETRANSLATE(B943,""pl"",""en"")"),"Dulin Park/Gdańsk 3-Pokoju directly")</f>
        <v>Dulin Park/Gdańsk 3-Pokoju directly</v>
      </c>
      <c r="D943" s="1">
        <v>476560</v>
      </c>
      <c r="E943" s="1" t="s">
        <v>19</v>
      </c>
      <c r="F943" s="1">
        <v>51.8</v>
      </c>
      <c r="G943" s="1" t="s">
        <v>2252</v>
      </c>
      <c r="H943" s="1" t="str">
        <f ca="1">IFERROR(__xludf.DUMMYFUNCTION("GOOGLETRANSLATE(G943,""pl"",""en"")"),"street. Aleksander Dstreetin, Ujeścisko-Łostowice, Gdańsk, Pomeranian Voivodeship")</f>
        <v>street. Aleksander Dstreetin, Ujeścisko-Łostowice, Gdańsk, Pomeranian Voivodeship</v>
      </c>
      <c r="I943" s="1" t="s">
        <v>21</v>
      </c>
      <c r="J943" s="1" t="s">
        <v>21</v>
      </c>
      <c r="K943" s="1" t="s">
        <v>194</v>
      </c>
      <c r="L943" s="1" t="s">
        <v>2253</v>
      </c>
      <c r="M943" s="1">
        <v>3</v>
      </c>
      <c r="N943" s="1" t="s">
        <v>24</v>
      </c>
      <c r="O943" s="1" t="str">
        <f ca="1">IFERROR(__xludf.DUMMYFUNCTION("GOOGLETRANSLATE(N943,""pl"",""en"")"),"full ownership")</f>
        <v>full ownership</v>
      </c>
      <c r="P943" s="3" t="s">
        <v>4427</v>
      </c>
      <c r="Q943" s="1" t="b">
        <v>1</v>
      </c>
      <c r="R943" s="1" t="s">
        <v>4428</v>
      </c>
    </row>
    <row r="944" spans="1:18" x14ac:dyDescent="0.25">
      <c r="A944" s="2">
        <v>45173</v>
      </c>
      <c r="B944" s="1" t="s">
        <v>4429</v>
      </c>
      <c r="C944" s="1" t="str">
        <f ca="1">IFERROR(__xludf.DUMMYFUNCTION("GOOGLETRANSLATE(B944,""pl"",""en"")"),"Drożki - Rychtal commune, 43 m apartment for sale")</f>
        <v>Drożki - Rychtal commune, 43 m apartment for sale</v>
      </c>
      <c r="D944" s="1">
        <v>55000</v>
      </c>
      <c r="E944" s="1" t="s">
        <v>33</v>
      </c>
      <c r="F944" s="1">
        <v>43</v>
      </c>
      <c r="G944" s="1" t="s">
        <v>4835</v>
      </c>
      <c r="H944" s="1" t="str">
        <f ca="1">IFERROR(__xludf.DUMMYFUNCTION("GOOGLETRANSLATE(G944,""pl"",""en"")"),"Drożki, Rychtal, Kępiński, Greater Poland")</f>
        <v>Drożki, Rychtal, Kępiński, Greater Poland</v>
      </c>
      <c r="I944" s="1" t="s">
        <v>21</v>
      </c>
      <c r="J944" s="1" t="s">
        <v>21</v>
      </c>
      <c r="K944" s="1" t="s">
        <v>22</v>
      </c>
      <c r="L944" s="1" t="s">
        <v>4430</v>
      </c>
      <c r="M944" s="1">
        <v>1</v>
      </c>
      <c r="N944" s="1" t="s">
        <v>24</v>
      </c>
      <c r="O944" s="1" t="str">
        <f ca="1">IFERROR(__xludf.DUMMYFUNCTION("GOOGLETRANSLATE(N944,""pl"",""en"")"),"full ownership")</f>
        <v>full ownership</v>
      </c>
      <c r="P944" s="3" t="s">
        <v>4431</v>
      </c>
      <c r="Q944" s="1" t="b">
        <v>1</v>
      </c>
      <c r="R944" s="1" t="s">
        <v>4432</v>
      </c>
    </row>
    <row r="945" spans="1:18" x14ac:dyDescent="0.25">
      <c r="A945" s="2">
        <v>45173</v>
      </c>
      <c r="B945" s="1" t="s">
        <v>4433</v>
      </c>
      <c r="C945" s="1" t="str">
        <f ca="1">IFERROR(__xludf.DUMMYFUNCTION("GOOGLETRANSLATE(B945,""pl"",""en"")"),"Ground floor of the villa 3 rooms with a garden and garage")</f>
        <v>Ground floor of the villa 3 rooms with a garden and garage</v>
      </c>
      <c r="D945" s="1">
        <v>480000</v>
      </c>
      <c r="E945" s="1" t="s">
        <v>33</v>
      </c>
      <c r="F945" s="1">
        <v>84</v>
      </c>
      <c r="G945" s="1" t="s">
        <v>767</v>
      </c>
      <c r="H945" s="1" t="str">
        <f ca="1">IFERROR(__xludf.DUMMYFUNCTION("GOOGLETRANSLATE(G945,""pl"",""en"")"),"Śródmieście, Jelenia Góra, DolnoSilesian Voivodeship")</f>
        <v>Śródmieście, Jelenia Góra, DolnoSilesian Voivodeship</v>
      </c>
      <c r="I945" s="1" t="s">
        <v>21</v>
      </c>
      <c r="J945" s="1" t="s">
        <v>21</v>
      </c>
      <c r="K945" s="1" t="s">
        <v>22</v>
      </c>
      <c r="L945" s="1" t="s">
        <v>4434</v>
      </c>
      <c r="M945" s="1">
        <v>3</v>
      </c>
      <c r="N945" s="1" t="s">
        <v>24</v>
      </c>
      <c r="O945" s="1" t="str">
        <f ca="1">IFERROR(__xludf.DUMMYFUNCTION("GOOGLETRANSLATE(N945,""pl"",""en"")"),"full ownership")</f>
        <v>full ownership</v>
      </c>
      <c r="P945" s="3" t="s">
        <v>4435</v>
      </c>
      <c r="Q945" s="1" t="b">
        <v>1</v>
      </c>
      <c r="R945" s="1" t="s">
        <v>4436</v>
      </c>
    </row>
    <row r="946" spans="1:18" x14ac:dyDescent="0.25">
      <c r="A946" s="2">
        <v>45173</v>
      </c>
      <c r="B946" s="1" t="s">
        <v>4437</v>
      </c>
      <c r="C946" s="1" t="str">
        <f ca="1">IFERROR(__xludf.DUMMYFUNCTION("GOOGLETRANSLATE(B946,""pl"",""en"")"),"Equipped apartment 1POK 32m2, al. Jerusalem")</f>
        <v>Equipped apartment 1POK 32m2, al. Jerusalem</v>
      </c>
      <c r="D946" s="1">
        <v>449263</v>
      </c>
      <c r="E946" s="1" t="s">
        <v>33</v>
      </c>
      <c r="F946" s="1">
        <v>32.270000000000003</v>
      </c>
      <c r="G946" s="1" t="s">
        <v>4438</v>
      </c>
      <c r="H946" s="1" t="str">
        <f ca="1">IFERROR(__xludf.DUMMYFUNCTION("GOOGLETRANSLATE(G946,""pl"",""en"")"),"Raków, Italy, Warsaw, Masovian Voivodeship")</f>
        <v>Raków, Italy, Warsaw, Masovian Voivodeship</v>
      </c>
      <c r="I946" s="1" t="s">
        <v>21</v>
      </c>
      <c r="J946" s="1" t="s">
        <v>21</v>
      </c>
      <c r="K946" s="1" t="s">
        <v>22</v>
      </c>
      <c r="L946" s="1" t="s">
        <v>4439</v>
      </c>
      <c r="M946" s="1">
        <v>1</v>
      </c>
      <c r="N946" s="1" t="s">
        <v>24</v>
      </c>
      <c r="O946" s="1" t="str">
        <f ca="1">IFERROR(__xludf.DUMMYFUNCTION("GOOGLETRANSLATE(N946,""pl"",""en"")"),"full ownership")</f>
        <v>full ownership</v>
      </c>
      <c r="P946" s="3" t="s">
        <v>4440</v>
      </c>
      <c r="Q946" s="1" t="b">
        <v>1</v>
      </c>
      <c r="R946" s="1" t="s">
        <v>4441</v>
      </c>
    </row>
    <row r="947" spans="1:18" x14ac:dyDescent="0.25">
      <c r="A947" s="2">
        <v>45173</v>
      </c>
      <c r="B947" s="1" t="s">
        <v>4442</v>
      </c>
      <c r="C947" s="1" t="str">
        <f ca="1">IFERROR(__xludf.DUMMYFUNCTION("GOOGLETRANSLATE(B947,""pl"",""en"")"),"A spacious apartment in the center + mezzanine!")</f>
        <v>A spacious apartment in the center + mezzanine!</v>
      </c>
      <c r="D947" s="1">
        <v>349000</v>
      </c>
      <c r="E947" s="1" t="s">
        <v>33</v>
      </c>
      <c r="F947" s="1">
        <v>42.5</v>
      </c>
      <c r="G947" s="1" t="s">
        <v>4443</v>
      </c>
      <c r="H947" s="1" t="str">
        <f ca="1">IFERROR(__xludf.DUMMYFUNCTION("GOOGLETRANSLATE(G947,""pl"",""en"")"),"pl. Słowiański Square, Kętrzyn, Kętrzyński, Warmian-Masurian Voivodeship")</f>
        <v>pl. Słowiański Square, Kętrzyn, Kętrzyński, Warmian-Masurian Voivodeship</v>
      </c>
      <c r="I947" s="1" t="s">
        <v>21</v>
      </c>
      <c r="J947" s="1" t="s">
        <v>21</v>
      </c>
      <c r="K947" s="1" t="s">
        <v>22</v>
      </c>
      <c r="L947" s="1" t="s">
        <v>4444</v>
      </c>
      <c r="M947" s="1">
        <v>2</v>
      </c>
      <c r="N947" s="1" t="s">
        <v>24</v>
      </c>
      <c r="O947" s="1" t="str">
        <f ca="1">IFERROR(__xludf.DUMMYFUNCTION("GOOGLETRANSLATE(N947,""pl"",""en"")"),"full ownership")</f>
        <v>full ownership</v>
      </c>
      <c r="P947" s="3" t="s">
        <v>4445</v>
      </c>
      <c r="Q947" s="1" t="b">
        <v>1</v>
      </c>
      <c r="R947" s="1" t="s">
        <v>4446</v>
      </c>
    </row>
    <row r="948" spans="1:18" x14ac:dyDescent="0.25">
      <c r="A948" s="2">
        <v>45173</v>
      </c>
      <c r="B948" s="1" t="s">
        <v>4447</v>
      </c>
      <c r="C948" s="1" t="str">
        <f ca="1">IFERROR(__xludf.DUMMYFUNCTION("GOOGLETRANSLATE(B948,""pl"",""en"")"),"Cosy flat")</f>
        <v>Cosy flat</v>
      </c>
      <c r="D948" s="1">
        <v>805000</v>
      </c>
      <c r="E948" s="1" t="s">
        <v>33</v>
      </c>
      <c r="F948" s="1">
        <v>60.6</v>
      </c>
      <c r="G948" s="1" t="s">
        <v>4448</v>
      </c>
      <c r="H948" s="1" t="str">
        <f ca="1">IFERROR(__xludf.DUMMYFUNCTION("GOOGLETRANSLATE(G948,""pl"",""en"")"),"street. Łukowa, Służew, Mokotów, Warsaw, Masovian Voivodeship")</f>
        <v>street. Łukowa, Służew, Mokotów, Warsaw, Masovian Voivodeship</v>
      </c>
      <c r="I948" s="1" t="s">
        <v>21</v>
      </c>
      <c r="J948" s="1" t="s">
        <v>21</v>
      </c>
      <c r="K948" s="1" t="s">
        <v>45</v>
      </c>
      <c r="L948" s="1" t="s">
        <v>4449</v>
      </c>
      <c r="M948" s="1">
        <v>3</v>
      </c>
      <c r="N948" s="1" t="s">
        <v>24</v>
      </c>
      <c r="O948" s="1" t="str">
        <f ca="1">IFERROR(__xludf.DUMMYFUNCTION("GOOGLETRANSLATE(N948,""pl"",""en"")"),"full ownership")</f>
        <v>full ownership</v>
      </c>
      <c r="P948" s="3" t="s">
        <v>4450</v>
      </c>
      <c r="Q948" s="1" t="b">
        <v>1</v>
      </c>
      <c r="R948" s="1" t="s">
        <v>4451</v>
      </c>
    </row>
    <row r="949" spans="1:18" x14ac:dyDescent="0.25">
      <c r="A949" s="2">
        <v>45173</v>
      </c>
      <c r="B949" s="1" t="s">
        <v>4452</v>
      </c>
      <c r="C949" s="1" t="str">
        <f ca="1">IFERROR(__xludf.DUMMYFUNCTION("GOOGLETRANSLATE(B949,""pl"",""en"")"),"Comfortable apartment at the architects estate B2.3.m81")</f>
        <v>Comfortable apartment at the architects estate B2.3.m81</v>
      </c>
      <c r="D949" s="1">
        <v>242630</v>
      </c>
      <c r="E949" s="1" t="s">
        <v>19</v>
      </c>
      <c r="F949" s="1">
        <v>25.54</v>
      </c>
      <c r="G949" s="1" t="s">
        <v>3855</v>
      </c>
      <c r="H949" s="1" t="str">
        <f ca="1">IFERROR(__xludf.DUMMYFUNCTION("GOOGLETRANSLATE(G949,""pl"",""en"")"),"street. Architects, Zawisza Czarny, Rzeszów, Podkarpackie")</f>
        <v>street. Architects, Zawisza Czarny, Rzeszów, Podkarpackie</v>
      </c>
      <c r="I949" s="1" t="s">
        <v>21</v>
      </c>
      <c r="J949" s="1" t="s">
        <v>21</v>
      </c>
      <c r="K949" s="1" t="s">
        <v>194</v>
      </c>
      <c r="L949" s="1" t="s">
        <v>4453</v>
      </c>
      <c r="M949" s="1">
        <v>1</v>
      </c>
      <c r="N949" s="1" t="s">
        <v>24</v>
      </c>
      <c r="O949" s="1" t="str">
        <f ca="1">IFERROR(__xludf.DUMMYFUNCTION("GOOGLETRANSLATE(N949,""pl"",""en"")"),"full ownership")</f>
        <v>full ownership</v>
      </c>
      <c r="P949" s="3" t="s">
        <v>4454</v>
      </c>
      <c r="Q949" s="1" t="b">
        <v>1</v>
      </c>
      <c r="R949" s="1" t="s">
        <v>4455</v>
      </c>
    </row>
    <row r="950" spans="1:18" x14ac:dyDescent="0.25">
      <c r="A950" s="2">
        <v>45173</v>
      </c>
      <c r="B950" s="1" t="s">
        <v>4456</v>
      </c>
      <c r="C950" s="1" t="str">
        <f ca="1">IFERROR(__xludf.DUMMYFUNCTION("GOOGLETRANSLATE(B950,""pl"",""en"")"),"Ok. Sierakowa- Development apartments from 52m-81m")</f>
        <v>Ok. Sierakowa- Development apartments from 52m-81m</v>
      </c>
      <c r="D950" s="1">
        <v>438005</v>
      </c>
      <c r="E950" s="1" t="s">
        <v>19</v>
      </c>
      <c r="F950" s="1">
        <v>51.53</v>
      </c>
      <c r="G950" s="1" t="s">
        <v>4836</v>
      </c>
      <c r="H950" s="1" t="str">
        <f ca="1">IFERROR(__xludf.DUMMYFUNCTION("GOOGLETRANSLATE(G950,""pl"",""en"")"),"Tomb, Sieraków, Międzychodzki, Greater Poland")</f>
        <v>Tomb, Sieraków, Międzychodzki, Greater Poland</v>
      </c>
      <c r="I950" s="1" t="s">
        <v>21</v>
      </c>
      <c r="J950" s="1" t="s">
        <v>21</v>
      </c>
      <c r="K950" s="1" t="s">
        <v>22</v>
      </c>
      <c r="L950" s="1" t="s">
        <v>4457</v>
      </c>
      <c r="M950" s="1">
        <v>2</v>
      </c>
      <c r="N950" s="1" t="s">
        <v>24</v>
      </c>
      <c r="O950" s="1" t="str">
        <f ca="1">IFERROR(__xludf.DUMMYFUNCTION("GOOGLETRANSLATE(N950,""pl"",""en"")"),"full ownership")</f>
        <v>full ownership</v>
      </c>
      <c r="P950" s="3" t="s">
        <v>4458</v>
      </c>
      <c r="Q950" s="1" t="b">
        <v>1</v>
      </c>
      <c r="R950" s="1" t="s">
        <v>4459</v>
      </c>
    </row>
    <row r="951" spans="1:18" x14ac:dyDescent="0.25">
      <c r="A951" s="2">
        <v>45173</v>
      </c>
      <c r="B951" s="1" t="s">
        <v>4460</v>
      </c>
      <c r="C951" s="1" t="str">
        <f ca="1">IFERROR(__xludf.DUMMYFUNCTION("GOOGLETRANSLATE(B951,""pl"",""en"")"),"Comfortable apartment of the Słoneczne housing estate 60b")</f>
        <v>Comfortable apartment of the Słoneczne housing estate 60b</v>
      </c>
      <c r="D951" s="1">
        <v>382320</v>
      </c>
      <c r="E951" s="1" t="s">
        <v>19</v>
      </c>
      <c r="F951" s="1">
        <v>53.1</v>
      </c>
      <c r="G951" s="1" t="s">
        <v>1355</v>
      </c>
      <c r="H951" s="1" t="str">
        <f ca="1">IFERROR(__xludf.DUMMYFUNCTION("GOOGLETRANSLATE(G951,""pl"",""en"")"),"street. Kujawska, Solec Kujawski, Solec Kujawski, Bydgoszcz, Kujawsko-Pomeranian Voivodeship")</f>
        <v>street. Kujawska, Solec Kujawski, Solec Kujawski, Bydgoszcz, Kujawsko-Pomeranian Voivodeship</v>
      </c>
      <c r="I951" s="1" t="s">
        <v>21</v>
      </c>
      <c r="J951" s="1" t="s">
        <v>21</v>
      </c>
      <c r="K951" s="1" t="s">
        <v>194</v>
      </c>
      <c r="L951" s="1" t="s">
        <v>4461</v>
      </c>
      <c r="M951" s="1">
        <v>2</v>
      </c>
      <c r="N951" s="1" t="s">
        <v>24</v>
      </c>
      <c r="O951" s="1" t="str">
        <f ca="1">IFERROR(__xludf.DUMMYFUNCTION("GOOGLETRANSLATE(N951,""pl"",""en"")"),"full ownership")</f>
        <v>full ownership</v>
      </c>
      <c r="P951" s="3" t="s">
        <v>4462</v>
      </c>
      <c r="Q951" s="1" t="b">
        <v>1</v>
      </c>
      <c r="R951" s="1" t="s">
        <v>4463</v>
      </c>
    </row>
    <row r="952" spans="1:18" x14ac:dyDescent="0.25">
      <c r="A952" s="2">
        <v>45308</v>
      </c>
      <c r="B952" s="1" t="s">
        <v>4464</v>
      </c>
      <c r="C952" s="1" t="str">
        <f ca="1">IFERROR(__xludf.DUMMYFUNCTION("GOOGLETRANSLATE(B952,""pl"",""en"")"),"Apartments in Trzęsacz! Swimming pool! Beach!")</f>
        <v>Apartments in Trzęsacz! Swimming pool! Beach!</v>
      </c>
      <c r="D952" s="1">
        <v>466452</v>
      </c>
      <c r="E952" s="1" t="s">
        <v>19</v>
      </c>
      <c r="F952" s="1">
        <v>37.020000000000003</v>
      </c>
      <c r="G952" s="1" t="s">
        <v>4465</v>
      </c>
      <c r="H952" s="1" t="str">
        <f ca="1">IFERROR(__xludf.DUMMYFUNCTION("GOOGLETRANSLATE(G952,""pl"",""en"")"),"street. Pałacowa, Trzęsacz, Rewal, Gryficki, West Pomeranian Voivodeship")</f>
        <v>street. Pałacowa, Trzęsacz, Rewal, Gryficki, West Pomeranian Voivodeship</v>
      </c>
      <c r="I952" s="1" t="s">
        <v>21</v>
      </c>
      <c r="J952" s="1" t="s">
        <v>21</v>
      </c>
      <c r="K952" s="1" t="s">
        <v>22</v>
      </c>
      <c r="L952" s="1" t="s">
        <v>4466</v>
      </c>
      <c r="M952" s="1">
        <v>2</v>
      </c>
      <c r="N952" s="1" t="s">
        <v>24</v>
      </c>
      <c r="O952" s="1" t="str">
        <f ca="1">IFERROR(__xludf.DUMMYFUNCTION("GOOGLETRANSLATE(N952,""pl"",""en"")"),"full ownership")</f>
        <v>full ownership</v>
      </c>
      <c r="P952" s="3" t="s">
        <v>4467</v>
      </c>
      <c r="Q952" s="1" t="b">
        <v>1</v>
      </c>
      <c r="R952" s="1" t="s">
        <v>4468</v>
      </c>
    </row>
    <row r="953" spans="1:18" x14ac:dyDescent="0.25">
      <c r="A953" s="2">
        <v>45308</v>
      </c>
      <c r="B953" s="1" t="s">
        <v>4469</v>
      </c>
      <c r="C953" s="1" t="str">
        <f ca="1">IFERROR(__xludf.DUMMYFUNCTION("GOOGLETRANSLATE(B953,""pl"",""en"")"),"House with the possibility of conducting services in Szczecinek")</f>
        <v>House with the possibility of conducting services in Szczecinek</v>
      </c>
      <c r="D953" s="1">
        <v>758000</v>
      </c>
      <c r="E953" s="1" t="s">
        <v>33</v>
      </c>
      <c r="F953" s="1">
        <v>184</v>
      </c>
      <c r="G953" s="1" t="s">
        <v>4470</v>
      </c>
      <c r="H953" s="1" t="str">
        <f ca="1">IFERROR(__xludf.DUMMYFUNCTION("GOOGLETRANSLATE(G953,""pl"",""en"")"),"street. Szymanowski, Szczecinek, Szczecin, West Pomeranian Voivodeship")</f>
        <v>street. Szymanowski, Szczecinek, Szczecin, West Pomeranian Voivodeship</v>
      </c>
      <c r="I953" s="1" t="b">
        <v>1</v>
      </c>
      <c r="J953" s="1" t="s">
        <v>21</v>
      </c>
      <c r="K953" s="1" t="s">
        <v>22</v>
      </c>
      <c r="L953" s="1" t="s">
        <v>4471</v>
      </c>
      <c r="M953" s="1">
        <v>7</v>
      </c>
      <c r="N953" s="1" t="s">
        <v>21</v>
      </c>
      <c r="O953" s="1" t="str">
        <f ca="1">IFERROR(__xludf.DUMMYFUNCTION("GOOGLETRANSLATE(N953,""pl"",""en"")"),"null")</f>
        <v>null</v>
      </c>
      <c r="P953" s="3" t="s">
        <v>4472</v>
      </c>
      <c r="Q953" s="1" t="b">
        <v>1</v>
      </c>
      <c r="R953" s="1" t="s">
        <v>4473</v>
      </c>
    </row>
    <row r="954" spans="1:18" x14ac:dyDescent="0.25">
      <c r="A954" s="2">
        <v>45173</v>
      </c>
      <c r="B954" s="1" t="s">
        <v>4474</v>
      </c>
      <c r="C954" s="1" t="str">
        <f ca="1">IFERROR(__xludf.DUMMYFUNCTION("GOOGLETRANSLATE(B954,""pl"",""en"")"),"\ Equipped and renovated - 0 % commission!")</f>
        <v>\ Equipped and renovated - 0 % commission!</v>
      </c>
      <c r="D954" s="1">
        <v>1150000</v>
      </c>
      <c r="E954" s="1" t="s">
        <v>33</v>
      </c>
      <c r="F954" s="1">
        <v>220</v>
      </c>
      <c r="G954" s="1" t="s">
        <v>4475</v>
      </c>
      <c r="H954" s="1" t="str">
        <f ca="1">IFERROR(__xludf.DUMMYFUNCTION("GOOGLETRANSLATE(G954,""pl"",""en"")"),"Bojszów, Rudziniec, Gliwicki, Silesian Voivodeship")</f>
        <v>Bojszów, Rudziniec, Gliwicki, Silesian Voivodeship</v>
      </c>
      <c r="I954" s="1" t="b">
        <v>1</v>
      </c>
      <c r="J954" s="1" t="s">
        <v>21</v>
      </c>
      <c r="K954" s="1" t="s">
        <v>22</v>
      </c>
      <c r="L954" s="1" t="s">
        <v>4476</v>
      </c>
      <c r="M954" s="1">
        <v>6</v>
      </c>
      <c r="N954" s="1" t="s">
        <v>21</v>
      </c>
      <c r="O954" s="1" t="str">
        <f ca="1">IFERROR(__xludf.DUMMYFUNCTION("GOOGLETRANSLATE(N954,""pl"",""en"")"),"null")</f>
        <v>null</v>
      </c>
      <c r="P954" s="3" t="s">
        <v>4477</v>
      </c>
      <c r="Q954" s="1" t="b">
        <v>1</v>
      </c>
      <c r="R954" s="1" t="s">
        <v>4478</v>
      </c>
    </row>
    <row r="955" spans="1:18" x14ac:dyDescent="0.25">
      <c r="A955" s="2">
        <v>45173</v>
      </c>
      <c r="B955" s="1" t="s">
        <v>4479</v>
      </c>
      <c r="C955" s="1" t="str">
        <f ca="1">IFERROR(__xludf.DUMMYFUNCTION("GOOGLETRANSLATE(B955,""pl"",""en"")"),"Elevator, external blinds, floor, air conditioning")</f>
        <v>Elevator, external blinds, floor, air conditioning</v>
      </c>
      <c r="D955" s="1">
        <v>426144</v>
      </c>
      <c r="E955" s="1" t="s">
        <v>19</v>
      </c>
      <c r="F955" s="1">
        <v>61.76</v>
      </c>
      <c r="G955" s="1" t="s">
        <v>1693</v>
      </c>
      <c r="H955" s="1" t="str">
        <f ca="1">IFERROR(__xludf.DUMMYFUNCTION("GOOGLETRANSLATE(G955,""pl"",""en"")"),"street. Świętokrzyska, Żywiec, Żywiec, Silesian Voivodeship")</f>
        <v>street. Świętokrzyska, Żywiec, Żywiec, Silesian Voivodeship</v>
      </c>
      <c r="I955" s="1" t="s">
        <v>21</v>
      </c>
      <c r="J955" s="1" t="s">
        <v>21</v>
      </c>
      <c r="K955" s="1" t="s">
        <v>22</v>
      </c>
      <c r="L955" s="1" t="s">
        <v>4480</v>
      </c>
      <c r="M955" s="1">
        <v>3</v>
      </c>
      <c r="N955" s="1" t="s">
        <v>24</v>
      </c>
      <c r="O955" s="1" t="str">
        <f ca="1">IFERROR(__xludf.DUMMYFUNCTION("GOOGLETRANSLATE(N955,""pl"",""en"")"),"full ownership")</f>
        <v>full ownership</v>
      </c>
      <c r="P955" s="3" t="s">
        <v>4481</v>
      </c>
      <c r="Q955" s="1" t="b">
        <v>1</v>
      </c>
      <c r="R955" s="1" t="s">
        <v>4482</v>
      </c>
    </row>
    <row r="956" spans="1:18" x14ac:dyDescent="0.25">
      <c r="A956" s="2">
        <v>45173</v>
      </c>
      <c r="B956" s="1" t="s">
        <v>4483</v>
      </c>
      <c r="C956" s="1" t="str">
        <f ca="1">IFERROR(__xludf.DUMMYFUNCTION("GOOGLETRANSLATE(B956,""pl"",""en"")"),"al. Racing, Służewiec, Mokotów, Warsaw, 3pok.")</f>
        <v>al. Racing, Służewiec, Mokotów, Warsaw, 3pok.</v>
      </c>
      <c r="D956" s="1">
        <v>1180000</v>
      </c>
      <c r="E956" s="1" t="s">
        <v>33</v>
      </c>
      <c r="F956" s="1">
        <v>73.16</v>
      </c>
      <c r="G956" s="1" t="s">
        <v>4484</v>
      </c>
      <c r="H956" s="1" t="str">
        <f ca="1">IFERROR(__xludf.DUMMYFUNCTION("GOOGLETRANSLATE(G956,""pl"",""en"")"),"Służew, Mokotów, Warsaw, Masovian Voivodeship")</f>
        <v>Służew, Mokotów, Warsaw, Masovian Voivodeship</v>
      </c>
      <c r="I956" s="1" t="b">
        <v>1</v>
      </c>
      <c r="J956" s="1" t="s">
        <v>21</v>
      </c>
      <c r="K956" s="1" t="s">
        <v>45</v>
      </c>
      <c r="L956" s="1" t="s">
        <v>4485</v>
      </c>
      <c r="M956" s="1">
        <v>3</v>
      </c>
      <c r="N956" s="1" t="s">
        <v>24</v>
      </c>
      <c r="O956" s="1" t="str">
        <f ca="1">IFERROR(__xludf.DUMMYFUNCTION("GOOGLETRANSLATE(N956,""pl"",""en"")"),"full ownership")</f>
        <v>full ownership</v>
      </c>
      <c r="P956" s="3" t="s">
        <v>4486</v>
      </c>
      <c r="Q956" s="1" t="b">
        <v>1</v>
      </c>
      <c r="R956" s="1" t="s">
        <v>4487</v>
      </c>
    </row>
    <row r="957" spans="1:18" x14ac:dyDescent="0.25">
      <c r="A957" s="2">
        <v>45173</v>
      </c>
      <c r="B957" s="1" t="s">
        <v>4488</v>
      </c>
      <c r="C957" s="1" t="str">
        <f ca="1">IFERROR(__xludf.DUMMYFUNCTION("GOOGLETRANSLATE(B957,""pl"",""en"")"),"Two -room apartment with wardrobe")</f>
        <v>Two -room apartment with wardrobe</v>
      </c>
      <c r="D957" s="1">
        <v>520000</v>
      </c>
      <c r="E957" s="1" t="s">
        <v>33</v>
      </c>
      <c r="F957" s="1">
        <v>48.6</v>
      </c>
      <c r="G957" s="1" t="s">
        <v>150</v>
      </c>
      <c r="H957" s="1" t="str">
        <f ca="1">IFERROR(__xludf.DUMMYFUNCTION("GOOGLETRANSLATE(G957,""pl"",""en"")"),"Kołobrzeg, Kołobrzeski, ZachodnioPomeranian Voivodeship")</f>
        <v>Kołobrzeg, Kołobrzeski, ZachodnioPomeranian Voivodeship</v>
      </c>
      <c r="I957" s="1" t="s">
        <v>21</v>
      </c>
      <c r="J957" s="1" t="s">
        <v>21</v>
      </c>
      <c r="K957" s="1" t="s">
        <v>22</v>
      </c>
      <c r="L957" s="1" t="s">
        <v>4489</v>
      </c>
      <c r="M957" s="1">
        <v>2</v>
      </c>
      <c r="N957" s="1" t="s">
        <v>24</v>
      </c>
      <c r="O957" s="1" t="str">
        <f ca="1">IFERROR(__xludf.DUMMYFUNCTION("GOOGLETRANSLATE(N957,""pl"",""en"")"),"full ownership")</f>
        <v>full ownership</v>
      </c>
      <c r="P957" s="3" t="s">
        <v>4490</v>
      </c>
      <c r="Q957" s="1" t="b">
        <v>1</v>
      </c>
      <c r="R957" s="1" t="s">
        <v>4491</v>
      </c>
    </row>
    <row r="958" spans="1:18" x14ac:dyDescent="0.25">
      <c r="A958" s="2">
        <v>45173</v>
      </c>
      <c r="B958" s="1" t="s">
        <v>4492</v>
      </c>
      <c r="C958" s="1" t="str">
        <f ca="1">IFERROR(__xludf.DUMMYFUNCTION("GOOGLETRANSLATE(B958,""pl"",""en"")"),"Pogórze/ Garden/ to introduce/ near the sea")</f>
        <v>Pogórze/ Garden/ to introduce/ near the sea</v>
      </c>
      <c r="D958" s="1">
        <v>365000</v>
      </c>
      <c r="E958" s="1" t="s">
        <v>33</v>
      </c>
      <c r="F958" s="1">
        <v>29.5</v>
      </c>
      <c r="G958" s="1" t="s">
        <v>4493</v>
      </c>
      <c r="H958" s="1" t="str">
        <f ca="1">IFERROR(__xludf.DUMMYFUNCTION("GOOGLETRANSLATE(G958,""pl"",""en"")"),"street. Tadeusz Kościuszko, Pogóra, Kosakowo, Pucki, Pomeranian")</f>
        <v>street. Tadeusz Kościuszko, Pogóra, Kosakowo, Pucki, Pomeranian</v>
      </c>
      <c r="I958" s="1" t="s">
        <v>21</v>
      </c>
      <c r="J958" s="1" t="s">
        <v>21</v>
      </c>
      <c r="K958" s="1" t="s">
        <v>22</v>
      </c>
      <c r="L958" s="1" t="s">
        <v>4494</v>
      </c>
      <c r="M958" s="1">
        <v>1</v>
      </c>
      <c r="N958" s="1" t="s">
        <v>24</v>
      </c>
      <c r="O958" s="1" t="str">
        <f ca="1">IFERROR(__xludf.DUMMYFUNCTION("GOOGLETRANSLATE(N958,""pl"",""en"")"),"full ownership")</f>
        <v>full ownership</v>
      </c>
      <c r="P958" s="3" t="s">
        <v>4495</v>
      </c>
      <c r="Q958" s="1" t="b">
        <v>1</v>
      </c>
      <c r="R958" s="1" t="s">
        <v>4496</v>
      </c>
    </row>
    <row r="959" spans="1:18" x14ac:dyDescent="0.25">
      <c r="A959" s="2">
        <v>45173</v>
      </c>
      <c r="B959" s="1" t="s">
        <v>4497</v>
      </c>
      <c r="C959" s="1" t="str">
        <f ca="1">IFERROR(__xludf.DUMMYFUNCTION("GOOGLETRANSLATE(B959,""pl"",""en"")"),"Cozy 76m2 with a garden, attractive location")</f>
        <v>Cozy 76m2 with a garden, attractive location</v>
      </c>
      <c r="D959" s="1">
        <v>699000</v>
      </c>
      <c r="E959" s="1" t="s">
        <v>19</v>
      </c>
      <c r="F959" s="1">
        <v>76</v>
      </c>
      <c r="G959" s="1" t="s">
        <v>4837</v>
      </c>
      <c r="H959" s="1" t="str">
        <f ca="1">IFERROR(__xludf.DUMMYFUNCTION("GOOGLETRANSLATE(G959,""pl"",""en"")"),"Umstreettowo, Old Town, Poznań, Greater Poland")</f>
        <v>Umstreettowo, Old Town, Poznań, Greater Poland</v>
      </c>
      <c r="I959" s="1" t="s">
        <v>21</v>
      </c>
      <c r="J959" s="1" t="s">
        <v>21</v>
      </c>
      <c r="K959" s="1" t="s">
        <v>194</v>
      </c>
      <c r="L959" s="1" t="s">
        <v>4498</v>
      </c>
      <c r="M959" s="1">
        <v>4</v>
      </c>
      <c r="N959" s="1" t="s">
        <v>24</v>
      </c>
      <c r="O959" s="1" t="str">
        <f ca="1">IFERROR(__xludf.DUMMYFUNCTION("GOOGLETRANSLATE(N959,""pl"",""en"")"),"full ownership")</f>
        <v>full ownership</v>
      </c>
      <c r="P959" s="3" t="s">
        <v>4499</v>
      </c>
      <c r="Q959" s="1" t="b">
        <v>1</v>
      </c>
      <c r="R959" s="1" t="s">
        <v>4500</v>
      </c>
    </row>
    <row r="960" spans="1:18" x14ac:dyDescent="0.25">
      <c r="A960" s="2">
        <v>45173</v>
      </c>
      <c r="B960" s="1" t="s">
        <v>4501</v>
      </c>
      <c r="C960" s="1" t="str">
        <f ca="1">IFERROR(__xludf.DUMMYFUNCTION("GOOGLETRANSLATE(B960,""pl"",""en"")"),"Last free apartment 2 rooms - pickup 2023")</f>
        <v>Last free apartment 2 rooms - pickup 2023</v>
      </c>
      <c r="D960" s="1">
        <v>267000</v>
      </c>
      <c r="E960" s="1" t="s">
        <v>19</v>
      </c>
      <c r="F960" s="1">
        <v>29.84</v>
      </c>
      <c r="G960" s="1" t="s">
        <v>1945</v>
      </c>
      <c r="H960" s="1" t="str">
        <f ca="1">IFERROR(__xludf.DUMMYFUNCTION("GOOGLETRANSLATE(G960,""pl"",""en"")"),"street. Stawy, Żywiec, Żywiec, Silesian Voivodeship")</f>
        <v>street. Stawy, Żywiec, Żywiec, Silesian Voivodeship</v>
      </c>
      <c r="I960" s="1" t="b">
        <v>1</v>
      </c>
      <c r="J960" s="1" t="s">
        <v>21</v>
      </c>
      <c r="K960" s="1" t="s">
        <v>194</v>
      </c>
      <c r="L960" s="1" t="s">
        <v>4502</v>
      </c>
      <c r="M960" s="1">
        <v>2</v>
      </c>
      <c r="N960" s="1" t="s">
        <v>24</v>
      </c>
      <c r="O960" s="1" t="str">
        <f ca="1">IFERROR(__xludf.DUMMYFUNCTION("GOOGLETRANSLATE(N960,""pl"",""en"")"),"full ownership")</f>
        <v>full ownership</v>
      </c>
      <c r="P960" s="3" t="s">
        <v>4503</v>
      </c>
      <c r="Q960" s="1" t="b">
        <v>1</v>
      </c>
      <c r="R960" s="1" t="s">
        <v>4504</v>
      </c>
    </row>
    <row r="961" spans="1:18" x14ac:dyDescent="0.25">
      <c r="A961" s="2">
        <v>45173</v>
      </c>
      <c r="B961" s="1" t="s">
        <v>4505</v>
      </c>
      <c r="C961" s="1" t="str">
        <f ca="1">IFERROR(__xludf.DUMMYFUNCTION("GOOGLETRANSLATE(B961,""pl"",""en"")"),"Vista by Kras-Dom apartment 74.91 m2")</f>
        <v>Vista by Kras-Dom apartment 74.91 m2</v>
      </c>
      <c r="D961" s="1">
        <v>501897</v>
      </c>
      <c r="E961" s="1" t="s">
        <v>19</v>
      </c>
      <c r="F961" s="1">
        <v>74.91</v>
      </c>
      <c r="G961" s="1" t="s">
        <v>4506</v>
      </c>
      <c r="H961" s="1" t="str">
        <f ca="1">IFERROR(__xludf.DUMMYFUNCTION("GOOGLETRANSLATE(G961,""pl"",""en"")"),"Bolesławiec, Bolesławiecki, DolnoSilesian Voivodeship")</f>
        <v>Bolesławiec, Bolesławiecki, DolnoSilesian Voivodeship</v>
      </c>
      <c r="I961" s="1" t="s">
        <v>21</v>
      </c>
      <c r="J961" s="1" t="s">
        <v>21</v>
      </c>
      <c r="K961" s="1" t="s">
        <v>194</v>
      </c>
      <c r="L961" s="1" t="s">
        <v>4507</v>
      </c>
      <c r="M961" s="1">
        <v>3</v>
      </c>
      <c r="N961" s="1" t="s">
        <v>24</v>
      </c>
      <c r="O961" s="1" t="str">
        <f ca="1">IFERROR(__xludf.DUMMYFUNCTION("GOOGLETRANSLATE(N961,""pl"",""en"")"),"full ownership")</f>
        <v>full ownership</v>
      </c>
      <c r="P961" s="3" t="s">
        <v>4508</v>
      </c>
      <c r="Q961" s="1" t="b">
        <v>1</v>
      </c>
      <c r="R961" s="1" t="s">
        <v>4509</v>
      </c>
    </row>
    <row r="962" spans="1:18" x14ac:dyDescent="0.25">
      <c r="A962" s="2">
        <v>45173</v>
      </c>
      <c r="B962" s="1" t="s">
        <v>4510</v>
      </c>
      <c r="C962" s="1" t="str">
        <f ca="1">IFERROR(__xludf.DUMMYFUNCTION("GOOGLETRANSLATE(B962,""pl"",""en"")"),"House*Fasting*observation*Border of Białystok")</f>
        <v>House*Fasting*observation*Border of Białystok</v>
      </c>
      <c r="D962" s="1">
        <v>759000</v>
      </c>
      <c r="E962" s="1" t="s">
        <v>19</v>
      </c>
      <c r="F962" s="1">
        <v>148.69999999999999</v>
      </c>
      <c r="G962" s="1" t="s">
        <v>4511</v>
      </c>
      <c r="H962" s="1" t="str">
        <f ca="1">IFERROR(__xludf.DUMMYFUNCTION("GOOGLETRANSLATE(G962,""pl"",""en"")"),"Occasional, Zawady, Białystok, Podlasie")</f>
        <v>Occasional, Zawady, Białystok, Podlasie</v>
      </c>
      <c r="I962" s="1" t="b">
        <v>1</v>
      </c>
      <c r="J962" s="1" t="s">
        <v>21</v>
      </c>
      <c r="K962" s="1" t="s">
        <v>45</v>
      </c>
      <c r="L962" s="1" t="s">
        <v>4512</v>
      </c>
      <c r="M962" s="1">
        <v>5</v>
      </c>
      <c r="N962" s="1" t="s">
        <v>21</v>
      </c>
      <c r="O962" s="1" t="str">
        <f ca="1">IFERROR(__xludf.DUMMYFUNCTION("GOOGLETRANSLATE(N962,""pl"",""en"")"),"null")</f>
        <v>null</v>
      </c>
      <c r="P962" s="3" t="s">
        <v>4513</v>
      </c>
      <c r="Q962" s="1" t="b">
        <v>1</v>
      </c>
      <c r="R962" s="1" t="s">
        <v>4514</v>
      </c>
    </row>
    <row r="963" spans="1:18" x14ac:dyDescent="0.25">
      <c r="A963" s="2">
        <v>45173</v>
      </c>
      <c r="B963" s="1" t="s">
        <v>4515</v>
      </c>
      <c r="C963" s="1" t="str">
        <f ca="1">IFERROR(__xludf.DUMMYFUNCTION("GOOGLETRANSLATE(B963,""pl"",""en"")"),"A spacious, bright apartment - Willtger's villa")</f>
        <v>A spacious, bright apartment - Willtger's villa</v>
      </c>
      <c r="D963" s="1">
        <v>1280000</v>
      </c>
      <c r="E963" s="1" t="s">
        <v>33</v>
      </c>
      <c r="F963" s="1">
        <v>68</v>
      </c>
      <c r="G963" s="1" t="s">
        <v>4838</v>
      </c>
      <c r="H963" s="1" t="str">
        <f ca="1">IFERROR(__xludf.DUMMYFUNCTION("GOOGLETRANSLATE(G963,""pl"",""en"")"),"street. Rzeczna, Krowodrza, Krowodrza, Kraków, Lesser Poland")</f>
        <v>street. Rzeczna, Krowodrza, Krowodrza, Kraków, Lesser Poland</v>
      </c>
      <c r="I963" s="1" t="s">
        <v>21</v>
      </c>
      <c r="J963" s="1" t="s">
        <v>21</v>
      </c>
      <c r="K963" s="1" t="s">
        <v>45</v>
      </c>
      <c r="L963" s="1" t="s">
        <v>4516</v>
      </c>
      <c r="M963" s="1">
        <v>3</v>
      </c>
      <c r="N963" s="1" t="s">
        <v>24</v>
      </c>
      <c r="O963" s="1" t="str">
        <f ca="1">IFERROR(__xludf.DUMMYFUNCTION("GOOGLETRANSLATE(N963,""pl"",""en"")"),"full ownership")</f>
        <v>full ownership</v>
      </c>
      <c r="P963" s="3" t="s">
        <v>4517</v>
      </c>
      <c r="Q963" s="1" t="b">
        <v>1</v>
      </c>
      <c r="R963" s="1" t="s">
        <v>4518</v>
      </c>
    </row>
    <row r="964" spans="1:18" x14ac:dyDescent="0.25">
      <c r="A964" s="2">
        <v>45173</v>
      </c>
      <c r="B964" s="1" t="s">
        <v>4519</v>
      </c>
      <c r="C964" s="1" t="str">
        <f ca="1">IFERROR(__xludf.DUMMYFUNCTION("GOOGLETRANSLATE(B964,""pl"",""en"")"),"Spacious premium apartment/ 99.60m2/ Zaleszewo")</f>
        <v>Spacious premium apartment/ 99.60m2/ Zaleszewo</v>
      </c>
      <c r="D964" s="1">
        <v>900000</v>
      </c>
      <c r="E964" s="1" t="s">
        <v>19</v>
      </c>
      <c r="F964" s="1">
        <v>99.6</v>
      </c>
      <c r="G964" s="1" t="s">
        <v>4827</v>
      </c>
      <c r="H964" s="1" t="str">
        <f ca="1">IFERROR(__xludf.DUMMYFUNCTION("GOOGLETRANSLATE(G964,""pl"",""en"")"),"Zelasewo, Swarzędz, Poznań, Greater Poland")</f>
        <v>Zelasewo, Swarzędz, Poznań, Greater Poland</v>
      </c>
      <c r="I964" s="1" t="b">
        <v>1</v>
      </c>
      <c r="J964" s="1" t="s">
        <v>21</v>
      </c>
      <c r="K964" s="1" t="s">
        <v>45</v>
      </c>
      <c r="L964" s="1" t="s">
        <v>4520</v>
      </c>
      <c r="M964" s="1">
        <v>4</v>
      </c>
      <c r="N964" s="1" t="s">
        <v>24</v>
      </c>
      <c r="O964" s="1" t="str">
        <f ca="1">IFERROR(__xludf.DUMMYFUNCTION("GOOGLETRANSLATE(N964,""pl"",""en"")"),"full ownership")</f>
        <v>full ownership</v>
      </c>
      <c r="P964" s="3" t="s">
        <v>4521</v>
      </c>
      <c r="Q964" s="1" t="b">
        <v>1</v>
      </c>
      <c r="R964" s="1" t="s">
        <v>4522</v>
      </c>
    </row>
    <row r="965" spans="1:18" x14ac:dyDescent="0.25">
      <c r="A965" s="2">
        <v>45173</v>
      </c>
      <c r="B965" s="1" t="s">
        <v>4523</v>
      </c>
      <c r="C965" s="1" t="str">
        <f ca="1">IFERROR(__xludf.DUMMYFUNCTION("GOOGLETRANSLATE(B965,""pl"",""en"")"),"Vista by Kras-Dom apartment 67.45 m2")</f>
        <v>Vista by Kras-Dom apartment 67.45 m2</v>
      </c>
      <c r="D965" s="1">
        <v>451915</v>
      </c>
      <c r="E965" s="1" t="s">
        <v>19</v>
      </c>
      <c r="F965" s="1">
        <v>67.45</v>
      </c>
      <c r="G965" s="1" t="s">
        <v>4506</v>
      </c>
      <c r="H965" s="1" t="str">
        <f ca="1">IFERROR(__xludf.DUMMYFUNCTION("GOOGLETRANSLATE(G965,""pl"",""en"")"),"Bolesławiec, Bolesławiecki, DolnoSilesian Voivodeship")</f>
        <v>Bolesławiec, Bolesławiecki, DolnoSilesian Voivodeship</v>
      </c>
      <c r="I965" s="1" t="s">
        <v>21</v>
      </c>
      <c r="J965" s="1" t="s">
        <v>21</v>
      </c>
      <c r="K965" s="1" t="s">
        <v>194</v>
      </c>
      <c r="L965" s="1" t="s">
        <v>4507</v>
      </c>
      <c r="M965" s="1">
        <v>3</v>
      </c>
      <c r="N965" s="1" t="s">
        <v>24</v>
      </c>
      <c r="O965" s="1" t="str">
        <f ca="1">IFERROR(__xludf.DUMMYFUNCTION("GOOGLETRANSLATE(N965,""pl"",""en"")"),"full ownership")</f>
        <v>full ownership</v>
      </c>
      <c r="P965" s="3" t="s">
        <v>4524</v>
      </c>
      <c r="Q965" s="1" t="b">
        <v>1</v>
      </c>
      <c r="R965" s="1" t="s">
        <v>4525</v>
      </c>
    </row>
    <row r="966" spans="1:18" x14ac:dyDescent="0.25">
      <c r="A966" s="2">
        <v>45173</v>
      </c>
      <c r="B966" s="1" t="s">
        <v>4526</v>
      </c>
      <c r="C966" s="1" t="str">
        <f ca="1">IFERROR(__xludf.DUMMYFUNCTION("GOOGLETRANSLATE(B966,""pl"",""en"")"),"Parlamar Pobierowo | spacious apartment A03")</f>
        <v>Parlamar Pobierowo | spacious apartment A03</v>
      </c>
      <c r="D966" s="1">
        <v>660177</v>
      </c>
      <c r="E966" s="1" t="s">
        <v>19</v>
      </c>
      <c r="F966" s="1">
        <v>39.9</v>
      </c>
      <c r="G966" s="1" t="s">
        <v>4527</v>
      </c>
      <c r="H966" s="1" t="str">
        <f ca="1">IFERROR(__xludf.DUMMYFUNCTION("GOOGLETRANSLATE(G966,""pl"",""en"")"),"street. Piastowska, Pobierowo, Rewal, Gryficki, West Pomeranian Voivodeship")</f>
        <v>street. Piastowska, Pobierowo, Rewal, Gryficki, West Pomeranian Voivodeship</v>
      </c>
      <c r="I966" s="1" t="s">
        <v>21</v>
      </c>
      <c r="J966" s="1" t="s">
        <v>21</v>
      </c>
      <c r="K966" s="1" t="s">
        <v>194</v>
      </c>
      <c r="L966" s="1" t="s">
        <v>4528</v>
      </c>
      <c r="M966" s="1">
        <v>2</v>
      </c>
      <c r="N966" s="1" t="s">
        <v>24</v>
      </c>
      <c r="O966" s="1" t="str">
        <f ca="1">IFERROR(__xludf.DUMMYFUNCTION("GOOGLETRANSLATE(N966,""pl"",""en"")"),"full ownership")</f>
        <v>full ownership</v>
      </c>
      <c r="P966" s="3" t="s">
        <v>4529</v>
      </c>
      <c r="Q966" s="1" t="b">
        <v>1</v>
      </c>
      <c r="R966" s="1" t="s">
        <v>4530</v>
      </c>
    </row>
    <row r="967" spans="1:18" x14ac:dyDescent="0.25">
      <c r="A967" s="2">
        <v>45173</v>
      </c>
      <c r="B967" s="1" t="s">
        <v>4531</v>
      </c>
      <c r="C967" s="1" t="str">
        <f ca="1">IFERROR(__xludf.DUMMYFUNCTION("GOOGLETRANSLATE(B967,""pl"",""en"")"),"Ostróda/Ryn, 250m2, free -standing, plot3500m2.")</f>
        <v>Ostróda/Ryn, 250m2, free -standing, plot3500m2.</v>
      </c>
      <c r="D967" s="1">
        <v>899000</v>
      </c>
      <c r="E967" s="1" t="s">
        <v>33</v>
      </c>
      <c r="F967" s="1">
        <v>250</v>
      </c>
      <c r="G967" s="1" t="s">
        <v>4532</v>
      </c>
      <c r="H967" s="1" t="str">
        <f ca="1">IFERROR(__xludf.DUMMYFUNCTION("GOOGLETRANSLATE(G967,""pl"",""en"")"),"Ryn, Ostróda, Ostróda, Warmian-Masurian Voivodeship")</f>
        <v>Ryn, Ostróda, Ostróda, Warmian-Masurian Voivodeship</v>
      </c>
      <c r="I967" s="1" t="b">
        <v>1</v>
      </c>
      <c r="J967" s="1" t="s">
        <v>21</v>
      </c>
      <c r="K967" s="1" t="s">
        <v>22</v>
      </c>
      <c r="L967" s="1" t="s">
        <v>4533</v>
      </c>
      <c r="M967" s="1">
        <v>5</v>
      </c>
      <c r="N967" s="1" t="s">
        <v>21</v>
      </c>
      <c r="O967" s="1" t="str">
        <f ca="1">IFERROR(__xludf.DUMMYFUNCTION("GOOGLETRANSLATE(N967,""pl"",""en"")"),"null")</f>
        <v>null</v>
      </c>
      <c r="P967" s="3" t="s">
        <v>4534</v>
      </c>
      <c r="Q967" s="1" t="b">
        <v>1</v>
      </c>
      <c r="R967" s="1" t="s">
        <v>4535</v>
      </c>
    </row>
    <row r="968" spans="1:18" x14ac:dyDescent="0.25">
      <c r="A968" s="2">
        <v>45173</v>
      </c>
      <c r="B968" s="1" t="s">
        <v>4536</v>
      </c>
      <c r="C968" s="1" t="str">
        <f ca="1">IFERROR(__xludf.DUMMYFUNCTION("GOOGLETRANSLATE(B968,""pl"",""en"")"),"Moczydło Park 2 rooms Brick | quiet Investment")</f>
        <v>Moczydło Park 2 rooms Brick | quiet Investment</v>
      </c>
      <c r="D968" s="1">
        <v>530000</v>
      </c>
      <c r="E968" s="1" t="s">
        <v>33</v>
      </c>
      <c r="F968" s="1">
        <v>37.5</v>
      </c>
      <c r="G968" s="1" t="s">
        <v>4537</v>
      </c>
      <c r="H968" s="1" t="str">
        <f ca="1">IFERROR(__xludf.DUMMYFUNCTION("GOOGLETRANSLATE(G968,""pl"",""en"")"),"Koło, Wola, Warsaw, Masovian Voivodeship")</f>
        <v>Koło, Wola, Warsaw, Masovian Voivodeship</v>
      </c>
      <c r="I968" s="1" t="s">
        <v>21</v>
      </c>
      <c r="J968" s="1" t="s">
        <v>21</v>
      </c>
      <c r="K968" s="1" t="s">
        <v>22</v>
      </c>
      <c r="L968" s="1" t="s">
        <v>4538</v>
      </c>
      <c r="M968" s="1">
        <v>2</v>
      </c>
      <c r="N968" s="1" t="s">
        <v>24</v>
      </c>
      <c r="O968" s="1" t="str">
        <f ca="1">IFERROR(__xludf.DUMMYFUNCTION("GOOGLETRANSLATE(N968,""pl"",""en"")"),"full ownership")</f>
        <v>full ownership</v>
      </c>
      <c r="P968" s="3" t="s">
        <v>4539</v>
      </c>
      <c r="Q968" s="1" t="b">
        <v>1</v>
      </c>
      <c r="R968" s="1" t="s">
        <v>4540</v>
      </c>
    </row>
    <row r="969" spans="1:18" x14ac:dyDescent="0.25">
      <c r="A969" s="2">
        <v>45173</v>
      </c>
      <c r="B969" s="1" t="s">
        <v>4541</v>
      </c>
      <c r="C969" s="1" t="str">
        <f ca="1">IFERROR(__xludf.DUMMYFUNCTION("GOOGLETRANSLATE(B969,""pl"",""en"")"),"*High standard*4 rooms*Nowe Miasto")</f>
        <v>*High standard*4 rooms*Nowe Miasto</v>
      </c>
      <c r="D969" s="1">
        <v>790000</v>
      </c>
      <c r="E969" s="1" t="s">
        <v>33</v>
      </c>
      <c r="F969" s="1">
        <v>75.540000000000006</v>
      </c>
      <c r="G969" s="1" t="s">
        <v>4542</v>
      </c>
      <c r="H969" s="1" t="str">
        <f ca="1">IFERROR(__xludf.DUMMYFUNCTION("GOOGLETRANSLATE(G969,""pl"",""en"")"),"Nowe Miasto, Białystok, Podlasie")</f>
        <v>Nowe Miasto, Białystok, Podlasie</v>
      </c>
      <c r="I969" s="1" t="s">
        <v>21</v>
      </c>
      <c r="J969" s="1" t="s">
        <v>21</v>
      </c>
      <c r="K969" s="1" t="s">
        <v>22</v>
      </c>
      <c r="L969" s="1" t="s">
        <v>4543</v>
      </c>
      <c r="M969" s="1">
        <v>4</v>
      </c>
      <c r="N969" s="1" t="s">
        <v>24</v>
      </c>
      <c r="O969" s="1" t="str">
        <f ca="1">IFERROR(__xludf.DUMMYFUNCTION("GOOGLETRANSLATE(N969,""pl"",""en"")"),"full ownership")</f>
        <v>full ownership</v>
      </c>
      <c r="P969" s="3" t="s">
        <v>4544</v>
      </c>
      <c r="Q969" s="1" t="b">
        <v>1</v>
      </c>
      <c r="R969" s="1" t="s">
        <v>4545</v>
      </c>
    </row>
    <row r="970" spans="1:18" x14ac:dyDescent="0.25">
      <c r="A970" s="2">
        <v>45173</v>
      </c>
      <c r="B970" s="1" t="s">
        <v>4546</v>
      </c>
      <c r="C970" s="1" t="str">
        <f ca="1">IFERROR(__xludf.DUMMYFUNCTION("GOOGLETRANSLATE(B970,""pl"",""en"")"),"A two -level flat, seaside seal")</f>
        <v>A two -level flat, seaside seal</v>
      </c>
      <c r="D970" s="1">
        <v>550000</v>
      </c>
      <c r="E970" s="1" t="s">
        <v>33</v>
      </c>
      <c r="F970" s="1">
        <v>102</v>
      </c>
      <c r="G970" s="1" t="s">
        <v>4547</v>
      </c>
      <c r="H970" s="1" t="str">
        <f ca="1">IFERROR(__xludf.DUMMYFUNCTION("GOOGLETRANSLATE(G970,""pl"",""en"")"),"street. Father Jana Twardowski, Pogórze, Kosakowo, Pucki, Pomeranian")</f>
        <v>street. Father Jana Twardowski, Pogórze, Kosakowo, Pucki, Pomeranian</v>
      </c>
      <c r="I970" s="1" t="s">
        <v>21</v>
      </c>
      <c r="J970" s="1" t="s">
        <v>21</v>
      </c>
      <c r="K970" s="1" t="s">
        <v>45</v>
      </c>
      <c r="L970" s="1" t="s">
        <v>4548</v>
      </c>
      <c r="M970" s="1">
        <v>4</v>
      </c>
      <c r="N970" s="1" t="s">
        <v>24</v>
      </c>
      <c r="O970" s="1" t="str">
        <f ca="1">IFERROR(__xludf.DUMMYFUNCTION("GOOGLETRANSLATE(N970,""pl"",""en"")"),"full ownership")</f>
        <v>full ownership</v>
      </c>
      <c r="P970" s="3" t="s">
        <v>4549</v>
      </c>
      <c r="Q970" s="1" t="b">
        <v>1</v>
      </c>
      <c r="R970" s="1" t="s">
        <v>4550</v>
      </c>
    </row>
    <row r="971" spans="1:18" x14ac:dyDescent="0.25">
      <c r="A971" s="2">
        <v>45173</v>
      </c>
      <c r="B971" s="1" t="s">
        <v>4551</v>
      </c>
      <c r="C971" s="1" t="str">
        <f ca="1">IFERROR(__xludf.DUMMYFUNCTION("GOOGLETRANSLATE(B971,""pl"",""en"")"),"A unique 4 -room apartment in the center of Bytom")</f>
        <v>A unique 4 -room apartment in the center of Bytom</v>
      </c>
      <c r="D971" s="1">
        <v>387000</v>
      </c>
      <c r="E971" s="1" t="s">
        <v>33</v>
      </c>
      <c r="F971" s="1">
        <v>94.16</v>
      </c>
      <c r="G971" s="1" t="s">
        <v>4552</v>
      </c>
      <c r="H971" s="1" t="str">
        <f ca="1">IFERROR(__xludf.DUMMYFUNCTION("GOOGLETRANSLATE(G971,""pl"",""en"")"),"street. dr. Józef Rostka, Śródmieście, Bytom, Silesia")</f>
        <v>street. dr. Józef Rostka, Śródmieście, Bytom, Silesia</v>
      </c>
      <c r="I971" s="1" t="s">
        <v>21</v>
      </c>
      <c r="J971" s="1" t="s">
        <v>21</v>
      </c>
      <c r="K971" s="1" t="s">
        <v>45</v>
      </c>
      <c r="L971" s="1" t="s">
        <v>4553</v>
      </c>
      <c r="M971" s="1">
        <v>4</v>
      </c>
      <c r="N971" s="1" t="s">
        <v>24</v>
      </c>
      <c r="O971" s="1" t="str">
        <f ca="1">IFERROR(__xludf.DUMMYFUNCTION("GOOGLETRANSLATE(N971,""pl"",""en"")"),"full ownership")</f>
        <v>full ownership</v>
      </c>
      <c r="P971" s="3" t="s">
        <v>4554</v>
      </c>
      <c r="Q971" s="1" t="b">
        <v>1</v>
      </c>
      <c r="R971" s="1" t="s">
        <v>4555</v>
      </c>
    </row>
    <row r="972" spans="1:18" x14ac:dyDescent="0.25">
      <c r="A972" s="2">
        <v>45173</v>
      </c>
      <c r="B972" s="1" t="s">
        <v>4556</v>
      </c>
      <c r="C972" s="1" t="str">
        <f ca="1">IFERROR(__xludf.DUMMYFUNCTION("GOOGLETRANSLATE(B972,""pl"",""en"")"),"Single -family houses in terraced buildings")</f>
        <v>Single -family houses in terraced buildings</v>
      </c>
      <c r="D972" s="1">
        <v>450000</v>
      </c>
      <c r="E972" s="1" t="s">
        <v>19</v>
      </c>
      <c r="F972" s="1">
        <v>116</v>
      </c>
      <c r="G972" s="1" t="s">
        <v>4839</v>
      </c>
      <c r="H972" s="1" t="str">
        <f ca="1">IFERROR(__xludf.DUMMYFUNCTION("GOOGLETRANSLATE(G972,""pl"",""en"")"),"Housing estates Chabrowe, Krążkowy, Kępno, Kępiński, Greater Poland")</f>
        <v>Housing estates Chabrowe, Krążkowy, Kępno, Kępiński, Greater Poland</v>
      </c>
      <c r="I972" s="1" t="b">
        <v>1</v>
      </c>
      <c r="J972" s="1" t="s">
        <v>21</v>
      </c>
      <c r="K972" s="1" t="s">
        <v>45</v>
      </c>
      <c r="L972" s="1" t="s">
        <v>4557</v>
      </c>
      <c r="M972" s="1">
        <v>4</v>
      </c>
      <c r="N972" s="1" t="s">
        <v>21</v>
      </c>
      <c r="O972" s="1" t="str">
        <f ca="1">IFERROR(__xludf.DUMMYFUNCTION("GOOGLETRANSLATE(N972,""pl"",""en"")"),"null")</f>
        <v>null</v>
      </c>
      <c r="P972" s="3" t="s">
        <v>4558</v>
      </c>
      <c r="Q972" s="1" t="b">
        <v>1</v>
      </c>
      <c r="R972" s="1" t="s">
        <v>4559</v>
      </c>
    </row>
    <row r="973" spans="1:18" x14ac:dyDescent="0.25">
      <c r="A973" s="2">
        <v>45173</v>
      </c>
      <c r="B973" s="1" t="s">
        <v>4560</v>
      </c>
      <c r="C973" s="1" t="str">
        <f ca="1">IFERROR(__xludf.DUMMYFUNCTION("GOOGLETRANSLATE(B973,""pl"",""en"")"),"Modern studio by the forest! Buy and invest!")</f>
        <v>Modern studio by the forest! Buy and invest!</v>
      </c>
      <c r="D973" s="1">
        <v>365000</v>
      </c>
      <c r="E973" s="1" t="s">
        <v>19</v>
      </c>
      <c r="F973" s="1">
        <v>33</v>
      </c>
      <c r="G973" s="1" t="s">
        <v>4561</v>
      </c>
      <c r="H973" s="1" t="str">
        <f ca="1">IFERROR(__xludf.DUMMYFUNCTION("GOOGLETRANSLATE(G973,""pl"",""en"")"),"street. Bytkowska, Wołnowiec-Józefowiec, Katowice, Silesian Voivodeship")</f>
        <v>street. Bytkowska, Wołnowiec-Józefowiec, Katowice, Silesian Voivodeship</v>
      </c>
      <c r="I973" s="1" t="b">
        <v>1</v>
      </c>
      <c r="J973" s="1" t="s">
        <v>21</v>
      </c>
      <c r="K973" s="1" t="s">
        <v>22</v>
      </c>
      <c r="L973" s="1" t="s">
        <v>4562</v>
      </c>
      <c r="M973" s="1">
        <v>1</v>
      </c>
      <c r="N973" s="1" t="s">
        <v>24</v>
      </c>
      <c r="O973" s="1" t="str">
        <f ca="1">IFERROR(__xludf.DUMMYFUNCTION("GOOGLETRANSLATE(N973,""pl"",""en"")"),"full ownership")</f>
        <v>full ownership</v>
      </c>
      <c r="P973" s="3" t="s">
        <v>4563</v>
      </c>
      <c r="Q973" s="1" t="b">
        <v>1</v>
      </c>
      <c r="R973" s="1" t="s">
        <v>4564</v>
      </c>
    </row>
    <row r="974" spans="1:18" x14ac:dyDescent="0.25">
      <c r="A974" s="2">
        <v>45173</v>
      </c>
      <c r="B974" s="1" t="s">
        <v>4565</v>
      </c>
      <c r="C974" s="1" t="str">
        <f ca="1">IFERROR(__xludf.DUMMYFUNCTION("GOOGLETRANSLATE(B974,""pl"",""en"")"),"Last floor. After renovation")</f>
        <v>Last floor. After renovation</v>
      </c>
      <c r="D974" s="1">
        <v>569000</v>
      </c>
      <c r="E974" s="1" t="s">
        <v>33</v>
      </c>
      <c r="F974" s="1">
        <v>46.81</v>
      </c>
      <c r="G974" s="1" t="s">
        <v>4566</v>
      </c>
      <c r="H974" s="1" t="str">
        <f ca="1">IFERROR(__xludf.DUMMYFUNCTION("GOOGLETRANSLATE(G974,""pl"",""en"")"),"street. Zaroślak, Śródmieście, Gdańsk, Pomeranian Voivodeship")</f>
        <v>street. Zaroślak, Śródmieście, Gdańsk, Pomeranian Voivodeship</v>
      </c>
      <c r="I974" s="1" t="s">
        <v>21</v>
      </c>
      <c r="J974" s="1" t="s">
        <v>21</v>
      </c>
      <c r="K974" s="1" t="s">
        <v>22</v>
      </c>
      <c r="L974" s="1" t="s">
        <v>4567</v>
      </c>
      <c r="M974" s="1">
        <v>2</v>
      </c>
      <c r="N974" s="1" t="s">
        <v>24</v>
      </c>
      <c r="O974" s="1" t="str">
        <f ca="1">IFERROR(__xludf.DUMMYFUNCTION("GOOGLETRANSLATE(N974,""pl"",""en"")"),"full ownership")</f>
        <v>full ownership</v>
      </c>
      <c r="P974" s="3" t="s">
        <v>4568</v>
      </c>
      <c r="Q974" s="1" t="b">
        <v>1</v>
      </c>
      <c r="R974" s="1" t="s">
        <v>4569</v>
      </c>
    </row>
    <row r="975" spans="1:18" x14ac:dyDescent="0.25">
      <c r="A975" s="2">
        <v>45173</v>
      </c>
      <c r="B975" s="1" t="s">
        <v>4570</v>
      </c>
      <c r="C975" s="1" t="str">
        <f ca="1">IFERROR(__xludf.DUMMYFUNCTION("GOOGLETRANSLATE(B975,""pl"",""en"")"),"Elevator, garage, blinds, floor, air conditioning ...")</f>
        <v>Elevator, garage, blinds, floor, air conditioning ...</v>
      </c>
      <c r="D975" s="1">
        <v>428025</v>
      </c>
      <c r="E975" s="1" t="s">
        <v>19</v>
      </c>
      <c r="F975" s="1">
        <v>57.07</v>
      </c>
      <c r="G975" s="1" t="s">
        <v>1693</v>
      </c>
      <c r="H975" s="1" t="str">
        <f ca="1">IFERROR(__xludf.DUMMYFUNCTION("GOOGLETRANSLATE(G975,""pl"",""en"")"),"street. Świętokrzyska, Żywiec, Żywiec, Silesian Voivodeship")</f>
        <v>street. Świętokrzyska, Żywiec, Żywiec, Silesian Voivodeship</v>
      </c>
      <c r="I975" s="1" t="s">
        <v>21</v>
      </c>
      <c r="J975" s="1" t="s">
        <v>21</v>
      </c>
      <c r="K975" s="1" t="s">
        <v>22</v>
      </c>
      <c r="L975" s="1" t="s">
        <v>4480</v>
      </c>
      <c r="M975" s="1">
        <v>2</v>
      </c>
      <c r="N975" s="1" t="s">
        <v>24</v>
      </c>
      <c r="O975" s="1" t="str">
        <f ca="1">IFERROR(__xludf.DUMMYFUNCTION("GOOGLETRANSLATE(N975,""pl"",""en"")"),"full ownership")</f>
        <v>full ownership</v>
      </c>
      <c r="P975" s="3" t="s">
        <v>4571</v>
      </c>
      <c r="Q975" s="1" t="b">
        <v>1</v>
      </c>
      <c r="R975" s="1" t="s">
        <v>4572</v>
      </c>
    </row>
    <row r="976" spans="1:18" x14ac:dyDescent="0.25">
      <c r="A976" s="2">
        <v>45173</v>
      </c>
      <c r="B976" s="1" t="s">
        <v>4573</v>
      </c>
      <c r="C976" s="1" t="str">
        <f ca="1">IFERROR(__xludf.DUMMYFUNCTION("GOOGLETRANSLATE(B976,""pl"",""en"")"),"Villa Symphony Olsztyn apartment M30")</f>
        <v>Villa Symphony Olsztyn apartment M30</v>
      </c>
      <c r="D976" s="1">
        <v>522750</v>
      </c>
      <c r="E976" s="1" t="s">
        <v>19</v>
      </c>
      <c r="F976" s="1">
        <v>61.5</v>
      </c>
      <c r="G976" s="1" t="s">
        <v>4574</v>
      </c>
      <c r="H976" s="1" t="str">
        <f ca="1">IFERROR(__xludf.DUMMYFUNCTION("GOOGLETRANSLATE(G976,""pl"",""en"")"),"street. Wojciech Kętrzyński, Kętrzyński estate, Olsztyn, Warmian-Masurian")</f>
        <v>street. Wojciech Kętrzyński, Kętrzyński estate, Olsztyn, Warmian-Masurian</v>
      </c>
      <c r="I976" s="1" t="b">
        <v>1</v>
      </c>
      <c r="J976" s="1" t="s">
        <v>21</v>
      </c>
      <c r="K976" s="1" t="s">
        <v>194</v>
      </c>
      <c r="L976" s="1" t="s">
        <v>4575</v>
      </c>
      <c r="M976" s="1">
        <v>3</v>
      </c>
      <c r="N976" s="1" t="s">
        <v>24</v>
      </c>
      <c r="O976" s="1" t="str">
        <f ca="1">IFERROR(__xludf.DUMMYFUNCTION("GOOGLETRANSLATE(N976,""pl"",""en"")"),"full ownership")</f>
        <v>full ownership</v>
      </c>
      <c r="P976" s="3" t="s">
        <v>4576</v>
      </c>
      <c r="Q976" s="1" t="b">
        <v>1</v>
      </c>
      <c r="R976" s="1" t="s">
        <v>4577</v>
      </c>
    </row>
    <row r="977" spans="1:18" x14ac:dyDescent="0.25">
      <c r="A977" s="2">
        <v>45173</v>
      </c>
      <c r="B977" s="1" t="s">
        <v>4578</v>
      </c>
      <c r="C977" s="1" t="str">
        <f ca="1">IFERROR(__xludf.DUMMYFUNCTION("GOOGLETRANSLATE(B977,""pl"",""en"")"),"Own apartment at the lake")</f>
        <v>Own apartment at the lake</v>
      </c>
      <c r="D977" s="1">
        <v>200000</v>
      </c>
      <c r="E977" s="1" t="s">
        <v>33</v>
      </c>
      <c r="F977" s="1">
        <v>76.11</v>
      </c>
      <c r="G977" s="1" t="s">
        <v>4579</v>
      </c>
      <c r="H977" s="1" t="str">
        <f ca="1">IFERROR(__xludf.DUMMYFUNCTION("GOOGLETRANSLATE(G977,""pl"",""en"")"),"Ostaszewo, Grodziczno, Nowomiejski, Warmian-Masurian Voivodeship")</f>
        <v>Ostaszewo, Grodziczno, Nowomiejski, Warmian-Masurian Voivodeship</v>
      </c>
      <c r="I977" s="1" t="b">
        <v>1</v>
      </c>
      <c r="J977" s="1" t="s">
        <v>21</v>
      </c>
      <c r="K977" s="1" t="s">
        <v>22</v>
      </c>
      <c r="L977" s="1" t="s">
        <v>4580</v>
      </c>
      <c r="M977" s="1">
        <v>3</v>
      </c>
      <c r="N977" s="1" t="s">
        <v>24</v>
      </c>
      <c r="O977" s="1" t="str">
        <f ca="1">IFERROR(__xludf.DUMMYFUNCTION("GOOGLETRANSLATE(N977,""pl"",""en"")"),"full ownership")</f>
        <v>full ownership</v>
      </c>
      <c r="P977" s="3" t="s">
        <v>4581</v>
      </c>
      <c r="Q977" s="1" t="b">
        <v>1</v>
      </c>
      <c r="R977" s="1" t="s">
        <v>4582</v>
      </c>
    </row>
    <row r="978" spans="1:18" x14ac:dyDescent="0.25">
      <c r="A978" s="2">
        <v>45173</v>
      </c>
      <c r="B978" s="1" t="s">
        <v>4583</v>
      </c>
      <c r="C978" s="1" t="str">
        <f ca="1">IFERROR(__xludf.DUMMYFUNCTION("GOOGLETRANSLATE(B978,""pl"",""en"")"),"Two -level with a garage and garden Zagórze")</f>
        <v>Two -level with a garage and garden Zagórze</v>
      </c>
      <c r="D978" s="1">
        <v>659000</v>
      </c>
      <c r="E978" s="1" t="s">
        <v>19</v>
      </c>
      <c r="F978" s="1">
        <v>114.59</v>
      </c>
      <c r="G978" s="1" t="s">
        <v>4584</v>
      </c>
      <c r="H978" s="1" t="str">
        <f ca="1">IFERROR(__xludf.DUMMYFUNCTION("GOOGLETRANSLATE(G978,""pl"",""en"")"),"street. Kosynierów, Zagórze North, Sosnowiec, Silesian Voivodeship")</f>
        <v>street. Kosynierów, Zagórze North, Sosnowiec, Silesian Voivodeship</v>
      </c>
      <c r="I978" s="1" t="s">
        <v>21</v>
      </c>
      <c r="J978" s="1" t="s">
        <v>21</v>
      </c>
      <c r="K978" s="1" t="s">
        <v>22</v>
      </c>
      <c r="L978" s="1" t="s">
        <v>4585</v>
      </c>
      <c r="M978" s="1">
        <v>4</v>
      </c>
      <c r="N978" s="1" t="s">
        <v>24</v>
      </c>
      <c r="O978" s="1" t="str">
        <f ca="1">IFERROR(__xludf.DUMMYFUNCTION("GOOGLETRANSLATE(N978,""pl"",""en"")"),"full ownership")</f>
        <v>full ownership</v>
      </c>
      <c r="P978" s="3" t="s">
        <v>4586</v>
      </c>
      <c r="Q978" s="1" t="b">
        <v>1</v>
      </c>
      <c r="R978" s="1" t="s">
        <v>4587</v>
      </c>
    </row>
    <row r="979" spans="1:18" x14ac:dyDescent="0.25">
      <c r="A979" s="2">
        <v>45173</v>
      </c>
      <c r="B979" s="1" t="s">
        <v>4588</v>
      </c>
      <c r="C979" s="1" t="str">
        <f ca="1">IFERROR(__xludf.DUMMYFUNCTION("GOOGLETRANSLATE(B979,""pl"",""en"")"),"5 rooms, 2 bathrooms, two -storey, virtual walk")</f>
        <v>5 rooms, 2 bathrooms, two -storey, virtual walk</v>
      </c>
      <c r="D979" s="1">
        <v>620000</v>
      </c>
      <c r="E979" s="1" t="s">
        <v>33</v>
      </c>
      <c r="F979" s="1">
        <v>95</v>
      </c>
      <c r="G979" s="1" t="s">
        <v>4589</v>
      </c>
      <c r="H979" s="1" t="str">
        <f ca="1">IFERROR(__xludf.DUMMYFUNCTION("GOOGLETRANSLATE(G979,""pl"",""en"")"),"street. Hockey, Orunia Górna - Gdańsk Południe, Gdańsk, Pomeranian Voivodeship")</f>
        <v>street. Hockey, Orunia Górna - Gdańsk Południe, Gdańsk, Pomeranian Voivodeship</v>
      </c>
      <c r="I979" s="1" t="s">
        <v>21</v>
      </c>
      <c r="J979" s="1" t="s">
        <v>21</v>
      </c>
      <c r="K979" s="1" t="s">
        <v>22</v>
      </c>
      <c r="L979" s="1" t="s">
        <v>4590</v>
      </c>
      <c r="M979" s="1">
        <v>5</v>
      </c>
      <c r="N979" s="1" t="s">
        <v>24</v>
      </c>
      <c r="O979" s="1" t="str">
        <f ca="1">IFERROR(__xludf.DUMMYFUNCTION("GOOGLETRANSLATE(N979,""pl"",""en"")"),"full ownership")</f>
        <v>full ownership</v>
      </c>
      <c r="P979" s="3" t="s">
        <v>4591</v>
      </c>
      <c r="Q979" s="1" t="b">
        <v>1</v>
      </c>
      <c r="R979" s="1" t="s">
        <v>4592</v>
      </c>
    </row>
    <row r="980" spans="1:18" x14ac:dyDescent="0.25">
      <c r="A980" s="2">
        <v>45173</v>
      </c>
      <c r="B980" s="1" t="s">
        <v>4593</v>
      </c>
      <c r="C980" s="1" t="str">
        <f ca="1">IFERROR(__xludf.DUMMYFUNCTION("GOOGLETRANSLATE(B980,""pl"",""en"")"),"A unique house on the lake and river")</f>
        <v>A unique house on the lake and river</v>
      </c>
      <c r="D980" s="1">
        <v>4980000</v>
      </c>
      <c r="E980" s="1" t="s">
        <v>33</v>
      </c>
      <c r="F980" s="1">
        <v>269.85000000000002</v>
      </c>
      <c r="G980" s="1" t="s">
        <v>4851</v>
      </c>
      <c r="H980" s="1" t="str">
        <f ca="1">IFERROR(__xludf.DUMMYFUNCTION("GOOGLETRANSLATE(G980,""pl"",""en"")"),"Gryżyce, Żagań, Żagański, Lubusz Voivodeship")</f>
        <v>Gryżyce, Żagań, Żagański, Lubusz Voivodeship</v>
      </c>
      <c r="I980" s="1" t="b">
        <v>1</v>
      </c>
      <c r="J980" s="1" t="s">
        <v>21</v>
      </c>
      <c r="K980" s="1" t="s">
        <v>22</v>
      </c>
      <c r="L980" s="1" t="s">
        <v>4852</v>
      </c>
      <c r="M980" s="1">
        <v>6</v>
      </c>
      <c r="N980" s="1" t="s">
        <v>21</v>
      </c>
      <c r="O980" s="1" t="str">
        <f ca="1">IFERROR(__xludf.DUMMYFUNCTION("GOOGLETRANSLATE(N980,""pl"",""en"")"),"null")</f>
        <v>null</v>
      </c>
      <c r="P980" s="3" t="s">
        <v>4594</v>
      </c>
      <c r="Q980" s="1" t="b">
        <v>1</v>
      </c>
      <c r="R980" s="1" t="s">
        <v>4595</v>
      </c>
    </row>
    <row r="981" spans="1:18" x14ac:dyDescent="0.25">
      <c r="A981" s="2">
        <v>45173</v>
      </c>
      <c r="B981" s="1" t="s">
        <v>4596</v>
      </c>
      <c r="C981" s="1" t="str">
        <f ca="1">IFERROR(__xludf.DUMMYFUNCTION("GOOGLETRANSLATE(B981,""pl"",""en"")"),"A cozy studio | 29m2 | Terrace | Mourning park |")</f>
        <v>A cozy studio | 29m2 | Terrace | Mourning park |</v>
      </c>
      <c r="D981" s="1">
        <v>421850</v>
      </c>
      <c r="E981" s="1" t="s">
        <v>19</v>
      </c>
      <c r="F981" s="1">
        <v>29.5</v>
      </c>
      <c r="G981" s="1" t="s">
        <v>4597</v>
      </c>
      <c r="H981" s="1" t="str">
        <f ca="1">IFERROR(__xludf.DUMMYFUNCTION("GOOGLETRANSLATE(G981,""pl"",""en"")"),"island of Kępa Mieszczańska, Nadodrze, Śródmieście, Wrocław, DolnoSilesian Voivodeship")</f>
        <v>island of Kępa Mieszczańska, Nadodrze, Śródmieście, Wrocław, DolnoSilesian Voivodeship</v>
      </c>
      <c r="I981" s="1" t="s">
        <v>21</v>
      </c>
      <c r="J981" s="1" t="s">
        <v>21</v>
      </c>
      <c r="K981" s="1" t="s">
        <v>22</v>
      </c>
      <c r="L981" s="1" t="s">
        <v>4598</v>
      </c>
      <c r="M981" s="1">
        <v>1</v>
      </c>
      <c r="N981" s="1" t="s">
        <v>24</v>
      </c>
      <c r="O981" s="1" t="str">
        <f ca="1">IFERROR(__xludf.DUMMYFUNCTION("GOOGLETRANSLATE(N981,""pl"",""en"")"),"full ownership")</f>
        <v>full ownership</v>
      </c>
      <c r="P981" s="3" t="s">
        <v>4599</v>
      </c>
      <c r="Q981" s="1" t="b">
        <v>1</v>
      </c>
      <c r="R981" s="1" t="s">
        <v>4600</v>
      </c>
    </row>
    <row r="982" spans="1:18" x14ac:dyDescent="0.25">
      <c r="A982" s="2">
        <v>45173</v>
      </c>
      <c r="B982" s="1" t="s">
        <v>4601</v>
      </c>
      <c r="C982" s="1" t="str">
        <f ca="1">IFERROR(__xludf.DUMMYFUNCTION("GOOGLETRANSLATE(B982,""pl"",""en"")"),"Wawer two -level apartment")</f>
        <v>Wawer two -level apartment</v>
      </c>
      <c r="D982" s="1">
        <v>2299000</v>
      </c>
      <c r="E982" s="1" t="s">
        <v>33</v>
      </c>
      <c r="F982" s="1">
        <v>124.18</v>
      </c>
      <c r="G982" s="1" t="s">
        <v>4602</v>
      </c>
      <c r="H982" s="1" t="str">
        <f ca="1">IFERROR(__xludf.DUMMYFUNCTION("GOOGLETRANSLATE(G982,""pl"",""en"")"),"street. Żegańska, Międzylesie, Wawer, Warsaw, Masovian Voivodeship")</f>
        <v>street. Żegańska, Międzylesie, Wawer, Warsaw, Masovian Voivodeship</v>
      </c>
      <c r="I982" s="1" t="s">
        <v>21</v>
      </c>
      <c r="J982" s="1" t="s">
        <v>21</v>
      </c>
      <c r="K982" s="1" t="s">
        <v>22</v>
      </c>
      <c r="L982" s="1" t="s">
        <v>4603</v>
      </c>
      <c r="M982" s="1">
        <v>4</v>
      </c>
      <c r="N982" s="1" t="s">
        <v>24</v>
      </c>
      <c r="O982" s="1" t="str">
        <f ca="1">IFERROR(__xludf.DUMMYFUNCTION("GOOGLETRANSLATE(N982,""pl"",""en"")"),"full ownership")</f>
        <v>full ownership</v>
      </c>
      <c r="P982" s="3" t="s">
        <v>4604</v>
      </c>
      <c r="Q982" s="1" t="b">
        <v>1</v>
      </c>
      <c r="R982" s="1" t="s">
        <v>4605</v>
      </c>
    </row>
    <row r="983" spans="1:18" x14ac:dyDescent="0.25">
      <c r="A983" s="2">
        <v>45173</v>
      </c>
      <c r="B983" s="1" t="s">
        <v>4570</v>
      </c>
      <c r="C983" s="1" t="str">
        <f ca="1">IFERROR(__xludf.DUMMYFUNCTION("GOOGLETRANSLATE(B983,""pl"",""en"")"),"Elevator, garage, blinds, floor, air conditioning ...")</f>
        <v>Elevator, garage, blinds, floor, air conditioning ...</v>
      </c>
      <c r="D983" s="1">
        <v>582160</v>
      </c>
      <c r="E983" s="1" t="s">
        <v>19</v>
      </c>
      <c r="F983" s="1">
        <v>72.77</v>
      </c>
      <c r="G983" s="1" t="s">
        <v>4606</v>
      </c>
      <c r="H983" s="1" t="str">
        <f ca="1">IFERROR(__xludf.DUMMYFUNCTION("GOOGLETRANSLATE(G983,""pl"",""en"")"),"street. Babiogórska, Osiedle Beskidzkie, Bielsko-Biała, Silesian Voivodeship")</f>
        <v>street. Babiogórska, Osiedle Beskidzkie, Bielsko-Biała, Silesian Voivodeship</v>
      </c>
      <c r="I983" s="1" t="s">
        <v>21</v>
      </c>
      <c r="J983" s="1" t="s">
        <v>21</v>
      </c>
      <c r="K983" s="1" t="s">
        <v>22</v>
      </c>
      <c r="L983" s="1" t="s">
        <v>4607</v>
      </c>
      <c r="M983" s="1">
        <v>3</v>
      </c>
      <c r="N983" s="1" t="s">
        <v>24</v>
      </c>
      <c r="O983" s="1" t="str">
        <f ca="1">IFERROR(__xludf.DUMMYFUNCTION("GOOGLETRANSLATE(N983,""pl"",""en"")"),"full ownership")</f>
        <v>full ownership</v>
      </c>
      <c r="P983" s="3" t="s">
        <v>4608</v>
      </c>
      <c r="Q983" s="1" t="b">
        <v>1</v>
      </c>
      <c r="R983" s="1" t="s">
        <v>4609</v>
      </c>
    </row>
    <row r="984" spans="1:18" x14ac:dyDescent="0.25">
      <c r="A984" s="2">
        <v>45173</v>
      </c>
      <c r="B984" s="1" t="s">
        <v>4610</v>
      </c>
      <c r="C984" s="1" t="str">
        <f ca="1">IFERROR(__xludf.DUMMYFUNCTION("GOOGLETRANSLATE(B984,""pl"",""en"")"),"A fully equipped mini apartment with parking")</f>
        <v>A fully equipped mini apartment with parking</v>
      </c>
      <c r="D984" s="1">
        <v>330000</v>
      </c>
      <c r="E984" s="1" t="s">
        <v>19</v>
      </c>
      <c r="F984" s="1">
        <v>31</v>
      </c>
      <c r="G984" s="1" t="s">
        <v>4611</v>
      </c>
      <c r="H984" s="1" t="str">
        <f ca="1">IFERROR(__xludf.DUMMYFUNCTION("GOOGLETRANSLATE(G984,""pl"",""en"")"),"al. Józef Piłsudski, Manhattan, Gołonóg South, Dąbrowa Górnicza, Silesian Voivodeship")</f>
        <v>al. Józef Piłsudski, Manhattan, Gołonóg South, Dąbrowa Górnicza, Silesian Voivodeship</v>
      </c>
      <c r="I984" s="1" t="s">
        <v>21</v>
      </c>
      <c r="J984" s="1" t="s">
        <v>21</v>
      </c>
      <c r="K984" s="1" t="s">
        <v>22</v>
      </c>
      <c r="L984" s="1" t="s">
        <v>4612</v>
      </c>
      <c r="M984" s="1">
        <v>2</v>
      </c>
      <c r="N984" s="1" t="s">
        <v>24</v>
      </c>
      <c r="O984" s="1" t="str">
        <f ca="1">IFERROR(__xludf.DUMMYFUNCTION("GOOGLETRANSLATE(N984,""pl"",""en"")"),"full ownership")</f>
        <v>full ownership</v>
      </c>
      <c r="P984" s="3" t="s">
        <v>4613</v>
      </c>
      <c r="Q984" s="1" t="b">
        <v>1</v>
      </c>
      <c r="R984" s="1" t="s">
        <v>4614</v>
      </c>
    </row>
    <row r="985" spans="1:18" x14ac:dyDescent="0.25">
      <c r="A985" s="2">
        <v>45173</v>
      </c>
      <c r="B985" s="1" t="s">
        <v>4615</v>
      </c>
      <c r="C985" s="1" t="str">
        <f ca="1">IFERROR(__xludf.DUMMYFUNCTION("GOOGLETRANSLATE(B985,""pl"",""en"")"),"New super price twin Cielmice")</f>
        <v>New super price twin Cielmice</v>
      </c>
      <c r="D985" s="1">
        <v>500000</v>
      </c>
      <c r="E985" s="1" t="s">
        <v>19</v>
      </c>
      <c r="F985" s="1">
        <v>137</v>
      </c>
      <c r="G985" s="1" t="s">
        <v>4616</v>
      </c>
      <c r="H985" s="1" t="str">
        <f ca="1">IFERROR(__xludf.DUMMYFUNCTION("GOOGLETRANSLATE(G985,""pl"",""en"")"),"street. Nadrzeczna, Tychy, Silesian Voivodeship")</f>
        <v>street. Nadrzeczna, Tychy, Silesian Voivodeship</v>
      </c>
      <c r="I985" s="1" t="b">
        <v>1</v>
      </c>
      <c r="J985" s="1" t="s">
        <v>21</v>
      </c>
      <c r="K985" s="1" t="s">
        <v>22</v>
      </c>
      <c r="L985" s="1" t="s">
        <v>4617</v>
      </c>
      <c r="M985" s="1">
        <v>4</v>
      </c>
      <c r="N985" s="1" t="s">
        <v>21</v>
      </c>
      <c r="O985" s="1" t="str">
        <f ca="1">IFERROR(__xludf.DUMMYFUNCTION("GOOGLETRANSLATE(N985,""pl"",""en"")"),"null")</f>
        <v>null</v>
      </c>
      <c r="P985" s="3" t="s">
        <v>4618</v>
      </c>
      <c r="Q985" s="1" t="b">
        <v>1</v>
      </c>
      <c r="R985" s="1" t="s">
        <v>4619</v>
      </c>
    </row>
    <row r="986" spans="1:18" x14ac:dyDescent="0.25">
      <c r="A986" s="2">
        <v>45173</v>
      </c>
      <c r="B986" s="1" t="s">
        <v>4620</v>
      </c>
      <c r="C986" s="1" t="str">
        <f ca="1">IFERROR(__xludf.DUMMYFUNCTION("GOOGLETRANSLATE(B986,""pl"",""en"")"),"Two -level apartment 65m2, Rypin")</f>
        <v>Two -level apartment 65m2, Rypin</v>
      </c>
      <c r="D986" s="1">
        <v>370000</v>
      </c>
      <c r="E986" s="1" t="s">
        <v>33</v>
      </c>
      <c r="F986" s="1">
        <v>65</v>
      </c>
      <c r="G986" s="1" t="s">
        <v>4621</v>
      </c>
      <c r="H986" s="1" t="str">
        <f ca="1">IFERROR(__xludf.DUMMYFUNCTION("GOOGLETRANSLATE(G986,""pl"",""en"")"),"street. Łączna, Rypin, Rypiński, Kujawsko-Pomeranian Voivodeship")</f>
        <v>street. Łączna, Rypin, Rypiński, Kujawsko-Pomeranian Voivodeship</v>
      </c>
      <c r="I986" s="1" t="s">
        <v>21</v>
      </c>
      <c r="J986" s="1" t="s">
        <v>21</v>
      </c>
      <c r="K986" s="1" t="s">
        <v>22</v>
      </c>
      <c r="L986" s="1" t="s">
        <v>4622</v>
      </c>
      <c r="M986" s="1">
        <v>4</v>
      </c>
      <c r="N986" s="1" t="s">
        <v>24</v>
      </c>
      <c r="O986" s="1" t="str">
        <f ca="1">IFERROR(__xludf.DUMMYFUNCTION("GOOGLETRANSLATE(N986,""pl"",""en"")"),"full ownership")</f>
        <v>full ownership</v>
      </c>
      <c r="P986" s="3" t="s">
        <v>4623</v>
      </c>
      <c r="Q986" s="1" t="b">
        <v>1</v>
      </c>
      <c r="R986" s="1" t="s">
        <v>4624</v>
      </c>
    </row>
    <row r="987" spans="1:18" x14ac:dyDescent="0.25">
      <c r="A987" s="2">
        <v>45173</v>
      </c>
      <c r="B987" s="1" t="s">
        <v>4625</v>
      </c>
      <c r="C987" s="1" t="str">
        <f ca="1">IFERROR(__xludf.DUMMYFUNCTION("GOOGLETRANSLATE(B987,""pl"",""en"")"),"Premium residence- 67m2 salon- 3 meters high")</f>
        <v>Premium residence- 67m2 salon- 3 meters high</v>
      </c>
      <c r="D987" s="1">
        <v>3930000</v>
      </c>
      <c r="E987" s="1" t="s">
        <v>33</v>
      </c>
      <c r="F987" s="1">
        <v>190</v>
      </c>
      <c r="G987" s="1" t="s">
        <v>314</v>
      </c>
      <c r="H987" s="1" t="str">
        <f ca="1">IFERROR(__xludf.DUMMYFUNCTION("GOOGLETRANSLATE(G987,""pl"",""en"")"),"Stegny, Mokotów, Warsaw, Masovian Voivodeship")</f>
        <v>Stegny, Mokotów, Warsaw, Masovian Voivodeship</v>
      </c>
      <c r="I987" s="1" t="b">
        <v>1</v>
      </c>
      <c r="J987" s="1" t="s">
        <v>21</v>
      </c>
      <c r="K987" s="1" t="s">
        <v>22</v>
      </c>
      <c r="L987" s="1" t="s">
        <v>4626</v>
      </c>
      <c r="M987" s="1">
        <v>4</v>
      </c>
      <c r="N987" s="1" t="s">
        <v>24</v>
      </c>
      <c r="O987" s="1" t="str">
        <f ca="1">IFERROR(__xludf.DUMMYFUNCTION("GOOGLETRANSLATE(N987,""pl"",""en"")"),"full ownership")</f>
        <v>full ownership</v>
      </c>
      <c r="P987" s="3" t="s">
        <v>4627</v>
      </c>
      <c r="Q987" s="1" t="b">
        <v>1</v>
      </c>
      <c r="R987" s="1" t="s">
        <v>4628</v>
      </c>
    </row>
    <row r="988" spans="1:18" x14ac:dyDescent="0.25">
      <c r="A988" s="2">
        <v>45173</v>
      </c>
      <c r="B988" s="1" t="s">
        <v>4629</v>
      </c>
      <c r="C988" s="1" t="str">
        <f ca="1">IFERROR(__xludf.DUMMYFUNCTION("GOOGLETRANSLATE(B988,""pl"",""en"")"),"A spacious, modern detached house")</f>
        <v>A spacious, modern detached house</v>
      </c>
      <c r="D988" s="1">
        <v>1590000</v>
      </c>
      <c r="E988" s="1" t="s">
        <v>33</v>
      </c>
      <c r="F988" s="1">
        <v>1134</v>
      </c>
      <c r="G988" s="1" t="s">
        <v>4630</v>
      </c>
      <c r="H988" s="1" t="str">
        <f ca="1">IFERROR(__xludf.DUMMYFUNCTION("GOOGLETRANSLATE(G988,""pl"",""en"")"),"Szczawno-Zdrój, Wałbrzych, DolnoSilesian Voivodeship")</f>
        <v>Szczawno-Zdrój, Wałbrzych, DolnoSilesian Voivodeship</v>
      </c>
      <c r="I988" s="1" t="b">
        <v>1</v>
      </c>
      <c r="J988" s="1" t="s">
        <v>21</v>
      </c>
      <c r="K988" s="1" t="s">
        <v>22</v>
      </c>
      <c r="L988" s="1" t="s">
        <v>4631</v>
      </c>
      <c r="M988" s="1">
        <v>4</v>
      </c>
      <c r="N988" s="1" t="s">
        <v>21</v>
      </c>
      <c r="O988" s="1" t="str">
        <f ca="1">IFERROR(__xludf.DUMMYFUNCTION("GOOGLETRANSLATE(N988,""pl"",""en"")"),"null")</f>
        <v>null</v>
      </c>
      <c r="P988" s="3" t="s">
        <v>4632</v>
      </c>
      <c r="Q988" s="1" t="b">
        <v>1</v>
      </c>
      <c r="R988" s="1" t="s">
        <v>4633</v>
      </c>
    </row>
    <row r="989" spans="1:18" x14ac:dyDescent="0.25">
      <c r="A989" s="2">
        <v>45173</v>
      </c>
      <c r="B989" s="1" t="s">
        <v>4634</v>
      </c>
      <c r="C989" s="1" t="str">
        <f ca="1">IFERROR(__xludf.DUMMYFUNCTION("GOOGLETRANSLATE(B989,""pl"",""en"")"),"Available immediately/5 rooms/Metro/Galeria Mokotów")</f>
        <v>Available immediately/5 rooms/Metro/Galeria Mokotów</v>
      </c>
      <c r="D989" s="1">
        <v>2225300</v>
      </c>
      <c r="E989" s="1" t="s">
        <v>19</v>
      </c>
      <c r="F989" s="1">
        <v>117.71</v>
      </c>
      <c r="G989" s="1" t="s">
        <v>4635</v>
      </c>
      <c r="H989" s="1" t="str">
        <f ca="1">IFERROR(__xludf.DUMMYFUNCTION("GOOGLETRANSLATE(G989,""pl"",""en"")"),"Ksawerów, Mokotów, Warsaw, Masovian Voivodeship")</f>
        <v>Ksawerów, Mokotów, Warsaw, Masovian Voivodeship</v>
      </c>
      <c r="I989" s="1" t="s">
        <v>21</v>
      </c>
      <c r="J989" s="1" t="s">
        <v>21</v>
      </c>
      <c r="K989" s="1" t="s">
        <v>22</v>
      </c>
      <c r="L989" s="1" t="s">
        <v>4636</v>
      </c>
      <c r="M989" s="1">
        <v>5</v>
      </c>
      <c r="N989" s="1" t="s">
        <v>24</v>
      </c>
      <c r="O989" s="1" t="str">
        <f ca="1">IFERROR(__xludf.DUMMYFUNCTION("GOOGLETRANSLATE(N989,""pl"",""en"")"),"full ownership")</f>
        <v>full ownership</v>
      </c>
      <c r="P989" s="3" t="s">
        <v>4637</v>
      </c>
      <c r="Q989" s="1" t="b">
        <v>1</v>
      </c>
      <c r="R989" s="1" t="s">
        <v>4638</v>
      </c>
    </row>
    <row r="990" spans="1:18" x14ac:dyDescent="0.25">
      <c r="A990" s="2">
        <v>45173</v>
      </c>
      <c r="B990" s="1" t="s">
        <v>4501</v>
      </c>
      <c r="C990" s="1" t="str">
        <f ca="1">IFERROR(__xludf.DUMMYFUNCTION("GOOGLETRANSLATE(B990,""pl"",""en"")"),"Last free apartment 2 rooms - pickup 2023")</f>
        <v>Last free apartment 2 rooms - pickup 2023</v>
      </c>
      <c r="D990" s="1">
        <v>267000</v>
      </c>
      <c r="E990" s="1" t="s">
        <v>19</v>
      </c>
      <c r="F990" s="1">
        <v>29.84</v>
      </c>
      <c r="G990" s="1" t="s">
        <v>1945</v>
      </c>
      <c r="H990" s="1" t="str">
        <f ca="1">IFERROR(__xludf.DUMMYFUNCTION("GOOGLETRANSLATE(G990,""pl"",""en"")"),"street. Stawy, Żywiec, Żywiec, Silesian Voivodeship")</f>
        <v>street. Stawy, Żywiec, Żywiec, Silesian Voivodeship</v>
      </c>
      <c r="I990" s="1" t="b">
        <v>1</v>
      </c>
      <c r="J990" s="1" t="s">
        <v>21</v>
      </c>
      <c r="K990" s="1" t="s">
        <v>194</v>
      </c>
      <c r="L990" s="1" t="s">
        <v>4502</v>
      </c>
      <c r="M990" s="1">
        <v>2</v>
      </c>
      <c r="N990" s="1" t="s">
        <v>24</v>
      </c>
      <c r="O990" s="1" t="str">
        <f ca="1">IFERROR(__xludf.DUMMYFUNCTION("GOOGLETRANSLATE(N990,""pl"",""en"")"),"full ownership")</f>
        <v>full ownership</v>
      </c>
      <c r="P990" s="3" t="s">
        <v>4639</v>
      </c>
      <c r="Q990" s="1" t="b">
        <v>1</v>
      </c>
      <c r="R990" s="1" t="s">
        <v>4640</v>
      </c>
    </row>
    <row r="991" spans="1:18" x14ac:dyDescent="0.25">
      <c r="A991" s="2">
        <v>45173</v>
      </c>
      <c r="B991" s="1" t="s">
        <v>4641</v>
      </c>
      <c r="C991" s="1" t="str">
        <f ca="1">IFERROR(__xludf.DUMMYFUNCTION("GOOGLETRANSLATE(B991,""pl"",""en"")"),"Just in time for start or for rent!")</f>
        <v>Just in time for start or for rent!</v>
      </c>
      <c r="D991" s="1">
        <v>160000</v>
      </c>
      <c r="E991" s="1" t="s">
        <v>33</v>
      </c>
      <c r="F991" s="1">
        <v>39</v>
      </c>
      <c r="G991" s="1" t="s">
        <v>4642</v>
      </c>
      <c r="H991" s="1" t="str">
        <f ca="1">IFERROR(__xludf.DUMMYFUNCTION("GOOGLETRANSLATE(G991,""pl"",""en"")"),"Dębowa Góra, Sosnowiec, Silesian Voivodeship")</f>
        <v>Dębowa Góra, Sosnowiec, Silesian Voivodeship</v>
      </c>
      <c r="I991" s="1" t="s">
        <v>21</v>
      </c>
      <c r="J991" s="1" t="s">
        <v>21</v>
      </c>
      <c r="K991" s="1" t="s">
        <v>22</v>
      </c>
      <c r="L991" s="1" t="s">
        <v>4643</v>
      </c>
      <c r="M991" s="1">
        <v>2</v>
      </c>
      <c r="N991" s="1" t="s">
        <v>24</v>
      </c>
      <c r="O991" s="1" t="str">
        <f ca="1">IFERROR(__xludf.DUMMYFUNCTION("GOOGLETRANSLATE(N991,""pl"",""en"")"),"full ownership")</f>
        <v>full ownership</v>
      </c>
      <c r="P991" s="3" t="s">
        <v>4644</v>
      </c>
      <c r="Q991" s="1" t="b">
        <v>1</v>
      </c>
      <c r="R991" s="1" t="s">
        <v>4645</v>
      </c>
    </row>
    <row r="992" spans="1:18" x14ac:dyDescent="0.25">
      <c r="A992" s="2">
        <v>45173</v>
      </c>
      <c r="B992" s="1" t="s">
        <v>4646</v>
      </c>
      <c r="C992" s="1" t="str">
        <f ca="1">IFERROR(__xludf.DUMMYFUNCTION("GOOGLETRANSLATE(B992,""pl"",""en"")"),"A cozy 2-room apartment, possible exchange")</f>
        <v>A cozy 2-room apartment, possible exchange</v>
      </c>
      <c r="D992" s="1">
        <v>247000</v>
      </c>
      <c r="E992" s="1" t="s">
        <v>33</v>
      </c>
      <c r="F992" s="1">
        <v>37</v>
      </c>
      <c r="G992" s="1" t="s">
        <v>4647</v>
      </c>
      <c r="H992" s="1" t="str">
        <f ca="1">IFERROR(__xludf.DUMMYFUNCTION("GOOGLETRANSLATE(G992,""pl"",""en"")"),"street. Father Piotr Ściegienny, Starogard Gdański, Starogardzki, Pomeranian Voivodeship")</f>
        <v>street. Father Piotr Ściegienny, Starogard Gdański, Starogardzki, Pomeranian Voivodeship</v>
      </c>
      <c r="I992" s="1" t="s">
        <v>21</v>
      </c>
      <c r="J992" s="1" t="s">
        <v>21</v>
      </c>
      <c r="K992" s="1" t="s">
        <v>22</v>
      </c>
      <c r="L992" s="1" t="s">
        <v>4648</v>
      </c>
      <c r="M992" s="1">
        <v>2</v>
      </c>
      <c r="N992" s="1" t="s">
        <v>24</v>
      </c>
      <c r="O992" s="1" t="str">
        <f ca="1">IFERROR(__xludf.DUMMYFUNCTION("GOOGLETRANSLATE(N992,""pl"",""en"")"),"full ownership")</f>
        <v>full ownership</v>
      </c>
      <c r="P992" s="3" t="s">
        <v>4649</v>
      </c>
      <c r="Q992" s="1" t="b">
        <v>1</v>
      </c>
      <c r="R992" s="1" t="s">
        <v>4650</v>
      </c>
    </row>
    <row r="993" spans="1:18" x14ac:dyDescent="0.25">
      <c r="A993" s="2">
        <v>45173</v>
      </c>
      <c r="B993" s="1" t="s">
        <v>4651</v>
      </c>
      <c r="C993" s="1" t="str">
        <f ca="1">IFERROR(__xludf.DUMMYFUNCTION("GOOGLETRANSLATE(B993,""pl"",""en"")"),"2% two -level loan 3 rooms 65.3m2 without bevels")</f>
        <v>2% two -level loan 3 rooms 65.3m2 without bevels</v>
      </c>
      <c r="D993" s="1">
        <v>599000</v>
      </c>
      <c r="E993" s="1" t="s">
        <v>33</v>
      </c>
      <c r="F993" s="1">
        <v>65.3</v>
      </c>
      <c r="G993" s="1" t="s">
        <v>4652</v>
      </c>
      <c r="H993" s="1" t="str">
        <f ca="1">IFERROR(__xludf.DUMMYFUNCTION("GOOGLETRANSLATE(G993,""pl"",""en"")"),"street. Jana Husa, Dąbrówka Szlachecka, Białołęka, Warsaw, Masovian Voivodeship")</f>
        <v>street. Jana Husa, Dąbrówka Szlachecka, Białołęka, Warsaw, Masovian Voivodeship</v>
      </c>
      <c r="I993" s="1" t="s">
        <v>21</v>
      </c>
      <c r="J993" s="1" t="s">
        <v>21</v>
      </c>
      <c r="K993" s="1" t="s">
        <v>22</v>
      </c>
      <c r="L993" s="1" t="s">
        <v>4653</v>
      </c>
      <c r="M993" s="1">
        <v>3</v>
      </c>
      <c r="N993" s="1" t="s">
        <v>24</v>
      </c>
      <c r="O993" s="1" t="str">
        <f ca="1">IFERROR(__xludf.DUMMYFUNCTION("GOOGLETRANSLATE(N993,""pl"",""en"")"),"full ownership")</f>
        <v>full ownership</v>
      </c>
      <c r="P993" s="3" t="s">
        <v>4654</v>
      </c>
      <c r="Q993" s="1" t="b">
        <v>1</v>
      </c>
      <c r="R993" s="1" t="s">
        <v>4655</v>
      </c>
    </row>
    <row r="994" spans="1:18" x14ac:dyDescent="0.25">
      <c r="A994" s="2">
        <v>45173</v>
      </c>
      <c r="B994" s="1" t="s">
        <v>4656</v>
      </c>
      <c r="C994" s="1" t="str">
        <f ca="1">IFERROR(__xludf.DUMMYFUNCTION("GOOGLETRANSLATE(B994,""pl"",""en"")"),"A house with an idyllic atmosphere in the village of Sątop")</f>
        <v>A house with an idyllic atmosphere in the village of Sątop</v>
      </c>
      <c r="D994" s="1">
        <v>265000</v>
      </c>
      <c r="E994" s="1" t="s">
        <v>33</v>
      </c>
      <c r="F994" s="1">
        <v>66.7</v>
      </c>
      <c r="G994" s="1" t="s">
        <v>4657</v>
      </c>
      <c r="H994" s="1" t="str">
        <f ca="1">IFERROR(__xludf.DUMMYFUNCTION("GOOGLETRANSLATE(G994,""pl"",""en"")"),"Sątop, Kozłowo, Nidzicki, Warmian-Masurian Voivodeship")</f>
        <v>Sątop, Kozłowo, Nidzicki, Warmian-Masurian Voivodeship</v>
      </c>
      <c r="I994" s="1" t="b">
        <v>1</v>
      </c>
      <c r="J994" s="1" t="s">
        <v>21</v>
      </c>
      <c r="K994" s="1" t="s">
        <v>22</v>
      </c>
      <c r="L994" s="1" t="s">
        <v>4658</v>
      </c>
      <c r="M994" s="1">
        <v>2</v>
      </c>
      <c r="N994" s="1" t="s">
        <v>21</v>
      </c>
      <c r="O994" s="1" t="str">
        <f ca="1">IFERROR(__xludf.DUMMYFUNCTION("GOOGLETRANSLATE(N994,""pl"",""en"")"),"null")</f>
        <v>null</v>
      </c>
      <c r="P994" s="3" t="s">
        <v>4659</v>
      </c>
      <c r="Q994" s="1" t="b">
        <v>1</v>
      </c>
      <c r="R994" s="1" t="s">
        <v>4660</v>
      </c>
    </row>
    <row r="995" spans="1:18" x14ac:dyDescent="0.25">
      <c r="A995" s="2">
        <v>45173</v>
      </c>
      <c r="B995" s="1" t="s">
        <v>4661</v>
      </c>
      <c r="C995" s="1" t="str">
        <f ca="1">IFERROR(__xludf.DUMMYFUNCTION("GOOGLETRANSLATE(B995,""pl"",""en"")"),"A spacious apartment with a balcony at the sea 58/2")</f>
        <v>A spacious apartment with a balcony at the sea 58/2</v>
      </c>
      <c r="D995" s="1">
        <v>629000</v>
      </c>
      <c r="E995" s="1" t="s">
        <v>19</v>
      </c>
      <c r="F995" s="1">
        <v>75.06</v>
      </c>
      <c r="G995" s="1" t="s">
        <v>4662</v>
      </c>
      <c r="H995" s="1" t="str">
        <f ca="1">IFERROR(__xludf.DUMMYFUNCTION("GOOGLETRANSLATE(G995,""pl"",""en"")"),"Ustka, Słupski, Pomeranian")</f>
        <v>Ustka, Słupski, Pomeranian</v>
      </c>
      <c r="I995" s="1" t="b">
        <v>1</v>
      </c>
      <c r="J995" s="1" t="s">
        <v>21</v>
      </c>
      <c r="K995" s="1" t="s">
        <v>22</v>
      </c>
      <c r="L995" s="1" t="s">
        <v>4663</v>
      </c>
      <c r="M995" s="1">
        <v>4</v>
      </c>
      <c r="N995" s="1" t="s">
        <v>24</v>
      </c>
      <c r="O995" s="1" t="str">
        <f ca="1">IFERROR(__xludf.DUMMYFUNCTION("GOOGLETRANSLATE(N995,""pl"",""en"")"),"full ownership")</f>
        <v>full ownership</v>
      </c>
      <c r="P995" s="3" t="s">
        <v>4664</v>
      </c>
      <c r="Q995" s="1" t="b">
        <v>1</v>
      </c>
      <c r="R995" s="1" t="s">
        <v>4665</v>
      </c>
    </row>
    <row r="996" spans="1:18" x14ac:dyDescent="0.25">
      <c r="A996" s="2">
        <v>45173</v>
      </c>
      <c r="B996" s="1" t="s">
        <v>4666</v>
      </c>
      <c r="C996" s="1" t="str">
        <f ca="1">IFERROR(__xludf.DUMMYFUNCTION("GOOGLETRANSLATE(B996,""pl"",""en"")"),"Last series - price opportunity in a great location")</f>
        <v>Last series - price opportunity in a great location</v>
      </c>
      <c r="D996" s="1">
        <v>750000</v>
      </c>
      <c r="E996" s="1" t="s">
        <v>19</v>
      </c>
      <c r="F996" s="1">
        <v>99</v>
      </c>
      <c r="G996" s="1" t="s">
        <v>470</v>
      </c>
      <c r="H996" s="1" t="str">
        <f ca="1">IFERROR(__xludf.DUMMYFUNCTION("GOOGLETRANSLATE(G996,""pl"",""en"")"),"Leśnica, Fabryczna, Wrocław, DolnoSilesian Voivodeship")</f>
        <v>Leśnica, Fabryczna, Wrocław, DolnoSilesian Voivodeship</v>
      </c>
      <c r="I996" s="1" t="b">
        <v>1</v>
      </c>
      <c r="J996" s="1" t="s">
        <v>21</v>
      </c>
      <c r="K996" s="1" t="s">
        <v>45</v>
      </c>
      <c r="L996" s="1" t="s">
        <v>4667</v>
      </c>
      <c r="M996" s="1">
        <v>4</v>
      </c>
      <c r="N996" s="1" t="s">
        <v>21</v>
      </c>
      <c r="O996" s="1" t="str">
        <f ca="1">IFERROR(__xludf.DUMMYFUNCTION("GOOGLETRANSLATE(N996,""pl"",""en"")"),"null")</f>
        <v>null</v>
      </c>
      <c r="P996" s="3" t="s">
        <v>4668</v>
      </c>
      <c r="Q996" s="1" t="b">
        <v>1</v>
      </c>
      <c r="R996" s="1" t="s">
        <v>4669</v>
      </c>
    </row>
    <row r="997" spans="1:18" x14ac:dyDescent="0.25">
      <c r="A997" s="2">
        <v>45173</v>
      </c>
      <c r="B997" s="1" t="s">
        <v>4670</v>
      </c>
      <c r="C997" s="1" t="str">
        <f ca="1">IFERROR(__xludf.DUMMYFUNCTION("GOOGLETRANSLATE(B997,""pl"",""en"")"),"Extremely spacious with the garden")</f>
        <v>Extremely spacious with the garden</v>
      </c>
      <c r="D997" s="1">
        <v>440000</v>
      </c>
      <c r="E997" s="1" t="s">
        <v>33</v>
      </c>
      <c r="F997" s="1">
        <v>30</v>
      </c>
      <c r="G997" s="1" t="s">
        <v>4840</v>
      </c>
      <c r="H997" s="1" t="str">
        <f ca="1">IFERROR(__xludf.DUMMYFUNCTION("GOOGLETRANSLATE(G997,""pl"",""en"")"),"street. Szpakowa, Piaski Wielkie, Podgórze Duchackie, Kraków, Lesser Poland")</f>
        <v>street. Szpakowa, Piaski Wielkie, Podgórze Duchackie, Kraków, Lesser Poland</v>
      </c>
      <c r="I997" s="1" t="s">
        <v>21</v>
      </c>
      <c r="J997" s="1" t="s">
        <v>21</v>
      </c>
      <c r="K997" s="1" t="s">
        <v>22</v>
      </c>
      <c r="L997" s="1" t="s">
        <v>4671</v>
      </c>
      <c r="M997" s="1">
        <v>1</v>
      </c>
      <c r="N997" s="1" t="s">
        <v>24</v>
      </c>
      <c r="O997" s="1" t="str">
        <f ca="1">IFERROR(__xludf.DUMMYFUNCTION("GOOGLETRANSLATE(N997,""pl"",""en"")"),"full ownership")</f>
        <v>full ownership</v>
      </c>
      <c r="P997" s="3" t="s">
        <v>4672</v>
      </c>
      <c r="Q997" s="1" t="b">
        <v>1</v>
      </c>
      <c r="R997" s="1" t="s">
        <v>4673</v>
      </c>
    </row>
    <row r="998" spans="1:18" x14ac:dyDescent="0.25">
      <c r="A998" s="2">
        <v>45173</v>
      </c>
      <c r="B998" s="1" t="s">
        <v>4674</v>
      </c>
      <c r="C998" s="1" t="str">
        <f ca="1">IFERROR(__xludf.DUMMYFUNCTION("GOOGLETRANSLATE(B998,""pl"",""en"")"),"Żoliborz artistic - apartment for investment!")</f>
        <v>Żoliborz artistic - apartment for investment!</v>
      </c>
      <c r="D998" s="1">
        <v>998000</v>
      </c>
      <c r="E998" s="1" t="s">
        <v>33</v>
      </c>
      <c r="F998" s="1">
        <v>45</v>
      </c>
      <c r="G998" s="1" t="s">
        <v>4675</v>
      </c>
      <c r="H998" s="1" t="str">
        <f ca="1">IFERROR(__xludf.DUMMYFUNCTION("GOOGLETRANSLATE(G998,""pl"",""en"")"),"Stanisława Dygata, Sady Żoliborskie, Żoliborz, Warsaw, Masovian Voivodeship")</f>
        <v>Stanisława Dygata, Sady Żoliborskie, Żoliborz, Warsaw, Masovian Voivodeship</v>
      </c>
      <c r="I998" s="1" t="b">
        <v>1</v>
      </c>
      <c r="J998" s="1" t="s">
        <v>21</v>
      </c>
      <c r="K998" s="1" t="s">
        <v>22</v>
      </c>
      <c r="L998" s="1" t="s">
        <v>4676</v>
      </c>
      <c r="M998" s="1">
        <v>2</v>
      </c>
      <c r="N998" s="1" t="s">
        <v>24</v>
      </c>
      <c r="O998" s="1" t="str">
        <f ca="1">IFERROR(__xludf.DUMMYFUNCTION("GOOGLETRANSLATE(N998,""pl"",""en"")"),"full ownership")</f>
        <v>full ownership</v>
      </c>
      <c r="P998" s="3" t="s">
        <v>4677</v>
      </c>
      <c r="Q998" s="1" t="b">
        <v>1</v>
      </c>
      <c r="R998" s="1" t="s">
        <v>4678</v>
      </c>
    </row>
    <row r="999" spans="1:18" x14ac:dyDescent="0.25">
      <c r="A999" s="2">
        <v>45173</v>
      </c>
      <c r="B999" s="1" t="s">
        <v>4479</v>
      </c>
      <c r="C999" s="1" t="str">
        <f ca="1">IFERROR(__xludf.DUMMYFUNCTION("GOOGLETRANSLATE(B999,""pl"",""en"")"),"Elevator, external blinds, floor, air conditioning")</f>
        <v>Elevator, external blinds, floor, air conditioning</v>
      </c>
      <c r="D999" s="1">
        <v>427110</v>
      </c>
      <c r="E999" s="1" t="s">
        <v>19</v>
      </c>
      <c r="F999" s="1">
        <v>61.9</v>
      </c>
      <c r="G999" s="1" t="s">
        <v>1693</v>
      </c>
      <c r="H999" s="1" t="str">
        <f ca="1">IFERROR(__xludf.DUMMYFUNCTION("GOOGLETRANSLATE(G999,""pl"",""en"")"),"street. Świętokrzyska, Żywiec, Żywiec, Silesian Voivodeship")</f>
        <v>street. Świętokrzyska, Żywiec, Żywiec, Silesian Voivodeship</v>
      </c>
      <c r="I999" s="1" t="s">
        <v>21</v>
      </c>
      <c r="J999" s="1" t="s">
        <v>21</v>
      </c>
      <c r="K999" s="1" t="s">
        <v>22</v>
      </c>
      <c r="L999" s="1" t="s">
        <v>4480</v>
      </c>
      <c r="M999" s="1">
        <v>3</v>
      </c>
      <c r="N999" s="1" t="s">
        <v>24</v>
      </c>
      <c r="O999" s="1" t="str">
        <f ca="1">IFERROR(__xludf.DUMMYFUNCTION("GOOGLETRANSLATE(N999,""pl"",""en"")"),"full ownership")</f>
        <v>full ownership</v>
      </c>
      <c r="P999" s="3" t="s">
        <v>4679</v>
      </c>
      <c r="Q999" s="1" t="b">
        <v>1</v>
      </c>
      <c r="R999" s="1" t="s">
        <v>4680</v>
      </c>
    </row>
    <row r="1000" spans="1:18" x14ac:dyDescent="0.25">
      <c r="A1000" s="2">
        <v>45173</v>
      </c>
      <c r="B1000" s="1" t="s">
        <v>4681</v>
      </c>
      <c r="C1000" s="1" t="str">
        <f ca="1">IFERROR(__xludf.DUMMYFUNCTION("GOOGLETRANSLATE(B1000,""pl"",""en"")"),"Ready apartment 3 room With a balcony - Derdowski")</f>
        <v>Ready apartment 3 room With a balcony - Derdowski</v>
      </c>
      <c r="D1000" s="1">
        <v>380490</v>
      </c>
      <c r="E1000" s="1" t="s">
        <v>19</v>
      </c>
      <c r="F1000" s="1">
        <v>57.65</v>
      </c>
      <c r="G1000" s="1" t="s">
        <v>4682</v>
      </c>
      <c r="H1000" s="1" t="str">
        <f ca="1">IFERROR(__xludf.DUMMYFUNCTION("GOOGLETRANSLATE(G1000,""pl"",""en"")"),"street. Father Cardinal Stefan Wyszyński, Starogard Gdański, Starogardzki, Pomeranian Voivodeship")</f>
        <v>street. Father Cardinal Stefan Wyszyński, Starogard Gdański, Starogardzki, Pomeranian Voivodeship</v>
      </c>
      <c r="I1000" s="1" t="s">
        <v>21</v>
      </c>
      <c r="J1000" s="1" t="s">
        <v>21</v>
      </c>
      <c r="K1000" s="1" t="s">
        <v>22</v>
      </c>
      <c r="L1000" s="1" t="s">
        <v>4683</v>
      </c>
      <c r="M1000" s="1">
        <v>3</v>
      </c>
      <c r="N1000" s="1" t="s">
        <v>24</v>
      </c>
      <c r="O1000" s="1" t="str">
        <f ca="1">IFERROR(__xludf.DUMMYFUNCTION("GOOGLETRANSLATE(N1000,""pl"",""en"")"),"full ownership")</f>
        <v>full ownership</v>
      </c>
      <c r="P1000" s="3" t="s">
        <v>4684</v>
      </c>
      <c r="Q1000" s="1" t="b">
        <v>1</v>
      </c>
      <c r="R1000" s="1" t="s">
        <v>4685</v>
      </c>
    </row>
    <row r="1001" spans="1:18" x14ac:dyDescent="0.25">
      <c r="A1001" s="2">
        <v>45173</v>
      </c>
      <c r="B1001" s="1" t="s">
        <v>4505</v>
      </c>
      <c r="C1001" s="1" t="str">
        <f ca="1">IFERROR(__xludf.DUMMYFUNCTION("GOOGLETRANSLATE(B1001,""pl"",""en"")"),"Vista by Kras-Dom apartment 74.91 m2")</f>
        <v>Vista by Kras-Dom apartment 74.91 m2</v>
      </c>
      <c r="D1001" s="1">
        <v>486915</v>
      </c>
      <c r="E1001" s="1" t="s">
        <v>19</v>
      </c>
      <c r="F1001" s="1">
        <v>74.91</v>
      </c>
      <c r="G1001" s="1" t="s">
        <v>4506</v>
      </c>
      <c r="H1001" s="1" t="str">
        <f ca="1">IFERROR(__xludf.DUMMYFUNCTION("GOOGLETRANSLATE(G1001,""pl"",""en"")"),"Bolesławiec, Bolesławiecki, DolnoSilesian Voivodeship")</f>
        <v>Bolesławiec, Bolesławiecki, DolnoSilesian Voivodeship</v>
      </c>
      <c r="I1001" s="1" t="s">
        <v>21</v>
      </c>
      <c r="J1001" s="1" t="s">
        <v>21</v>
      </c>
      <c r="K1001" s="1" t="s">
        <v>194</v>
      </c>
      <c r="L1001" s="1" t="s">
        <v>4686</v>
      </c>
      <c r="M1001" s="1">
        <v>3</v>
      </c>
      <c r="N1001" s="1" t="s">
        <v>24</v>
      </c>
      <c r="O1001" s="1" t="str">
        <f ca="1">IFERROR(__xludf.DUMMYFUNCTION("GOOGLETRANSLATE(N1001,""pl"",""en"")"),"full ownership")</f>
        <v>full ownership</v>
      </c>
      <c r="P1001" s="3" t="s">
        <v>4687</v>
      </c>
      <c r="Q1001" s="1" t="b">
        <v>1</v>
      </c>
      <c r="R1001" s="1" t="s">
        <v>4688</v>
      </c>
    </row>
  </sheetData>
  <autoFilter ref="A1:R1001" xr:uid="{00000000-0001-0000-0000-000000000000}"/>
  <hyperlinks>
    <hyperlink ref="P2" r:id="rId1" xr:uid="{00000000-0004-0000-0000-000000000000}"/>
    <hyperlink ref="P3" r:id="rId2" xr:uid="{00000000-0004-0000-0000-000001000000}"/>
    <hyperlink ref="P4" r:id="rId3" xr:uid="{00000000-0004-0000-0000-000002000000}"/>
    <hyperlink ref="P5" r:id="rId4" xr:uid="{00000000-0004-0000-0000-000003000000}"/>
    <hyperlink ref="P6" r:id="rId5" xr:uid="{00000000-0004-0000-0000-000004000000}"/>
    <hyperlink ref="P7" r:id="rId6" xr:uid="{00000000-0004-0000-0000-000005000000}"/>
    <hyperlink ref="P8" r:id="rId7" xr:uid="{00000000-0004-0000-0000-000006000000}"/>
    <hyperlink ref="P9" r:id="rId8" xr:uid="{00000000-0004-0000-0000-000007000000}"/>
    <hyperlink ref="P10" r:id="rId9" xr:uid="{00000000-0004-0000-0000-000008000000}"/>
    <hyperlink ref="P11" r:id="rId10" xr:uid="{00000000-0004-0000-0000-000009000000}"/>
    <hyperlink ref="P12" r:id="rId11" xr:uid="{00000000-0004-0000-0000-00000A000000}"/>
    <hyperlink ref="P13" r:id="rId12" xr:uid="{00000000-0004-0000-0000-00000B000000}"/>
    <hyperlink ref="P14" r:id="rId13" xr:uid="{00000000-0004-0000-0000-00000C000000}"/>
    <hyperlink ref="P15" r:id="rId14" xr:uid="{00000000-0004-0000-0000-00000D000000}"/>
    <hyperlink ref="P16" r:id="rId15" xr:uid="{00000000-0004-0000-0000-00000E000000}"/>
    <hyperlink ref="P17" r:id="rId16" xr:uid="{00000000-0004-0000-0000-00000F000000}"/>
    <hyperlink ref="P18" r:id="rId17" xr:uid="{00000000-0004-0000-0000-000010000000}"/>
    <hyperlink ref="P19" r:id="rId18" xr:uid="{00000000-0004-0000-0000-000011000000}"/>
    <hyperlink ref="P20" r:id="rId19" xr:uid="{00000000-0004-0000-0000-000012000000}"/>
    <hyperlink ref="P21" r:id="rId20" xr:uid="{00000000-0004-0000-0000-000013000000}"/>
    <hyperlink ref="P22" r:id="rId21" xr:uid="{00000000-0004-0000-0000-000014000000}"/>
    <hyperlink ref="P23" r:id="rId22" xr:uid="{00000000-0004-0000-0000-000015000000}"/>
    <hyperlink ref="P24" r:id="rId23" xr:uid="{00000000-0004-0000-0000-000016000000}"/>
    <hyperlink ref="P25" r:id="rId24" xr:uid="{00000000-0004-0000-0000-000017000000}"/>
    <hyperlink ref="P26" r:id="rId25" xr:uid="{00000000-0004-0000-0000-000018000000}"/>
    <hyperlink ref="P27" r:id="rId26" xr:uid="{00000000-0004-0000-0000-000019000000}"/>
    <hyperlink ref="P28" r:id="rId27" xr:uid="{00000000-0004-0000-0000-00001A000000}"/>
    <hyperlink ref="P29" r:id="rId28" xr:uid="{00000000-0004-0000-0000-00001B000000}"/>
    <hyperlink ref="P30" r:id="rId29" xr:uid="{00000000-0004-0000-0000-00001C000000}"/>
    <hyperlink ref="P31" r:id="rId30" xr:uid="{00000000-0004-0000-0000-00001D000000}"/>
    <hyperlink ref="P32" r:id="rId31" xr:uid="{00000000-0004-0000-0000-00001E000000}"/>
    <hyperlink ref="P33" r:id="rId32" xr:uid="{00000000-0004-0000-0000-00001F000000}"/>
    <hyperlink ref="P34" r:id="rId33" xr:uid="{00000000-0004-0000-0000-000020000000}"/>
    <hyperlink ref="P35" r:id="rId34" xr:uid="{00000000-0004-0000-0000-000021000000}"/>
    <hyperlink ref="P36" r:id="rId35" xr:uid="{00000000-0004-0000-0000-000022000000}"/>
    <hyperlink ref="P37" r:id="rId36" xr:uid="{00000000-0004-0000-0000-000023000000}"/>
    <hyperlink ref="P38" r:id="rId37" xr:uid="{00000000-0004-0000-0000-000024000000}"/>
    <hyperlink ref="P39" r:id="rId38" xr:uid="{00000000-0004-0000-0000-000025000000}"/>
    <hyperlink ref="P40" r:id="rId39" xr:uid="{00000000-0004-0000-0000-000026000000}"/>
    <hyperlink ref="P41" r:id="rId40" xr:uid="{00000000-0004-0000-0000-000027000000}"/>
    <hyperlink ref="P42" r:id="rId41" xr:uid="{00000000-0004-0000-0000-000028000000}"/>
    <hyperlink ref="P43" r:id="rId42" xr:uid="{00000000-0004-0000-0000-000029000000}"/>
    <hyperlink ref="P44" r:id="rId43" xr:uid="{00000000-0004-0000-0000-00002A000000}"/>
    <hyperlink ref="P45" r:id="rId44" xr:uid="{00000000-0004-0000-0000-00002B000000}"/>
    <hyperlink ref="P46" r:id="rId45" xr:uid="{00000000-0004-0000-0000-00002C000000}"/>
    <hyperlink ref="P47" r:id="rId46" xr:uid="{00000000-0004-0000-0000-00002D000000}"/>
    <hyperlink ref="P48" r:id="rId47" xr:uid="{00000000-0004-0000-0000-00002E000000}"/>
    <hyperlink ref="P49" r:id="rId48" xr:uid="{00000000-0004-0000-0000-00002F000000}"/>
    <hyperlink ref="P50" r:id="rId49" xr:uid="{00000000-0004-0000-0000-000030000000}"/>
    <hyperlink ref="P51" r:id="rId50" xr:uid="{00000000-0004-0000-0000-000031000000}"/>
    <hyperlink ref="P52" r:id="rId51" xr:uid="{00000000-0004-0000-0000-000032000000}"/>
    <hyperlink ref="P53" r:id="rId52" xr:uid="{00000000-0004-0000-0000-000033000000}"/>
    <hyperlink ref="P54" r:id="rId53" xr:uid="{00000000-0004-0000-0000-000034000000}"/>
    <hyperlink ref="P55" r:id="rId54" xr:uid="{00000000-0004-0000-0000-000035000000}"/>
    <hyperlink ref="P56" r:id="rId55" xr:uid="{00000000-0004-0000-0000-000036000000}"/>
    <hyperlink ref="P57" r:id="rId56" xr:uid="{00000000-0004-0000-0000-000037000000}"/>
    <hyperlink ref="P58" r:id="rId57" xr:uid="{00000000-0004-0000-0000-000038000000}"/>
    <hyperlink ref="P59" r:id="rId58" xr:uid="{00000000-0004-0000-0000-000039000000}"/>
    <hyperlink ref="P60" r:id="rId59" xr:uid="{00000000-0004-0000-0000-00003A000000}"/>
    <hyperlink ref="P61" r:id="rId60" xr:uid="{00000000-0004-0000-0000-00003B000000}"/>
    <hyperlink ref="P62" r:id="rId61" xr:uid="{00000000-0004-0000-0000-00003C000000}"/>
    <hyperlink ref="P63" r:id="rId62" xr:uid="{00000000-0004-0000-0000-00003D000000}"/>
    <hyperlink ref="P64" r:id="rId63" xr:uid="{00000000-0004-0000-0000-00003E000000}"/>
    <hyperlink ref="P65" r:id="rId64" xr:uid="{00000000-0004-0000-0000-00003F000000}"/>
    <hyperlink ref="P66" r:id="rId65" xr:uid="{00000000-0004-0000-0000-000040000000}"/>
    <hyperlink ref="P67" r:id="rId66" xr:uid="{00000000-0004-0000-0000-000041000000}"/>
    <hyperlink ref="P68" r:id="rId67" xr:uid="{00000000-0004-0000-0000-000042000000}"/>
    <hyperlink ref="P69" r:id="rId68" xr:uid="{00000000-0004-0000-0000-000043000000}"/>
    <hyperlink ref="P70" r:id="rId69" xr:uid="{00000000-0004-0000-0000-000044000000}"/>
    <hyperlink ref="P71" r:id="rId70" xr:uid="{00000000-0004-0000-0000-000045000000}"/>
    <hyperlink ref="P72" r:id="rId71" xr:uid="{00000000-0004-0000-0000-000046000000}"/>
    <hyperlink ref="P73" r:id="rId72" xr:uid="{00000000-0004-0000-0000-000047000000}"/>
    <hyperlink ref="P74" r:id="rId73" xr:uid="{00000000-0004-0000-0000-000048000000}"/>
    <hyperlink ref="P75" r:id="rId74" xr:uid="{00000000-0004-0000-0000-000049000000}"/>
    <hyperlink ref="P76" r:id="rId75" xr:uid="{00000000-0004-0000-0000-00004A000000}"/>
    <hyperlink ref="P77" r:id="rId76" xr:uid="{00000000-0004-0000-0000-00004B000000}"/>
    <hyperlink ref="P78" r:id="rId77" xr:uid="{00000000-0004-0000-0000-00004C000000}"/>
    <hyperlink ref="P79" r:id="rId78" xr:uid="{00000000-0004-0000-0000-00004D000000}"/>
    <hyperlink ref="P80" r:id="rId79" xr:uid="{00000000-0004-0000-0000-00004E000000}"/>
    <hyperlink ref="P81" r:id="rId80" xr:uid="{00000000-0004-0000-0000-00004F000000}"/>
    <hyperlink ref="P82" r:id="rId81" xr:uid="{00000000-0004-0000-0000-000050000000}"/>
    <hyperlink ref="P83" r:id="rId82" xr:uid="{00000000-0004-0000-0000-000051000000}"/>
    <hyperlink ref="P84" r:id="rId83" xr:uid="{00000000-0004-0000-0000-000052000000}"/>
    <hyperlink ref="P85" r:id="rId84" xr:uid="{00000000-0004-0000-0000-000053000000}"/>
    <hyperlink ref="P86" r:id="rId85" xr:uid="{00000000-0004-0000-0000-000054000000}"/>
    <hyperlink ref="P87" r:id="rId86" xr:uid="{00000000-0004-0000-0000-000055000000}"/>
    <hyperlink ref="P88" r:id="rId87" xr:uid="{00000000-0004-0000-0000-000056000000}"/>
    <hyperlink ref="P89" r:id="rId88" xr:uid="{00000000-0004-0000-0000-000057000000}"/>
    <hyperlink ref="P90" r:id="rId89" xr:uid="{00000000-0004-0000-0000-000058000000}"/>
    <hyperlink ref="P91" r:id="rId90" xr:uid="{00000000-0004-0000-0000-000059000000}"/>
    <hyperlink ref="P92" r:id="rId91" xr:uid="{00000000-0004-0000-0000-00005A000000}"/>
    <hyperlink ref="P93" r:id="rId92" xr:uid="{00000000-0004-0000-0000-00005B000000}"/>
    <hyperlink ref="P94" r:id="rId93" xr:uid="{00000000-0004-0000-0000-00005C000000}"/>
    <hyperlink ref="P95" r:id="rId94" xr:uid="{00000000-0004-0000-0000-00005D000000}"/>
    <hyperlink ref="P96" r:id="rId95" xr:uid="{00000000-0004-0000-0000-00005E000000}"/>
    <hyperlink ref="P97" r:id="rId96" xr:uid="{00000000-0004-0000-0000-00005F000000}"/>
    <hyperlink ref="P98" r:id="rId97" xr:uid="{00000000-0004-0000-0000-000060000000}"/>
    <hyperlink ref="P99" r:id="rId98" xr:uid="{00000000-0004-0000-0000-000061000000}"/>
    <hyperlink ref="P100" r:id="rId99" xr:uid="{00000000-0004-0000-0000-000062000000}"/>
    <hyperlink ref="P101" r:id="rId100" xr:uid="{00000000-0004-0000-0000-000063000000}"/>
    <hyperlink ref="P102" r:id="rId101" xr:uid="{00000000-0004-0000-0000-000064000000}"/>
    <hyperlink ref="P103" r:id="rId102" xr:uid="{00000000-0004-0000-0000-000065000000}"/>
    <hyperlink ref="P104" r:id="rId103" xr:uid="{00000000-0004-0000-0000-000066000000}"/>
    <hyperlink ref="P105" r:id="rId104" xr:uid="{00000000-0004-0000-0000-000067000000}"/>
    <hyperlink ref="P106" r:id="rId105" xr:uid="{00000000-0004-0000-0000-000068000000}"/>
    <hyperlink ref="P107" r:id="rId106" xr:uid="{00000000-0004-0000-0000-000069000000}"/>
    <hyperlink ref="P108" r:id="rId107" xr:uid="{00000000-0004-0000-0000-00006A000000}"/>
    <hyperlink ref="P109" r:id="rId108" xr:uid="{00000000-0004-0000-0000-00006B000000}"/>
    <hyperlink ref="P110" r:id="rId109" xr:uid="{00000000-0004-0000-0000-00006C000000}"/>
    <hyperlink ref="P111" r:id="rId110" xr:uid="{00000000-0004-0000-0000-00006D000000}"/>
    <hyperlink ref="P112" r:id="rId111" xr:uid="{00000000-0004-0000-0000-00006E000000}"/>
    <hyperlink ref="P113" r:id="rId112" xr:uid="{00000000-0004-0000-0000-00006F000000}"/>
    <hyperlink ref="P114" r:id="rId113" xr:uid="{00000000-0004-0000-0000-000070000000}"/>
    <hyperlink ref="P115" r:id="rId114" xr:uid="{00000000-0004-0000-0000-000071000000}"/>
    <hyperlink ref="P116" r:id="rId115" xr:uid="{00000000-0004-0000-0000-000072000000}"/>
    <hyperlink ref="P117" r:id="rId116" xr:uid="{00000000-0004-0000-0000-000073000000}"/>
    <hyperlink ref="P118" r:id="rId117" xr:uid="{00000000-0004-0000-0000-000074000000}"/>
    <hyperlink ref="P119" r:id="rId118" xr:uid="{00000000-0004-0000-0000-000075000000}"/>
    <hyperlink ref="P120" r:id="rId119" xr:uid="{00000000-0004-0000-0000-000076000000}"/>
    <hyperlink ref="P121" r:id="rId120" xr:uid="{00000000-0004-0000-0000-000077000000}"/>
    <hyperlink ref="P122" r:id="rId121" xr:uid="{00000000-0004-0000-0000-000078000000}"/>
    <hyperlink ref="P123" r:id="rId122" xr:uid="{00000000-0004-0000-0000-000079000000}"/>
    <hyperlink ref="P124" r:id="rId123" xr:uid="{00000000-0004-0000-0000-00007A000000}"/>
    <hyperlink ref="P125" r:id="rId124" xr:uid="{00000000-0004-0000-0000-00007B000000}"/>
    <hyperlink ref="P126" r:id="rId125" xr:uid="{00000000-0004-0000-0000-00007C000000}"/>
    <hyperlink ref="P127" r:id="rId126" xr:uid="{00000000-0004-0000-0000-00007D000000}"/>
    <hyperlink ref="P128" r:id="rId127" xr:uid="{00000000-0004-0000-0000-00007E000000}"/>
    <hyperlink ref="P129" r:id="rId128" xr:uid="{00000000-0004-0000-0000-00007F000000}"/>
    <hyperlink ref="P130" r:id="rId129" xr:uid="{00000000-0004-0000-0000-000080000000}"/>
    <hyperlink ref="P131" r:id="rId130" xr:uid="{00000000-0004-0000-0000-000081000000}"/>
    <hyperlink ref="P132" r:id="rId131" xr:uid="{00000000-0004-0000-0000-000082000000}"/>
    <hyperlink ref="P133" r:id="rId132" xr:uid="{00000000-0004-0000-0000-000083000000}"/>
    <hyperlink ref="P134" r:id="rId133" xr:uid="{00000000-0004-0000-0000-000084000000}"/>
    <hyperlink ref="P135" r:id="rId134" xr:uid="{00000000-0004-0000-0000-000085000000}"/>
    <hyperlink ref="P136" r:id="rId135" xr:uid="{00000000-0004-0000-0000-000086000000}"/>
    <hyperlink ref="P137" r:id="rId136" xr:uid="{00000000-0004-0000-0000-000087000000}"/>
    <hyperlink ref="P138" r:id="rId137" xr:uid="{00000000-0004-0000-0000-000088000000}"/>
    <hyperlink ref="P139" r:id="rId138" xr:uid="{00000000-0004-0000-0000-000089000000}"/>
    <hyperlink ref="P140" r:id="rId139" xr:uid="{00000000-0004-0000-0000-00008A000000}"/>
    <hyperlink ref="P141" r:id="rId140" xr:uid="{00000000-0004-0000-0000-00008B000000}"/>
    <hyperlink ref="P142" r:id="rId141" xr:uid="{00000000-0004-0000-0000-00008C000000}"/>
    <hyperlink ref="P143" r:id="rId142" xr:uid="{00000000-0004-0000-0000-00008D000000}"/>
    <hyperlink ref="P144" r:id="rId143" xr:uid="{00000000-0004-0000-0000-00008E000000}"/>
    <hyperlink ref="P145" r:id="rId144" xr:uid="{00000000-0004-0000-0000-00008F000000}"/>
    <hyperlink ref="P146" r:id="rId145" xr:uid="{00000000-0004-0000-0000-000090000000}"/>
    <hyperlink ref="P147" r:id="rId146" xr:uid="{00000000-0004-0000-0000-000091000000}"/>
    <hyperlink ref="P148" r:id="rId147" xr:uid="{00000000-0004-0000-0000-000092000000}"/>
    <hyperlink ref="P149" r:id="rId148" xr:uid="{00000000-0004-0000-0000-000093000000}"/>
    <hyperlink ref="P150" r:id="rId149" xr:uid="{00000000-0004-0000-0000-000094000000}"/>
    <hyperlink ref="P151" r:id="rId150" xr:uid="{00000000-0004-0000-0000-000095000000}"/>
    <hyperlink ref="P152" r:id="rId151" xr:uid="{00000000-0004-0000-0000-000096000000}"/>
    <hyperlink ref="P153" r:id="rId152" xr:uid="{00000000-0004-0000-0000-000097000000}"/>
    <hyperlink ref="P154" r:id="rId153" xr:uid="{00000000-0004-0000-0000-000098000000}"/>
    <hyperlink ref="P155" r:id="rId154" xr:uid="{00000000-0004-0000-0000-000099000000}"/>
    <hyperlink ref="P156" r:id="rId155" xr:uid="{00000000-0004-0000-0000-00009A000000}"/>
    <hyperlink ref="P157" r:id="rId156" xr:uid="{00000000-0004-0000-0000-00009B000000}"/>
    <hyperlink ref="P158" r:id="rId157" xr:uid="{00000000-0004-0000-0000-00009C000000}"/>
    <hyperlink ref="P159" r:id="rId158" xr:uid="{00000000-0004-0000-0000-00009D000000}"/>
    <hyperlink ref="P160" r:id="rId159" xr:uid="{00000000-0004-0000-0000-00009E000000}"/>
    <hyperlink ref="P161" r:id="rId160" xr:uid="{00000000-0004-0000-0000-00009F000000}"/>
    <hyperlink ref="P162" r:id="rId161" xr:uid="{00000000-0004-0000-0000-0000A0000000}"/>
    <hyperlink ref="P163" r:id="rId162" xr:uid="{00000000-0004-0000-0000-0000A1000000}"/>
    <hyperlink ref="P164" r:id="rId163" xr:uid="{00000000-0004-0000-0000-0000A2000000}"/>
    <hyperlink ref="P165" r:id="rId164" xr:uid="{00000000-0004-0000-0000-0000A3000000}"/>
    <hyperlink ref="P166" r:id="rId165" xr:uid="{00000000-0004-0000-0000-0000A4000000}"/>
    <hyperlink ref="P167" r:id="rId166" xr:uid="{00000000-0004-0000-0000-0000A5000000}"/>
    <hyperlink ref="P168" r:id="rId167" xr:uid="{00000000-0004-0000-0000-0000A6000000}"/>
    <hyperlink ref="P169" r:id="rId168" xr:uid="{00000000-0004-0000-0000-0000A7000000}"/>
    <hyperlink ref="P170" r:id="rId169" xr:uid="{00000000-0004-0000-0000-0000A8000000}"/>
    <hyperlink ref="P171" r:id="rId170" xr:uid="{00000000-0004-0000-0000-0000A9000000}"/>
    <hyperlink ref="P172" r:id="rId171" xr:uid="{00000000-0004-0000-0000-0000AA000000}"/>
    <hyperlink ref="P173" r:id="rId172" xr:uid="{00000000-0004-0000-0000-0000AB000000}"/>
    <hyperlink ref="P174" r:id="rId173" xr:uid="{00000000-0004-0000-0000-0000AC000000}"/>
    <hyperlink ref="P175" r:id="rId174" xr:uid="{00000000-0004-0000-0000-0000AD000000}"/>
    <hyperlink ref="P176" r:id="rId175" xr:uid="{00000000-0004-0000-0000-0000AE000000}"/>
    <hyperlink ref="P177" r:id="rId176" xr:uid="{00000000-0004-0000-0000-0000AF000000}"/>
    <hyperlink ref="P178" r:id="rId177" xr:uid="{00000000-0004-0000-0000-0000B0000000}"/>
    <hyperlink ref="P179" r:id="rId178" xr:uid="{00000000-0004-0000-0000-0000B1000000}"/>
    <hyperlink ref="P180" r:id="rId179" xr:uid="{00000000-0004-0000-0000-0000B2000000}"/>
    <hyperlink ref="P181" r:id="rId180" xr:uid="{00000000-0004-0000-0000-0000B3000000}"/>
    <hyperlink ref="P182" r:id="rId181" xr:uid="{00000000-0004-0000-0000-0000B4000000}"/>
    <hyperlink ref="P183" r:id="rId182" xr:uid="{00000000-0004-0000-0000-0000B5000000}"/>
    <hyperlink ref="P184" r:id="rId183" xr:uid="{00000000-0004-0000-0000-0000B6000000}"/>
    <hyperlink ref="P185" r:id="rId184" xr:uid="{00000000-0004-0000-0000-0000B7000000}"/>
    <hyperlink ref="P186" r:id="rId185" xr:uid="{00000000-0004-0000-0000-0000B8000000}"/>
    <hyperlink ref="P187" r:id="rId186" xr:uid="{00000000-0004-0000-0000-0000B9000000}"/>
    <hyperlink ref="P188" r:id="rId187" xr:uid="{00000000-0004-0000-0000-0000BA000000}"/>
    <hyperlink ref="P189" r:id="rId188" xr:uid="{00000000-0004-0000-0000-0000BB000000}"/>
    <hyperlink ref="P190" r:id="rId189" xr:uid="{00000000-0004-0000-0000-0000BC000000}"/>
    <hyperlink ref="P191" r:id="rId190" xr:uid="{00000000-0004-0000-0000-0000BD000000}"/>
    <hyperlink ref="P192" r:id="rId191" xr:uid="{00000000-0004-0000-0000-0000BE000000}"/>
    <hyperlink ref="P193" r:id="rId192" xr:uid="{00000000-0004-0000-0000-0000BF000000}"/>
    <hyperlink ref="P194" r:id="rId193" xr:uid="{00000000-0004-0000-0000-0000C0000000}"/>
    <hyperlink ref="P195" r:id="rId194" xr:uid="{00000000-0004-0000-0000-0000C1000000}"/>
    <hyperlink ref="P196" r:id="rId195" xr:uid="{00000000-0004-0000-0000-0000C2000000}"/>
    <hyperlink ref="P197" r:id="rId196" xr:uid="{00000000-0004-0000-0000-0000C3000000}"/>
    <hyperlink ref="P198" r:id="rId197" xr:uid="{00000000-0004-0000-0000-0000C4000000}"/>
    <hyperlink ref="P199" r:id="rId198" xr:uid="{00000000-0004-0000-0000-0000C5000000}"/>
    <hyperlink ref="P200" r:id="rId199" xr:uid="{00000000-0004-0000-0000-0000C6000000}"/>
    <hyperlink ref="P201" r:id="rId200" xr:uid="{00000000-0004-0000-0000-0000C7000000}"/>
    <hyperlink ref="P202" r:id="rId201" xr:uid="{00000000-0004-0000-0000-0000C8000000}"/>
    <hyperlink ref="P203" r:id="rId202" xr:uid="{00000000-0004-0000-0000-0000C9000000}"/>
    <hyperlink ref="P204" r:id="rId203" xr:uid="{00000000-0004-0000-0000-0000CA000000}"/>
    <hyperlink ref="P205" r:id="rId204" xr:uid="{00000000-0004-0000-0000-0000CB000000}"/>
    <hyperlink ref="P206" r:id="rId205" xr:uid="{00000000-0004-0000-0000-0000CC000000}"/>
    <hyperlink ref="P207" r:id="rId206" xr:uid="{00000000-0004-0000-0000-0000CD000000}"/>
    <hyperlink ref="P208" r:id="rId207" xr:uid="{00000000-0004-0000-0000-0000CE000000}"/>
    <hyperlink ref="P209" r:id="rId208" xr:uid="{00000000-0004-0000-0000-0000CF000000}"/>
    <hyperlink ref="P210" r:id="rId209" xr:uid="{00000000-0004-0000-0000-0000D0000000}"/>
    <hyperlink ref="P211" r:id="rId210" xr:uid="{00000000-0004-0000-0000-0000D1000000}"/>
    <hyperlink ref="P212" r:id="rId211" xr:uid="{00000000-0004-0000-0000-0000D2000000}"/>
    <hyperlink ref="P213" r:id="rId212" xr:uid="{00000000-0004-0000-0000-0000D3000000}"/>
    <hyperlink ref="P214" r:id="rId213" xr:uid="{00000000-0004-0000-0000-0000D4000000}"/>
    <hyperlink ref="P215" r:id="rId214" xr:uid="{00000000-0004-0000-0000-0000D5000000}"/>
    <hyperlink ref="P216" r:id="rId215" xr:uid="{00000000-0004-0000-0000-0000D6000000}"/>
    <hyperlink ref="P217" r:id="rId216" xr:uid="{00000000-0004-0000-0000-0000D7000000}"/>
    <hyperlink ref="P218" r:id="rId217" xr:uid="{00000000-0004-0000-0000-0000D8000000}"/>
    <hyperlink ref="P219" r:id="rId218" xr:uid="{00000000-0004-0000-0000-0000D9000000}"/>
    <hyperlink ref="P220" r:id="rId219" xr:uid="{00000000-0004-0000-0000-0000DA000000}"/>
    <hyperlink ref="P221" r:id="rId220" xr:uid="{00000000-0004-0000-0000-0000DB000000}"/>
    <hyperlink ref="P222" r:id="rId221" xr:uid="{00000000-0004-0000-0000-0000DC000000}"/>
    <hyperlink ref="P223" r:id="rId222" xr:uid="{00000000-0004-0000-0000-0000DD000000}"/>
    <hyperlink ref="P224" r:id="rId223" xr:uid="{00000000-0004-0000-0000-0000DE000000}"/>
    <hyperlink ref="P225" r:id="rId224" xr:uid="{00000000-0004-0000-0000-0000DF000000}"/>
    <hyperlink ref="P226" r:id="rId225" xr:uid="{00000000-0004-0000-0000-0000E0000000}"/>
    <hyperlink ref="P227" r:id="rId226" xr:uid="{00000000-0004-0000-0000-0000E1000000}"/>
    <hyperlink ref="P228" r:id="rId227" xr:uid="{00000000-0004-0000-0000-0000E2000000}"/>
    <hyperlink ref="P229" r:id="rId228" xr:uid="{00000000-0004-0000-0000-0000E3000000}"/>
    <hyperlink ref="P230" r:id="rId229" xr:uid="{00000000-0004-0000-0000-0000E4000000}"/>
    <hyperlink ref="P231" r:id="rId230" xr:uid="{00000000-0004-0000-0000-0000E5000000}"/>
    <hyperlink ref="P232" r:id="rId231" xr:uid="{00000000-0004-0000-0000-0000E6000000}"/>
    <hyperlink ref="P233" r:id="rId232" xr:uid="{00000000-0004-0000-0000-0000E7000000}"/>
    <hyperlink ref="P234" r:id="rId233" xr:uid="{00000000-0004-0000-0000-0000E8000000}"/>
    <hyperlink ref="P235" r:id="rId234" xr:uid="{00000000-0004-0000-0000-0000E9000000}"/>
    <hyperlink ref="P236" r:id="rId235" xr:uid="{00000000-0004-0000-0000-0000EA000000}"/>
    <hyperlink ref="P237" r:id="rId236" xr:uid="{00000000-0004-0000-0000-0000EB000000}"/>
    <hyperlink ref="P238" r:id="rId237" xr:uid="{00000000-0004-0000-0000-0000EC000000}"/>
    <hyperlink ref="P239" r:id="rId238" xr:uid="{00000000-0004-0000-0000-0000ED000000}"/>
    <hyperlink ref="P240" r:id="rId239" xr:uid="{00000000-0004-0000-0000-0000EE000000}"/>
    <hyperlink ref="P241" r:id="rId240" xr:uid="{00000000-0004-0000-0000-0000EF000000}"/>
    <hyperlink ref="P242" r:id="rId241" xr:uid="{00000000-0004-0000-0000-0000F0000000}"/>
    <hyperlink ref="P243" r:id="rId242" xr:uid="{00000000-0004-0000-0000-0000F1000000}"/>
    <hyperlink ref="P244" r:id="rId243" xr:uid="{00000000-0004-0000-0000-0000F2000000}"/>
    <hyperlink ref="P245" r:id="rId244" xr:uid="{00000000-0004-0000-0000-0000F3000000}"/>
    <hyperlink ref="P246" r:id="rId245" xr:uid="{00000000-0004-0000-0000-0000F4000000}"/>
    <hyperlink ref="P247" r:id="rId246" xr:uid="{00000000-0004-0000-0000-0000F5000000}"/>
    <hyperlink ref="P248" r:id="rId247" xr:uid="{00000000-0004-0000-0000-0000F6000000}"/>
    <hyperlink ref="P249" r:id="rId248" xr:uid="{00000000-0004-0000-0000-0000F7000000}"/>
    <hyperlink ref="P250" r:id="rId249" xr:uid="{00000000-0004-0000-0000-0000F8000000}"/>
    <hyperlink ref="P251" r:id="rId250" xr:uid="{00000000-0004-0000-0000-0000F9000000}"/>
    <hyperlink ref="P252" r:id="rId251" xr:uid="{00000000-0004-0000-0000-0000FA000000}"/>
    <hyperlink ref="P253" r:id="rId252" xr:uid="{00000000-0004-0000-0000-0000FB000000}"/>
    <hyperlink ref="P254" r:id="rId253" xr:uid="{00000000-0004-0000-0000-0000FC000000}"/>
    <hyperlink ref="P255" r:id="rId254" xr:uid="{00000000-0004-0000-0000-0000FD000000}"/>
    <hyperlink ref="P256" r:id="rId255" xr:uid="{00000000-0004-0000-0000-0000FE000000}"/>
    <hyperlink ref="P257" r:id="rId256" xr:uid="{00000000-0004-0000-0000-0000FF000000}"/>
    <hyperlink ref="P258" r:id="rId257" xr:uid="{00000000-0004-0000-0000-000000010000}"/>
    <hyperlink ref="P259" r:id="rId258" xr:uid="{00000000-0004-0000-0000-000001010000}"/>
    <hyperlink ref="P260" r:id="rId259" xr:uid="{00000000-0004-0000-0000-000002010000}"/>
    <hyperlink ref="P261" r:id="rId260" xr:uid="{00000000-0004-0000-0000-000003010000}"/>
    <hyperlink ref="P262" r:id="rId261" xr:uid="{00000000-0004-0000-0000-000004010000}"/>
    <hyperlink ref="P263" r:id="rId262" xr:uid="{00000000-0004-0000-0000-000005010000}"/>
    <hyperlink ref="P264" r:id="rId263" xr:uid="{00000000-0004-0000-0000-000006010000}"/>
    <hyperlink ref="P265" r:id="rId264" xr:uid="{00000000-0004-0000-0000-000007010000}"/>
    <hyperlink ref="P266" r:id="rId265" xr:uid="{00000000-0004-0000-0000-000008010000}"/>
    <hyperlink ref="P267" r:id="rId266" xr:uid="{00000000-0004-0000-0000-000009010000}"/>
    <hyperlink ref="P268" r:id="rId267" xr:uid="{00000000-0004-0000-0000-00000A010000}"/>
    <hyperlink ref="P269" r:id="rId268" xr:uid="{00000000-0004-0000-0000-00000B010000}"/>
    <hyperlink ref="P270" r:id="rId269" xr:uid="{00000000-0004-0000-0000-00000C010000}"/>
    <hyperlink ref="P271" r:id="rId270" xr:uid="{00000000-0004-0000-0000-00000D010000}"/>
    <hyperlink ref="P272" r:id="rId271" xr:uid="{00000000-0004-0000-0000-00000E010000}"/>
    <hyperlink ref="P273" r:id="rId272" xr:uid="{00000000-0004-0000-0000-00000F010000}"/>
    <hyperlink ref="P274" r:id="rId273" xr:uid="{00000000-0004-0000-0000-000010010000}"/>
    <hyperlink ref="P275" r:id="rId274" xr:uid="{00000000-0004-0000-0000-000011010000}"/>
    <hyperlink ref="P276" r:id="rId275" xr:uid="{00000000-0004-0000-0000-000012010000}"/>
    <hyperlink ref="P277" r:id="rId276" xr:uid="{00000000-0004-0000-0000-000013010000}"/>
    <hyperlink ref="P278" r:id="rId277" xr:uid="{00000000-0004-0000-0000-000014010000}"/>
    <hyperlink ref="P279" r:id="rId278" xr:uid="{00000000-0004-0000-0000-000015010000}"/>
    <hyperlink ref="P280" r:id="rId279" xr:uid="{00000000-0004-0000-0000-000016010000}"/>
    <hyperlink ref="P281" r:id="rId280" xr:uid="{00000000-0004-0000-0000-000017010000}"/>
    <hyperlink ref="P282" r:id="rId281" xr:uid="{00000000-0004-0000-0000-000018010000}"/>
    <hyperlink ref="P283" r:id="rId282" xr:uid="{00000000-0004-0000-0000-000019010000}"/>
    <hyperlink ref="P284" r:id="rId283" xr:uid="{00000000-0004-0000-0000-00001A010000}"/>
    <hyperlink ref="P285" r:id="rId284" xr:uid="{00000000-0004-0000-0000-00001B010000}"/>
    <hyperlink ref="P286" r:id="rId285" xr:uid="{00000000-0004-0000-0000-00001C010000}"/>
    <hyperlink ref="P287" r:id="rId286" xr:uid="{00000000-0004-0000-0000-00001D010000}"/>
    <hyperlink ref="P288" r:id="rId287" xr:uid="{00000000-0004-0000-0000-00001E010000}"/>
    <hyperlink ref="P289" r:id="rId288" xr:uid="{00000000-0004-0000-0000-00001F010000}"/>
    <hyperlink ref="P290" r:id="rId289" xr:uid="{00000000-0004-0000-0000-000020010000}"/>
    <hyperlink ref="P291" r:id="rId290" xr:uid="{00000000-0004-0000-0000-000021010000}"/>
    <hyperlink ref="P292" r:id="rId291" xr:uid="{00000000-0004-0000-0000-000022010000}"/>
    <hyperlink ref="P293" r:id="rId292" xr:uid="{00000000-0004-0000-0000-000023010000}"/>
    <hyperlink ref="P294" r:id="rId293" xr:uid="{00000000-0004-0000-0000-000024010000}"/>
    <hyperlink ref="P295" r:id="rId294" xr:uid="{00000000-0004-0000-0000-000025010000}"/>
    <hyperlink ref="P296" r:id="rId295" xr:uid="{00000000-0004-0000-0000-000026010000}"/>
    <hyperlink ref="P297" r:id="rId296" xr:uid="{00000000-0004-0000-0000-000027010000}"/>
    <hyperlink ref="P298" r:id="rId297" xr:uid="{00000000-0004-0000-0000-000028010000}"/>
    <hyperlink ref="P299" r:id="rId298" xr:uid="{00000000-0004-0000-0000-000029010000}"/>
    <hyperlink ref="P300" r:id="rId299" xr:uid="{00000000-0004-0000-0000-00002A010000}"/>
    <hyperlink ref="P301" r:id="rId300" xr:uid="{00000000-0004-0000-0000-00002B010000}"/>
    <hyperlink ref="P302" r:id="rId301" xr:uid="{00000000-0004-0000-0000-00002C010000}"/>
    <hyperlink ref="P303" r:id="rId302" xr:uid="{00000000-0004-0000-0000-00002D010000}"/>
    <hyperlink ref="P304" r:id="rId303" xr:uid="{00000000-0004-0000-0000-00002E010000}"/>
    <hyperlink ref="P305" r:id="rId304" xr:uid="{00000000-0004-0000-0000-00002F010000}"/>
    <hyperlink ref="P306" r:id="rId305" xr:uid="{00000000-0004-0000-0000-000030010000}"/>
    <hyperlink ref="P307" r:id="rId306" xr:uid="{00000000-0004-0000-0000-000031010000}"/>
    <hyperlink ref="P308" r:id="rId307" xr:uid="{00000000-0004-0000-0000-000032010000}"/>
    <hyperlink ref="P309" r:id="rId308" xr:uid="{00000000-0004-0000-0000-000033010000}"/>
    <hyperlink ref="P310" r:id="rId309" xr:uid="{00000000-0004-0000-0000-000034010000}"/>
    <hyperlink ref="P311" r:id="rId310" xr:uid="{00000000-0004-0000-0000-000035010000}"/>
    <hyperlink ref="P312" r:id="rId311" xr:uid="{00000000-0004-0000-0000-000036010000}"/>
    <hyperlink ref="P313" r:id="rId312" xr:uid="{00000000-0004-0000-0000-000037010000}"/>
    <hyperlink ref="P314" r:id="rId313" xr:uid="{00000000-0004-0000-0000-000038010000}"/>
    <hyperlink ref="P315" r:id="rId314" xr:uid="{00000000-0004-0000-0000-000039010000}"/>
    <hyperlink ref="P316" r:id="rId315" xr:uid="{00000000-0004-0000-0000-00003A010000}"/>
    <hyperlink ref="P317" r:id="rId316" xr:uid="{00000000-0004-0000-0000-00003B010000}"/>
    <hyperlink ref="P318" r:id="rId317" xr:uid="{00000000-0004-0000-0000-00003C010000}"/>
    <hyperlink ref="P319" r:id="rId318" xr:uid="{00000000-0004-0000-0000-00003D010000}"/>
    <hyperlink ref="P320" r:id="rId319" xr:uid="{00000000-0004-0000-0000-00003E010000}"/>
    <hyperlink ref="P321" r:id="rId320" xr:uid="{00000000-0004-0000-0000-00003F010000}"/>
    <hyperlink ref="P322" r:id="rId321" xr:uid="{00000000-0004-0000-0000-000040010000}"/>
    <hyperlink ref="P323" r:id="rId322" xr:uid="{00000000-0004-0000-0000-000041010000}"/>
    <hyperlink ref="P324" r:id="rId323" xr:uid="{00000000-0004-0000-0000-000042010000}"/>
    <hyperlink ref="P325" r:id="rId324" xr:uid="{00000000-0004-0000-0000-000043010000}"/>
    <hyperlink ref="P326" r:id="rId325" xr:uid="{00000000-0004-0000-0000-000044010000}"/>
    <hyperlink ref="P327" r:id="rId326" xr:uid="{00000000-0004-0000-0000-000045010000}"/>
    <hyperlink ref="P328" r:id="rId327" xr:uid="{00000000-0004-0000-0000-000046010000}"/>
    <hyperlink ref="P329" r:id="rId328" xr:uid="{00000000-0004-0000-0000-000047010000}"/>
    <hyperlink ref="P330" r:id="rId329" xr:uid="{00000000-0004-0000-0000-000048010000}"/>
    <hyperlink ref="P331" r:id="rId330" xr:uid="{00000000-0004-0000-0000-000049010000}"/>
    <hyperlink ref="P332" r:id="rId331" xr:uid="{00000000-0004-0000-0000-00004A010000}"/>
    <hyperlink ref="P333" r:id="rId332" xr:uid="{00000000-0004-0000-0000-00004B010000}"/>
    <hyperlink ref="P334" r:id="rId333" xr:uid="{00000000-0004-0000-0000-00004C010000}"/>
    <hyperlink ref="P335" r:id="rId334" xr:uid="{00000000-0004-0000-0000-00004D010000}"/>
    <hyperlink ref="P336" r:id="rId335" xr:uid="{00000000-0004-0000-0000-00004E010000}"/>
    <hyperlink ref="P337" r:id="rId336" xr:uid="{00000000-0004-0000-0000-00004F010000}"/>
    <hyperlink ref="P338" r:id="rId337" xr:uid="{00000000-0004-0000-0000-000050010000}"/>
    <hyperlink ref="P339" r:id="rId338" xr:uid="{00000000-0004-0000-0000-000051010000}"/>
    <hyperlink ref="P340" r:id="rId339" xr:uid="{00000000-0004-0000-0000-000052010000}"/>
    <hyperlink ref="P341" r:id="rId340" xr:uid="{00000000-0004-0000-0000-000053010000}"/>
    <hyperlink ref="P342" r:id="rId341" xr:uid="{00000000-0004-0000-0000-000054010000}"/>
    <hyperlink ref="P343" r:id="rId342" xr:uid="{00000000-0004-0000-0000-000055010000}"/>
    <hyperlink ref="P344" r:id="rId343" xr:uid="{00000000-0004-0000-0000-000056010000}"/>
    <hyperlink ref="P345" r:id="rId344" xr:uid="{00000000-0004-0000-0000-000057010000}"/>
    <hyperlink ref="P346" r:id="rId345" xr:uid="{00000000-0004-0000-0000-000058010000}"/>
    <hyperlink ref="P347" r:id="rId346" xr:uid="{00000000-0004-0000-0000-000059010000}"/>
    <hyperlink ref="P348" r:id="rId347" xr:uid="{00000000-0004-0000-0000-00005A010000}"/>
    <hyperlink ref="P349" r:id="rId348" xr:uid="{00000000-0004-0000-0000-00005B010000}"/>
    <hyperlink ref="P350" r:id="rId349" xr:uid="{00000000-0004-0000-0000-00005C010000}"/>
    <hyperlink ref="P351" r:id="rId350" xr:uid="{00000000-0004-0000-0000-00005D010000}"/>
    <hyperlink ref="P352" r:id="rId351" xr:uid="{00000000-0004-0000-0000-00005E010000}"/>
    <hyperlink ref="P353" r:id="rId352" xr:uid="{00000000-0004-0000-0000-00005F010000}"/>
    <hyperlink ref="P354" r:id="rId353" xr:uid="{00000000-0004-0000-0000-000060010000}"/>
    <hyperlink ref="P355" r:id="rId354" xr:uid="{00000000-0004-0000-0000-000061010000}"/>
    <hyperlink ref="P356" r:id="rId355" xr:uid="{00000000-0004-0000-0000-000062010000}"/>
    <hyperlink ref="P357" r:id="rId356" xr:uid="{00000000-0004-0000-0000-000063010000}"/>
    <hyperlink ref="P358" r:id="rId357" xr:uid="{00000000-0004-0000-0000-000064010000}"/>
    <hyperlink ref="P359" r:id="rId358" xr:uid="{00000000-0004-0000-0000-000065010000}"/>
    <hyperlink ref="P360" r:id="rId359" xr:uid="{00000000-0004-0000-0000-000066010000}"/>
    <hyperlink ref="P361" r:id="rId360" xr:uid="{00000000-0004-0000-0000-000067010000}"/>
    <hyperlink ref="P362" r:id="rId361" xr:uid="{00000000-0004-0000-0000-000068010000}"/>
    <hyperlink ref="P363" r:id="rId362" xr:uid="{00000000-0004-0000-0000-000069010000}"/>
    <hyperlink ref="P364" r:id="rId363" xr:uid="{00000000-0004-0000-0000-00006A010000}"/>
    <hyperlink ref="P365" r:id="rId364" xr:uid="{00000000-0004-0000-0000-00006B010000}"/>
    <hyperlink ref="P366" r:id="rId365" xr:uid="{00000000-0004-0000-0000-00006C010000}"/>
    <hyperlink ref="P367" r:id="rId366" xr:uid="{00000000-0004-0000-0000-00006D010000}"/>
    <hyperlink ref="P368" r:id="rId367" xr:uid="{00000000-0004-0000-0000-00006E010000}"/>
    <hyperlink ref="P369" r:id="rId368" xr:uid="{00000000-0004-0000-0000-00006F010000}"/>
    <hyperlink ref="P370" r:id="rId369" xr:uid="{00000000-0004-0000-0000-000070010000}"/>
    <hyperlink ref="P371" r:id="rId370" xr:uid="{00000000-0004-0000-0000-000071010000}"/>
    <hyperlink ref="P372" r:id="rId371" xr:uid="{00000000-0004-0000-0000-000072010000}"/>
    <hyperlink ref="P373" r:id="rId372" xr:uid="{00000000-0004-0000-0000-000073010000}"/>
    <hyperlink ref="P374" r:id="rId373" xr:uid="{00000000-0004-0000-0000-000074010000}"/>
    <hyperlink ref="P375" r:id="rId374" xr:uid="{00000000-0004-0000-0000-000075010000}"/>
    <hyperlink ref="P376" r:id="rId375" xr:uid="{00000000-0004-0000-0000-000076010000}"/>
    <hyperlink ref="P377" r:id="rId376" xr:uid="{00000000-0004-0000-0000-000077010000}"/>
    <hyperlink ref="P378" r:id="rId377" xr:uid="{00000000-0004-0000-0000-000078010000}"/>
    <hyperlink ref="P379" r:id="rId378" xr:uid="{00000000-0004-0000-0000-000079010000}"/>
    <hyperlink ref="P380" r:id="rId379" xr:uid="{00000000-0004-0000-0000-00007A010000}"/>
    <hyperlink ref="P381" r:id="rId380" xr:uid="{00000000-0004-0000-0000-00007B010000}"/>
    <hyperlink ref="P382" r:id="rId381" xr:uid="{00000000-0004-0000-0000-00007C010000}"/>
    <hyperlink ref="P383" r:id="rId382" xr:uid="{00000000-0004-0000-0000-00007D010000}"/>
    <hyperlink ref="P384" r:id="rId383" xr:uid="{00000000-0004-0000-0000-00007E010000}"/>
    <hyperlink ref="P385" r:id="rId384" xr:uid="{00000000-0004-0000-0000-00007F010000}"/>
    <hyperlink ref="P386" r:id="rId385" xr:uid="{00000000-0004-0000-0000-000080010000}"/>
    <hyperlink ref="P387" r:id="rId386" xr:uid="{00000000-0004-0000-0000-000081010000}"/>
    <hyperlink ref="P388" r:id="rId387" xr:uid="{00000000-0004-0000-0000-000082010000}"/>
    <hyperlink ref="P389" r:id="rId388" xr:uid="{00000000-0004-0000-0000-000083010000}"/>
    <hyperlink ref="P390" r:id="rId389" xr:uid="{00000000-0004-0000-0000-000084010000}"/>
    <hyperlink ref="P391" r:id="rId390" xr:uid="{00000000-0004-0000-0000-000085010000}"/>
    <hyperlink ref="P392" r:id="rId391" xr:uid="{00000000-0004-0000-0000-000086010000}"/>
    <hyperlink ref="P393" r:id="rId392" xr:uid="{00000000-0004-0000-0000-000087010000}"/>
    <hyperlink ref="P394" r:id="rId393" xr:uid="{00000000-0004-0000-0000-000088010000}"/>
    <hyperlink ref="P395" r:id="rId394" xr:uid="{00000000-0004-0000-0000-000089010000}"/>
    <hyperlink ref="P396" r:id="rId395" xr:uid="{00000000-0004-0000-0000-00008A010000}"/>
    <hyperlink ref="P397" r:id="rId396" xr:uid="{00000000-0004-0000-0000-00008B010000}"/>
    <hyperlink ref="P398" r:id="rId397" xr:uid="{00000000-0004-0000-0000-00008C010000}"/>
    <hyperlink ref="P399" r:id="rId398" xr:uid="{00000000-0004-0000-0000-00008D010000}"/>
    <hyperlink ref="P400" r:id="rId399" xr:uid="{00000000-0004-0000-0000-00008E010000}"/>
    <hyperlink ref="P401" r:id="rId400" xr:uid="{00000000-0004-0000-0000-00008F010000}"/>
    <hyperlink ref="P402" r:id="rId401" xr:uid="{00000000-0004-0000-0000-000090010000}"/>
    <hyperlink ref="P403" r:id="rId402" xr:uid="{00000000-0004-0000-0000-000091010000}"/>
    <hyperlink ref="P404" r:id="rId403" xr:uid="{00000000-0004-0000-0000-000092010000}"/>
    <hyperlink ref="P405" r:id="rId404" xr:uid="{00000000-0004-0000-0000-000093010000}"/>
    <hyperlink ref="P406" r:id="rId405" xr:uid="{00000000-0004-0000-0000-000094010000}"/>
    <hyperlink ref="P407" r:id="rId406" xr:uid="{00000000-0004-0000-0000-000095010000}"/>
    <hyperlink ref="P408" r:id="rId407" xr:uid="{00000000-0004-0000-0000-000096010000}"/>
    <hyperlink ref="P409" r:id="rId408" xr:uid="{00000000-0004-0000-0000-000097010000}"/>
    <hyperlink ref="P410" r:id="rId409" xr:uid="{00000000-0004-0000-0000-000098010000}"/>
    <hyperlink ref="P411" r:id="rId410" xr:uid="{00000000-0004-0000-0000-000099010000}"/>
    <hyperlink ref="P412" r:id="rId411" xr:uid="{00000000-0004-0000-0000-00009A010000}"/>
    <hyperlink ref="P413" r:id="rId412" xr:uid="{00000000-0004-0000-0000-00009B010000}"/>
    <hyperlink ref="P414" r:id="rId413" xr:uid="{00000000-0004-0000-0000-00009C010000}"/>
    <hyperlink ref="P415" r:id="rId414" xr:uid="{00000000-0004-0000-0000-00009D010000}"/>
    <hyperlink ref="P416" r:id="rId415" xr:uid="{00000000-0004-0000-0000-00009E010000}"/>
    <hyperlink ref="P417" r:id="rId416" xr:uid="{00000000-0004-0000-0000-00009F010000}"/>
    <hyperlink ref="P418" r:id="rId417" xr:uid="{00000000-0004-0000-0000-0000A0010000}"/>
    <hyperlink ref="P419" r:id="rId418" xr:uid="{00000000-0004-0000-0000-0000A1010000}"/>
    <hyperlink ref="P420" r:id="rId419" xr:uid="{00000000-0004-0000-0000-0000A2010000}"/>
    <hyperlink ref="P421" r:id="rId420" xr:uid="{00000000-0004-0000-0000-0000A3010000}"/>
    <hyperlink ref="P422" r:id="rId421" xr:uid="{00000000-0004-0000-0000-0000A4010000}"/>
    <hyperlink ref="P423" r:id="rId422" xr:uid="{00000000-0004-0000-0000-0000A5010000}"/>
    <hyperlink ref="P424" r:id="rId423" xr:uid="{00000000-0004-0000-0000-0000A6010000}"/>
    <hyperlink ref="P425" r:id="rId424" xr:uid="{00000000-0004-0000-0000-0000A7010000}"/>
    <hyperlink ref="P426" r:id="rId425" xr:uid="{00000000-0004-0000-0000-0000A8010000}"/>
    <hyperlink ref="P427" r:id="rId426" xr:uid="{00000000-0004-0000-0000-0000A9010000}"/>
    <hyperlink ref="P428" r:id="rId427" xr:uid="{00000000-0004-0000-0000-0000AA010000}"/>
    <hyperlink ref="P429" r:id="rId428" xr:uid="{00000000-0004-0000-0000-0000AB010000}"/>
    <hyperlink ref="P430" r:id="rId429" xr:uid="{00000000-0004-0000-0000-0000AC010000}"/>
    <hyperlink ref="P431" r:id="rId430" xr:uid="{00000000-0004-0000-0000-0000AD010000}"/>
    <hyperlink ref="P432" r:id="rId431" xr:uid="{00000000-0004-0000-0000-0000AE010000}"/>
    <hyperlink ref="P433" r:id="rId432" xr:uid="{00000000-0004-0000-0000-0000AF010000}"/>
    <hyperlink ref="P434" r:id="rId433" xr:uid="{00000000-0004-0000-0000-0000B0010000}"/>
    <hyperlink ref="P435" r:id="rId434" xr:uid="{00000000-0004-0000-0000-0000B1010000}"/>
    <hyperlink ref="P436" r:id="rId435" xr:uid="{00000000-0004-0000-0000-0000B2010000}"/>
    <hyperlink ref="P437" r:id="rId436" xr:uid="{00000000-0004-0000-0000-0000B3010000}"/>
    <hyperlink ref="P438" r:id="rId437" xr:uid="{00000000-0004-0000-0000-0000B4010000}"/>
    <hyperlink ref="P439" r:id="rId438" xr:uid="{00000000-0004-0000-0000-0000B5010000}"/>
    <hyperlink ref="P440" r:id="rId439" xr:uid="{00000000-0004-0000-0000-0000B6010000}"/>
    <hyperlink ref="P441" r:id="rId440" xr:uid="{00000000-0004-0000-0000-0000B7010000}"/>
    <hyperlink ref="P442" r:id="rId441" xr:uid="{00000000-0004-0000-0000-0000B8010000}"/>
    <hyperlink ref="P443" r:id="rId442" xr:uid="{00000000-0004-0000-0000-0000B9010000}"/>
    <hyperlink ref="P444" r:id="rId443" xr:uid="{00000000-0004-0000-0000-0000BA010000}"/>
    <hyperlink ref="P445" r:id="rId444" xr:uid="{00000000-0004-0000-0000-0000BB010000}"/>
    <hyperlink ref="P446" r:id="rId445" xr:uid="{00000000-0004-0000-0000-0000BC010000}"/>
    <hyperlink ref="P447" r:id="rId446" xr:uid="{00000000-0004-0000-0000-0000BD010000}"/>
    <hyperlink ref="P448" r:id="rId447" xr:uid="{00000000-0004-0000-0000-0000BE010000}"/>
    <hyperlink ref="P449" r:id="rId448" xr:uid="{00000000-0004-0000-0000-0000BF010000}"/>
    <hyperlink ref="P450" r:id="rId449" xr:uid="{00000000-0004-0000-0000-0000C0010000}"/>
    <hyperlink ref="P451" r:id="rId450" xr:uid="{00000000-0004-0000-0000-0000C1010000}"/>
    <hyperlink ref="P452" r:id="rId451" xr:uid="{00000000-0004-0000-0000-0000C2010000}"/>
    <hyperlink ref="P453" r:id="rId452" xr:uid="{00000000-0004-0000-0000-0000C3010000}"/>
    <hyperlink ref="P454" r:id="rId453" xr:uid="{00000000-0004-0000-0000-0000C4010000}"/>
    <hyperlink ref="P455" r:id="rId454" xr:uid="{00000000-0004-0000-0000-0000C5010000}"/>
    <hyperlink ref="P456" r:id="rId455" xr:uid="{00000000-0004-0000-0000-0000C6010000}"/>
    <hyperlink ref="P457" r:id="rId456" xr:uid="{00000000-0004-0000-0000-0000C7010000}"/>
    <hyperlink ref="P458" r:id="rId457" xr:uid="{00000000-0004-0000-0000-0000C8010000}"/>
    <hyperlink ref="P459" r:id="rId458" xr:uid="{00000000-0004-0000-0000-0000C9010000}"/>
    <hyperlink ref="P460" r:id="rId459" xr:uid="{00000000-0004-0000-0000-0000CA010000}"/>
    <hyperlink ref="P461" r:id="rId460" xr:uid="{00000000-0004-0000-0000-0000CB010000}"/>
    <hyperlink ref="P462" r:id="rId461" xr:uid="{00000000-0004-0000-0000-0000CC010000}"/>
    <hyperlink ref="P463" r:id="rId462" xr:uid="{00000000-0004-0000-0000-0000CD010000}"/>
    <hyperlink ref="P464" r:id="rId463" xr:uid="{00000000-0004-0000-0000-0000CE010000}"/>
    <hyperlink ref="P465" r:id="rId464" xr:uid="{00000000-0004-0000-0000-0000CF010000}"/>
    <hyperlink ref="P466" r:id="rId465" xr:uid="{00000000-0004-0000-0000-0000D0010000}"/>
    <hyperlink ref="P467" r:id="rId466" xr:uid="{00000000-0004-0000-0000-0000D1010000}"/>
    <hyperlink ref="P468" r:id="rId467" xr:uid="{00000000-0004-0000-0000-0000D2010000}"/>
    <hyperlink ref="P469" r:id="rId468" xr:uid="{00000000-0004-0000-0000-0000D3010000}"/>
    <hyperlink ref="P470" r:id="rId469" xr:uid="{00000000-0004-0000-0000-0000D4010000}"/>
    <hyperlink ref="P471" r:id="rId470" xr:uid="{00000000-0004-0000-0000-0000D5010000}"/>
    <hyperlink ref="P472" r:id="rId471" xr:uid="{00000000-0004-0000-0000-0000D6010000}"/>
    <hyperlink ref="P473" r:id="rId472" xr:uid="{00000000-0004-0000-0000-0000D7010000}"/>
    <hyperlink ref="P474" r:id="rId473" xr:uid="{00000000-0004-0000-0000-0000D8010000}"/>
    <hyperlink ref="P475" r:id="rId474" xr:uid="{00000000-0004-0000-0000-0000D9010000}"/>
    <hyperlink ref="P476" r:id="rId475" xr:uid="{00000000-0004-0000-0000-0000DA010000}"/>
    <hyperlink ref="P477" r:id="rId476" xr:uid="{00000000-0004-0000-0000-0000DB010000}"/>
    <hyperlink ref="P478" r:id="rId477" xr:uid="{00000000-0004-0000-0000-0000DC010000}"/>
    <hyperlink ref="P479" r:id="rId478" xr:uid="{00000000-0004-0000-0000-0000DD010000}"/>
    <hyperlink ref="P480" r:id="rId479" xr:uid="{00000000-0004-0000-0000-0000DE010000}"/>
    <hyperlink ref="P481" r:id="rId480" xr:uid="{00000000-0004-0000-0000-0000DF010000}"/>
    <hyperlink ref="P482" r:id="rId481" xr:uid="{00000000-0004-0000-0000-0000E0010000}"/>
    <hyperlink ref="P483" r:id="rId482" xr:uid="{00000000-0004-0000-0000-0000E1010000}"/>
    <hyperlink ref="P484" r:id="rId483" xr:uid="{00000000-0004-0000-0000-0000E2010000}"/>
    <hyperlink ref="P485" r:id="rId484" xr:uid="{00000000-0004-0000-0000-0000E3010000}"/>
    <hyperlink ref="P486" r:id="rId485" xr:uid="{00000000-0004-0000-0000-0000E4010000}"/>
    <hyperlink ref="P487" r:id="rId486" xr:uid="{00000000-0004-0000-0000-0000E5010000}"/>
    <hyperlink ref="P488" r:id="rId487" xr:uid="{00000000-0004-0000-0000-0000E6010000}"/>
    <hyperlink ref="P489" r:id="rId488" xr:uid="{00000000-0004-0000-0000-0000E7010000}"/>
    <hyperlink ref="P490" r:id="rId489" xr:uid="{00000000-0004-0000-0000-0000E8010000}"/>
    <hyperlink ref="P491" r:id="rId490" xr:uid="{00000000-0004-0000-0000-0000E9010000}"/>
    <hyperlink ref="P492" r:id="rId491" xr:uid="{00000000-0004-0000-0000-0000EA010000}"/>
    <hyperlink ref="P493" r:id="rId492" xr:uid="{00000000-0004-0000-0000-0000EB010000}"/>
    <hyperlink ref="P494" r:id="rId493" xr:uid="{00000000-0004-0000-0000-0000EC010000}"/>
    <hyperlink ref="P495" r:id="rId494" xr:uid="{00000000-0004-0000-0000-0000ED010000}"/>
    <hyperlink ref="P496" r:id="rId495" xr:uid="{00000000-0004-0000-0000-0000EE010000}"/>
    <hyperlink ref="P497" r:id="rId496" xr:uid="{00000000-0004-0000-0000-0000EF010000}"/>
    <hyperlink ref="P498" r:id="rId497" xr:uid="{00000000-0004-0000-0000-0000F0010000}"/>
    <hyperlink ref="P499" r:id="rId498" xr:uid="{00000000-0004-0000-0000-0000F1010000}"/>
    <hyperlink ref="P500" r:id="rId499" xr:uid="{00000000-0004-0000-0000-0000F2010000}"/>
    <hyperlink ref="P501" r:id="rId500" xr:uid="{00000000-0004-0000-0000-0000F3010000}"/>
    <hyperlink ref="P502" r:id="rId501" xr:uid="{00000000-0004-0000-0000-0000F4010000}"/>
    <hyperlink ref="P503" r:id="rId502" xr:uid="{00000000-0004-0000-0000-0000F5010000}"/>
    <hyperlink ref="P504" r:id="rId503" xr:uid="{00000000-0004-0000-0000-0000F6010000}"/>
    <hyperlink ref="P505" r:id="rId504" xr:uid="{00000000-0004-0000-0000-0000F7010000}"/>
    <hyperlink ref="P506" r:id="rId505" xr:uid="{00000000-0004-0000-0000-0000F8010000}"/>
    <hyperlink ref="P507" r:id="rId506" xr:uid="{00000000-0004-0000-0000-0000F9010000}"/>
    <hyperlink ref="P508" r:id="rId507" xr:uid="{00000000-0004-0000-0000-0000FA010000}"/>
    <hyperlink ref="P509" r:id="rId508" xr:uid="{00000000-0004-0000-0000-0000FB010000}"/>
    <hyperlink ref="P510" r:id="rId509" xr:uid="{00000000-0004-0000-0000-0000FC010000}"/>
    <hyperlink ref="P511" r:id="rId510" xr:uid="{00000000-0004-0000-0000-0000FD010000}"/>
    <hyperlink ref="P512" r:id="rId511" xr:uid="{00000000-0004-0000-0000-0000FE010000}"/>
    <hyperlink ref="P513" r:id="rId512" xr:uid="{00000000-0004-0000-0000-0000FF010000}"/>
    <hyperlink ref="P514" r:id="rId513" xr:uid="{00000000-0004-0000-0000-000000020000}"/>
    <hyperlink ref="P515" r:id="rId514" xr:uid="{00000000-0004-0000-0000-000001020000}"/>
    <hyperlink ref="P516" r:id="rId515" xr:uid="{00000000-0004-0000-0000-000002020000}"/>
    <hyperlink ref="P517" r:id="rId516" xr:uid="{00000000-0004-0000-0000-000003020000}"/>
    <hyperlink ref="P518" r:id="rId517" xr:uid="{00000000-0004-0000-0000-000004020000}"/>
    <hyperlink ref="P519" r:id="rId518" xr:uid="{00000000-0004-0000-0000-000005020000}"/>
    <hyperlink ref="P520" r:id="rId519" xr:uid="{00000000-0004-0000-0000-000006020000}"/>
    <hyperlink ref="P521" r:id="rId520" xr:uid="{00000000-0004-0000-0000-000007020000}"/>
    <hyperlink ref="P522" r:id="rId521" xr:uid="{00000000-0004-0000-0000-000008020000}"/>
    <hyperlink ref="P523" r:id="rId522" xr:uid="{00000000-0004-0000-0000-000009020000}"/>
    <hyperlink ref="P524" r:id="rId523" xr:uid="{00000000-0004-0000-0000-00000A020000}"/>
    <hyperlink ref="P525" r:id="rId524" xr:uid="{00000000-0004-0000-0000-00000B020000}"/>
    <hyperlink ref="P526" r:id="rId525" xr:uid="{00000000-0004-0000-0000-00000C020000}"/>
    <hyperlink ref="P527" r:id="rId526" xr:uid="{00000000-0004-0000-0000-00000D020000}"/>
    <hyperlink ref="P528" r:id="rId527" xr:uid="{00000000-0004-0000-0000-00000E020000}"/>
    <hyperlink ref="P529" r:id="rId528" xr:uid="{00000000-0004-0000-0000-00000F020000}"/>
    <hyperlink ref="P530" r:id="rId529" xr:uid="{00000000-0004-0000-0000-000010020000}"/>
    <hyperlink ref="P531" r:id="rId530" xr:uid="{00000000-0004-0000-0000-000011020000}"/>
    <hyperlink ref="P532" r:id="rId531" xr:uid="{00000000-0004-0000-0000-000012020000}"/>
    <hyperlink ref="P533" r:id="rId532" xr:uid="{00000000-0004-0000-0000-000013020000}"/>
    <hyperlink ref="P534" r:id="rId533" xr:uid="{00000000-0004-0000-0000-000014020000}"/>
    <hyperlink ref="P535" r:id="rId534" xr:uid="{00000000-0004-0000-0000-000015020000}"/>
    <hyperlink ref="P536" r:id="rId535" xr:uid="{00000000-0004-0000-0000-000016020000}"/>
    <hyperlink ref="P537" r:id="rId536" xr:uid="{00000000-0004-0000-0000-000017020000}"/>
    <hyperlink ref="P538" r:id="rId537" xr:uid="{00000000-0004-0000-0000-000018020000}"/>
    <hyperlink ref="P539" r:id="rId538" xr:uid="{00000000-0004-0000-0000-000019020000}"/>
    <hyperlink ref="P540" r:id="rId539" xr:uid="{00000000-0004-0000-0000-00001A020000}"/>
    <hyperlink ref="P541" r:id="rId540" xr:uid="{00000000-0004-0000-0000-00001B020000}"/>
    <hyperlink ref="P542" r:id="rId541" xr:uid="{00000000-0004-0000-0000-00001C020000}"/>
    <hyperlink ref="P543" r:id="rId542" xr:uid="{00000000-0004-0000-0000-00001D020000}"/>
    <hyperlink ref="P544" r:id="rId543" xr:uid="{00000000-0004-0000-0000-00001E020000}"/>
    <hyperlink ref="P545" r:id="rId544" xr:uid="{00000000-0004-0000-0000-00001F020000}"/>
    <hyperlink ref="P546" r:id="rId545" xr:uid="{00000000-0004-0000-0000-000020020000}"/>
    <hyperlink ref="P547" r:id="rId546" xr:uid="{00000000-0004-0000-0000-000021020000}"/>
    <hyperlink ref="P548" r:id="rId547" xr:uid="{00000000-0004-0000-0000-000022020000}"/>
    <hyperlink ref="P549" r:id="rId548" xr:uid="{00000000-0004-0000-0000-000023020000}"/>
    <hyperlink ref="P550" r:id="rId549" xr:uid="{00000000-0004-0000-0000-000024020000}"/>
    <hyperlink ref="P551" r:id="rId550" xr:uid="{00000000-0004-0000-0000-000025020000}"/>
    <hyperlink ref="P552" r:id="rId551" xr:uid="{00000000-0004-0000-0000-000026020000}"/>
    <hyperlink ref="P553" r:id="rId552" xr:uid="{00000000-0004-0000-0000-000027020000}"/>
    <hyperlink ref="P554" r:id="rId553" xr:uid="{00000000-0004-0000-0000-000028020000}"/>
    <hyperlink ref="P555" r:id="rId554" xr:uid="{00000000-0004-0000-0000-000029020000}"/>
    <hyperlink ref="P556" r:id="rId555" xr:uid="{00000000-0004-0000-0000-00002A020000}"/>
    <hyperlink ref="P557" r:id="rId556" xr:uid="{00000000-0004-0000-0000-00002B020000}"/>
    <hyperlink ref="P558" r:id="rId557" xr:uid="{00000000-0004-0000-0000-00002C020000}"/>
    <hyperlink ref="P559" r:id="rId558" xr:uid="{00000000-0004-0000-0000-00002D020000}"/>
    <hyperlink ref="P560" r:id="rId559" xr:uid="{00000000-0004-0000-0000-00002E020000}"/>
    <hyperlink ref="P561" r:id="rId560" xr:uid="{00000000-0004-0000-0000-00002F020000}"/>
    <hyperlink ref="P562" r:id="rId561" xr:uid="{00000000-0004-0000-0000-000030020000}"/>
    <hyperlink ref="P563" r:id="rId562" xr:uid="{00000000-0004-0000-0000-000031020000}"/>
    <hyperlink ref="P564" r:id="rId563" xr:uid="{00000000-0004-0000-0000-000032020000}"/>
    <hyperlink ref="P565" r:id="rId564" xr:uid="{00000000-0004-0000-0000-000033020000}"/>
    <hyperlink ref="P566" r:id="rId565" xr:uid="{00000000-0004-0000-0000-000034020000}"/>
    <hyperlink ref="P567" r:id="rId566" xr:uid="{00000000-0004-0000-0000-000035020000}"/>
    <hyperlink ref="P568" r:id="rId567" xr:uid="{00000000-0004-0000-0000-000036020000}"/>
    <hyperlink ref="P569" r:id="rId568" xr:uid="{00000000-0004-0000-0000-000037020000}"/>
    <hyperlink ref="P570" r:id="rId569" xr:uid="{00000000-0004-0000-0000-000038020000}"/>
    <hyperlink ref="P571" r:id="rId570" xr:uid="{00000000-0004-0000-0000-000039020000}"/>
    <hyperlink ref="P572" r:id="rId571" xr:uid="{00000000-0004-0000-0000-00003A020000}"/>
    <hyperlink ref="P573" r:id="rId572" xr:uid="{00000000-0004-0000-0000-00003B020000}"/>
    <hyperlink ref="P574" r:id="rId573" xr:uid="{00000000-0004-0000-0000-00003C020000}"/>
    <hyperlink ref="P575" r:id="rId574" xr:uid="{00000000-0004-0000-0000-00003D020000}"/>
    <hyperlink ref="P576" r:id="rId575" xr:uid="{00000000-0004-0000-0000-00003E020000}"/>
    <hyperlink ref="P577" r:id="rId576" xr:uid="{00000000-0004-0000-0000-00003F020000}"/>
    <hyperlink ref="P578" r:id="rId577" xr:uid="{00000000-0004-0000-0000-000040020000}"/>
    <hyperlink ref="P579" r:id="rId578" xr:uid="{00000000-0004-0000-0000-000041020000}"/>
    <hyperlink ref="P580" r:id="rId579" xr:uid="{00000000-0004-0000-0000-000042020000}"/>
    <hyperlink ref="P581" r:id="rId580" xr:uid="{00000000-0004-0000-0000-000043020000}"/>
    <hyperlink ref="P582" r:id="rId581" xr:uid="{00000000-0004-0000-0000-000044020000}"/>
    <hyperlink ref="P583" r:id="rId582" xr:uid="{00000000-0004-0000-0000-000045020000}"/>
    <hyperlink ref="P584" r:id="rId583" xr:uid="{00000000-0004-0000-0000-000046020000}"/>
    <hyperlink ref="P585" r:id="rId584" xr:uid="{00000000-0004-0000-0000-000047020000}"/>
    <hyperlink ref="P586" r:id="rId585" xr:uid="{00000000-0004-0000-0000-000048020000}"/>
    <hyperlink ref="P587" r:id="rId586" xr:uid="{00000000-0004-0000-0000-000049020000}"/>
    <hyperlink ref="P588" r:id="rId587" xr:uid="{00000000-0004-0000-0000-00004A020000}"/>
    <hyperlink ref="P589" r:id="rId588" xr:uid="{00000000-0004-0000-0000-00004B020000}"/>
    <hyperlink ref="P590" r:id="rId589" xr:uid="{00000000-0004-0000-0000-00004C020000}"/>
    <hyperlink ref="P591" r:id="rId590" xr:uid="{00000000-0004-0000-0000-00004D020000}"/>
    <hyperlink ref="P592" r:id="rId591" xr:uid="{00000000-0004-0000-0000-00004E020000}"/>
    <hyperlink ref="P593" r:id="rId592" xr:uid="{00000000-0004-0000-0000-00004F020000}"/>
    <hyperlink ref="P594" r:id="rId593" xr:uid="{00000000-0004-0000-0000-000050020000}"/>
    <hyperlink ref="P595" r:id="rId594" xr:uid="{00000000-0004-0000-0000-000051020000}"/>
    <hyperlink ref="P596" r:id="rId595" xr:uid="{00000000-0004-0000-0000-000052020000}"/>
    <hyperlink ref="P597" r:id="rId596" xr:uid="{00000000-0004-0000-0000-000053020000}"/>
    <hyperlink ref="P598" r:id="rId597" xr:uid="{00000000-0004-0000-0000-000054020000}"/>
    <hyperlink ref="P599" r:id="rId598" xr:uid="{00000000-0004-0000-0000-000055020000}"/>
    <hyperlink ref="P600" r:id="rId599" xr:uid="{00000000-0004-0000-0000-000056020000}"/>
    <hyperlink ref="P601" r:id="rId600" xr:uid="{00000000-0004-0000-0000-000057020000}"/>
    <hyperlink ref="P602" r:id="rId601" xr:uid="{00000000-0004-0000-0000-000058020000}"/>
    <hyperlink ref="P603" r:id="rId602" xr:uid="{00000000-0004-0000-0000-000059020000}"/>
    <hyperlink ref="P604" r:id="rId603" xr:uid="{00000000-0004-0000-0000-00005A020000}"/>
    <hyperlink ref="P605" r:id="rId604" xr:uid="{00000000-0004-0000-0000-00005B020000}"/>
    <hyperlink ref="P606" r:id="rId605" xr:uid="{00000000-0004-0000-0000-00005C020000}"/>
    <hyperlink ref="P607" r:id="rId606" xr:uid="{00000000-0004-0000-0000-00005D020000}"/>
    <hyperlink ref="P608" r:id="rId607" xr:uid="{00000000-0004-0000-0000-00005E020000}"/>
    <hyperlink ref="P609" r:id="rId608" xr:uid="{00000000-0004-0000-0000-00005F020000}"/>
    <hyperlink ref="P610" r:id="rId609" xr:uid="{00000000-0004-0000-0000-000060020000}"/>
    <hyperlink ref="P611" r:id="rId610" xr:uid="{00000000-0004-0000-0000-000061020000}"/>
    <hyperlink ref="P612" r:id="rId611" xr:uid="{00000000-0004-0000-0000-000062020000}"/>
    <hyperlink ref="P613" r:id="rId612" xr:uid="{00000000-0004-0000-0000-000063020000}"/>
    <hyperlink ref="P614" r:id="rId613" xr:uid="{00000000-0004-0000-0000-000064020000}"/>
    <hyperlink ref="P615" r:id="rId614" xr:uid="{00000000-0004-0000-0000-000065020000}"/>
    <hyperlink ref="P616" r:id="rId615" xr:uid="{00000000-0004-0000-0000-000066020000}"/>
    <hyperlink ref="P617" r:id="rId616" xr:uid="{00000000-0004-0000-0000-000067020000}"/>
    <hyperlink ref="P618" r:id="rId617" xr:uid="{00000000-0004-0000-0000-000068020000}"/>
    <hyperlink ref="P619" r:id="rId618" xr:uid="{00000000-0004-0000-0000-000069020000}"/>
    <hyperlink ref="P620" r:id="rId619" xr:uid="{00000000-0004-0000-0000-00006A020000}"/>
    <hyperlink ref="P621" r:id="rId620" xr:uid="{00000000-0004-0000-0000-00006B020000}"/>
    <hyperlink ref="P622" r:id="rId621" xr:uid="{00000000-0004-0000-0000-00006C020000}"/>
    <hyperlink ref="P623" r:id="rId622" xr:uid="{00000000-0004-0000-0000-00006D020000}"/>
    <hyperlink ref="P624" r:id="rId623" xr:uid="{00000000-0004-0000-0000-00006E020000}"/>
    <hyperlink ref="P625" r:id="rId624" xr:uid="{00000000-0004-0000-0000-00006F020000}"/>
    <hyperlink ref="P626" r:id="rId625" xr:uid="{00000000-0004-0000-0000-000070020000}"/>
    <hyperlink ref="P627" r:id="rId626" xr:uid="{00000000-0004-0000-0000-000071020000}"/>
    <hyperlink ref="P628" r:id="rId627" xr:uid="{00000000-0004-0000-0000-000072020000}"/>
    <hyperlink ref="P629" r:id="rId628" xr:uid="{00000000-0004-0000-0000-000073020000}"/>
    <hyperlink ref="P630" r:id="rId629" xr:uid="{00000000-0004-0000-0000-000074020000}"/>
    <hyperlink ref="P631" r:id="rId630" xr:uid="{00000000-0004-0000-0000-000075020000}"/>
    <hyperlink ref="P632" r:id="rId631" xr:uid="{00000000-0004-0000-0000-000076020000}"/>
    <hyperlink ref="P633" r:id="rId632" xr:uid="{00000000-0004-0000-0000-000077020000}"/>
    <hyperlink ref="P634" r:id="rId633" xr:uid="{00000000-0004-0000-0000-000078020000}"/>
    <hyperlink ref="P635" r:id="rId634" xr:uid="{00000000-0004-0000-0000-000079020000}"/>
    <hyperlink ref="P636" r:id="rId635" xr:uid="{00000000-0004-0000-0000-00007A020000}"/>
    <hyperlink ref="P637" r:id="rId636" xr:uid="{00000000-0004-0000-0000-00007B020000}"/>
    <hyperlink ref="P638" r:id="rId637" xr:uid="{00000000-0004-0000-0000-00007C020000}"/>
    <hyperlink ref="P639" r:id="rId638" xr:uid="{00000000-0004-0000-0000-00007D020000}"/>
    <hyperlink ref="P640" r:id="rId639" xr:uid="{00000000-0004-0000-0000-00007E020000}"/>
    <hyperlink ref="P641" r:id="rId640" xr:uid="{00000000-0004-0000-0000-00007F020000}"/>
    <hyperlink ref="P642" r:id="rId641" xr:uid="{00000000-0004-0000-0000-000080020000}"/>
    <hyperlink ref="P643" r:id="rId642" xr:uid="{00000000-0004-0000-0000-000081020000}"/>
    <hyperlink ref="P644" r:id="rId643" xr:uid="{00000000-0004-0000-0000-000082020000}"/>
    <hyperlink ref="P645" r:id="rId644" xr:uid="{00000000-0004-0000-0000-000083020000}"/>
    <hyperlink ref="P646" r:id="rId645" xr:uid="{00000000-0004-0000-0000-000084020000}"/>
    <hyperlink ref="P647" r:id="rId646" xr:uid="{00000000-0004-0000-0000-000085020000}"/>
    <hyperlink ref="P648" r:id="rId647" xr:uid="{00000000-0004-0000-0000-000086020000}"/>
    <hyperlink ref="P649" r:id="rId648" xr:uid="{00000000-0004-0000-0000-000087020000}"/>
    <hyperlink ref="P650" r:id="rId649" xr:uid="{00000000-0004-0000-0000-000088020000}"/>
    <hyperlink ref="P651" r:id="rId650" xr:uid="{00000000-0004-0000-0000-000089020000}"/>
    <hyperlink ref="P652" r:id="rId651" xr:uid="{00000000-0004-0000-0000-00008A020000}"/>
    <hyperlink ref="P653" r:id="rId652" xr:uid="{00000000-0004-0000-0000-00008B020000}"/>
    <hyperlink ref="P654" r:id="rId653" xr:uid="{00000000-0004-0000-0000-00008C020000}"/>
    <hyperlink ref="P655" r:id="rId654" xr:uid="{00000000-0004-0000-0000-00008D020000}"/>
    <hyperlink ref="P656" r:id="rId655" xr:uid="{00000000-0004-0000-0000-00008E020000}"/>
    <hyperlink ref="P657" r:id="rId656" xr:uid="{00000000-0004-0000-0000-00008F020000}"/>
    <hyperlink ref="P658" r:id="rId657" xr:uid="{00000000-0004-0000-0000-000090020000}"/>
    <hyperlink ref="P659" r:id="rId658" xr:uid="{00000000-0004-0000-0000-000091020000}"/>
    <hyperlink ref="P660" r:id="rId659" xr:uid="{00000000-0004-0000-0000-000092020000}"/>
    <hyperlink ref="P661" r:id="rId660" xr:uid="{00000000-0004-0000-0000-000093020000}"/>
    <hyperlink ref="P662" r:id="rId661" xr:uid="{00000000-0004-0000-0000-000094020000}"/>
    <hyperlink ref="P663" r:id="rId662" xr:uid="{00000000-0004-0000-0000-000095020000}"/>
    <hyperlink ref="P664" r:id="rId663" xr:uid="{00000000-0004-0000-0000-000096020000}"/>
    <hyperlink ref="P665" r:id="rId664" xr:uid="{00000000-0004-0000-0000-000097020000}"/>
    <hyperlink ref="P666" r:id="rId665" xr:uid="{00000000-0004-0000-0000-000098020000}"/>
    <hyperlink ref="P667" r:id="rId666" xr:uid="{00000000-0004-0000-0000-000099020000}"/>
    <hyperlink ref="P668" r:id="rId667" xr:uid="{00000000-0004-0000-0000-00009A020000}"/>
    <hyperlink ref="P669" r:id="rId668" xr:uid="{00000000-0004-0000-0000-00009B020000}"/>
    <hyperlink ref="P670" r:id="rId669" xr:uid="{00000000-0004-0000-0000-00009C020000}"/>
    <hyperlink ref="P671" r:id="rId670" xr:uid="{00000000-0004-0000-0000-00009D020000}"/>
    <hyperlink ref="P672" r:id="rId671" xr:uid="{00000000-0004-0000-0000-00009E020000}"/>
    <hyperlink ref="P673" r:id="rId672" xr:uid="{00000000-0004-0000-0000-00009F020000}"/>
    <hyperlink ref="P674" r:id="rId673" xr:uid="{00000000-0004-0000-0000-0000A0020000}"/>
    <hyperlink ref="P675" r:id="rId674" xr:uid="{00000000-0004-0000-0000-0000A1020000}"/>
    <hyperlink ref="P676" r:id="rId675" xr:uid="{00000000-0004-0000-0000-0000A2020000}"/>
    <hyperlink ref="P677" r:id="rId676" xr:uid="{00000000-0004-0000-0000-0000A3020000}"/>
    <hyperlink ref="P678" r:id="rId677" xr:uid="{00000000-0004-0000-0000-0000A4020000}"/>
    <hyperlink ref="P679" r:id="rId678" xr:uid="{00000000-0004-0000-0000-0000A5020000}"/>
    <hyperlink ref="P680" r:id="rId679" xr:uid="{00000000-0004-0000-0000-0000A6020000}"/>
    <hyperlink ref="P681" r:id="rId680" xr:uid="{00000000-0004-0000-0000-0000A7020000}"/>
    <hyperlink ref="P682" r:id="rId681" xr:uid="{00000000-0004-0000-0000-0000A8020000}"/>
    <hyperlink ref="P683" r:id="rId682" xr:uid="{00000000-0004-0000-0000-0000A9020000}"/>
    <hyperlink ref="P684" r:id="rId683" xr:uid="{00000000-0004-0000-0000-0000AA020000}"/>
    <hyperlink ref="P685" r:id="rId684" xr:uid="{00000000-0004-0000-0000-0000AB020000}"/>
    <hyperlink ref="P686" r:id="rId685" xr:uid="{00000000-0004-0000-0000-0000AC020000}"/>
    <hyperlink ref="P687" r:id="rId686" xr:uid="{00000000-0004-0000-0000-0000AD020000}"/>
    <hyperlink ref="P688" r:id="rId687" xr:uid="{00000000-0004-0000-0000-0000AE020000}"/>
    <hyperlink ref="P689" r:id="rId688" xr:uid="{00000000-0004-0000-0000-0000AF020000}"/>
    <hyperlink ref="P690" r:id="rId689" xr:uid="{00000000-0004-0000-0000-0000B0020000}"/>
    <hyperlink ref="P691" r:id="rId690" xr:uid="{00000000-0004-0000-0000-0000B1020000}"/>
    <hyperlink ref="P692" r:id="rId691" xr:uid="{00000000-0004-0000-0000-0000B2020000}"/>
    <hyperlink ref="P693" r:id="rId692" xr:uid="{00000000-0004-0000-0000-0000B3020000}"/>
    <hyperlink ref="P694" r:id="rId693" xr:uid="{00000000-0004-0000-0000-0000B4020000}"/>
    <hyperlink ref="P695" r:id="rId694" xr:uid="{00000000-0004-0000-0000-0000B5020000}"/>
    <hyperlink ref="P696" r:id="rId695" xr:uid="{00000000-0004-0000-0000-0000B6020000}"/>
    <hyperlink ref="P697" r:id="rId696" xr:uid="{00000000-0004-0000-0000-0000B7020000}"/>
    <hyperlink ref="P698" r:id="rId697" xr:uid="{00000000-0004-0000-0000-0000B8020000}"/>
    <hyperlink ref="P699" r:id="rId698" xr:uid="{00000000-0004-0000-0000-0000B9020000}"/>
    <hyperlink ref="P700" r:id="rId699" xr:uid="{00000000-0004-0000-0000-0000BA020000}"/>
    <hyperlink ref="P701" r:id="rId700" xr:uid="{00000000-0004-0000-0000-0000BB020000}"/>
    <hyperlink ref="P702" r:id="rId701" xr:uid="{00000000-0004-0000-0000-0000BC020000}"/>
    <hyperlink ref="P703" r:id="rId702" xr:uid="{00000000-0004-0000-0000-0000BD020000}"/>
    <hyperlink ref="P704" r:id="rId703" xr:uid="{00000000-0004-0000-0000-0000BE020000}"/>
    <hyperlink ref="P705" r:id="rId704" xr:uid="{00000000-0004-0000-0000-0000BF020000}"/>
    <hyperlink ref="P706" r:id="rId705" xr:uid="{00000000-0004-0000-0000-0000C0020000}"/>
    <hyperlink ref="P707" r:id="rId706" xr:uid="{00000000-0004-0000-0000-0000C1020000}"/>
    <hyperlink ref="P708" r:id="rId707" xr:uid="{00000000-0004-0000-0000-0000C2020000}"/>
    <hyperlink ref="P709" r:id="rId708" xr:uid="{00000000-0004-0000-0000-0000C3020000}"/>
    <hyperlink ref="P710" r:id="rId709" xr:uid="{00000000-0004-0000-0000-0000C4020000}"/>
    <hyperlink ref="P711" r:id="rId710" xr:uid="{00000000-0004-0000-0000-0000C5020000}"/>
    <hyperlink ref="P712" r:id="rId711" xr:uid="{00000000-0004-0000-0000-0000C6020000}"/>
    <hyperlink ref="P713" r:id="rId712" xr:uid="{00000000-0004-0000-0000-0000C7020000}"/>
    <hyperlink ref="P714" r:id="rId713" xr:uid="{00000000-0004-0000-0000-0000C8020000}"/>
    <hyperlink ref="P715" r:id="rId714" xr:uid="{00000000-0004-0000-0000-0000C9020000}"/>
    <hyperlink ref="P716" r:id="rId715" xr:uid="{00000000-0004-0000-0000-0000CA020000}"/>
    <hyperlink ref="P717" r:id="rId716" xr:uid="{00000000-0004-0000-0000-0000CB020000}"/>
    <hyperlink ref="P718" r:id="rId717" xr:uid="{00000000-0004-0000-0000-0000CC020000}"/>
    <hyperlink ref="P719" r:id="rId718" xr:uid="{00000000-0004-0000-0000-0000CD020000}"/>
    <hyperlink ref="P720" r:id="rId719" xr:uid="{00000000-0004-0000-0000-0000CE020000}"/>
    <hyperlink ref="P721" r:id="rId720" xr:uid="{00000000-0004-0000-0000-0000CF020000}"/>
    <hyperlink ref="P722" r:id="rId721" xr:uid="{00000000-0004-0000-0000-0000D0020000}"/>
    <hyperlink ref="P723" r:id="rId722" xr:uid="{00000000-0004-0000-0000-0000D1020000}"/>
    <hyperlink ref="P724" r:id="rId723" xr:uid="{00000000-0004-0000-0000-0000D2020000}"/>
    <hyperlink ref="P725" r:id="rId724" xr:uid="{00000000-0004-0000-0000-0000D3020000}"/>
    <hyperlink ref="P726" r:id="rId725" xr:uid="{00000000-0004-0000-0000-0000D4020000}"/>
    <hyperlink ref="P727" r:id="rId726" xr:uid="{00000000-0004-0000-0000-0000D5020000}"/>
    <hyperlink ref="P728" r:id="rId727" xr:uid="{00000000-0004-0000-0000-0000D6020000}"/>
    <hyperlink ref="P729" r:id="rId728" xr:uid="{00000000-0004-0000-0000-0000D7020000}"/>
    <hyperlink ref="P730" r:id="rId729" xr:uid="{00000000-0004-0000-0000-0000D8020000}"/>
    <hyperlink ref="P731" r:id="rId730" xr:uid="{00000000-0004-0000-0000-0000D9020000}"/>
    <hyperlink ref="P732" r:id="rId731" xr:uid="{00000000-0004-0000-0000-0000DA020000}"/>
    <hyperlink ref="P733" r:id="rId732" xr:uid="{00000000-0004-0000-0000-0000DB020000}"/>
    <hyperlink ref="P734" r:id="rId733" xr:uid="{00000000-0004-0000-0000-0000DC020000}"/>
    <hyperlink ref="P735" r:id="rId734" xr:uid="{00000000-0004-0000-0000-0000DD020000}"/>
    <hyperlink ref="P736" r:id="rId735" xr:uid="{00000000-0004-0000-0000-0000DE020000}"/>
    <hyperlink ref="P737" r:id="rId736" xr:uid="{00000000-0004-0000-0000-0000DF020000}"/>
    <hyperlink ref="P738" r:id="rId737" xr:uid="{00000000-0004-0000-0000-0000E0020000}"/>
    <hyperlink ref="P739" r:id="rId738" xr:uid="{00000000-0004-0000-0000-0000E1020000}"/>
    <hyperlink ref="P740" r:id="rId739" xr:uid="{00000000-0004-0000-0000-0000E2020000}"/>
    <hyperlink ref="P741" r:id="rId740" xr:uid="{00000000-0004-0000-0000-0000E3020000}"/>
    <hyperlink ref="P742" r:id="rId741" xr:uid="{00000000-0004-0000-0000-0000E4020000}"/>
    <hyperlink ref="P743" r:id="rId742" xr:uid="{00000000-0004-0000-0000-0000E5020000}"/>
    <hyperlink ref="P744" r:id="rId743" xr:uid="{00000000-0004-0000-0000-0000E6020000}"/>
    <hyperlink ref="P745" r:id="rId744" xr:uid="{00000000-0004-0000-0000-0000E7020000}"/>
    <hyperlink ref="P746" r:id="rId745" xr:uid="{00000000-0004-0000-0000-0000E8020000}"/>
    <hyperlink ref="P747" r:id="rId746" xr:uid="{00000000-0004-0000-0000-0000E9020000}"/>
    <hyperlink ref="P748" r:id="rId747" xr:uid="{00000000-0004-0000-0000-0000EA020000}"/>
    <hyperlink ref="P749" r:id="rId748" xr:uid="{00000000-0004-0000-0000-0000EB020000}"/>
    <hyperlink ref="P750" r:id="rId749" xr:uid="{00000000-0004-0000-0000-0000EC020000}"/>
    <hyperlink ref="P751" r:id="rId750" xr:uid="{00000000-0004-0000-0000-0000ED020000}"/>
    <hyperlink ref="P752" r:id="rId751" xr:uid="{00000000-0004-0000-0000-0000EE020000}"/>
    <hyperlink ref="P753" r:id="rId752" xr:uid="{00000000-0004-0000-0000-0000EF020000}"/>
    <hyperlink ref="P754" r:id="rId753" xr:uid="{00000000-0004-0000-0000-0000F0020000}"/>
    <hyperlink ref="P755" r:id="rId754" xr:uid="{00000000-0004-0000-0000-0000F1020000}"/>
    <hyperlink ref="P756" r:id="rId755" xr:uid="{00000000-0004-0000-0000-0000F2020000}"/>
    <hyperlink ref="P757" r:id="rId756" xr:uid="{00000000-0004-0000-0000-0000F3020000}"/>
    <hyperlink ref="P758" r:id="rId757" xr:uid="{00000000-0004-0000-0000-0000F4020000}"/>
    <hyperlink ref="P759" r:id="rId758" xr:uid="{00000000-0004-0000-0000-0000F5020000}"/>
    <hyperlink ref="P760" r:id="rId759" xr:uid="{00000000-0004-0000-0000-0000F6020000}"/>
    <hyperlink ref="P761" r:id="rId760" xr:uid="{00000000-0004-0000-0000-0000F7020000}"/>
    <hyperlink ref="P762" r:id="rId761" xr:uid="{00000000-0004-0000-0000-0000F8020000}"/>
    <hyperlink ref="P763" r:id="rId762" xr:uid="{00000000-0004-0000-0000-0000F9020000}"/>
    <hyperlink ref="P764" r:id="rId763" xr:uid="{00000000-0004-0000-0000-0000FA020000}"/>
    <hyperlink ref="P765" r:id="rId764" xr:uid="{00000000-0004-0000-0000-0000FB020000}"/>
    <hyperlink ref="P766" r:id="rId765" xr:uid="{00000000-0004-0000-0000-0000FC020000}"/>
    <hyperlink ref="P767" r:id="rId766" xr:uid="{00000000-0004-0000-0000-0000FD020000}"/>
    <hyperlink ref="P768" r:id="rId767" xr:uid="{00000000-0004-0000-0000-0000FE020000}"/>
    <hyperlink ref="P769" r:id="rId768" xr:uid="{00000000-0004-0000-0000-0000FF020000}"/>
    <hyperlink ref="P770" r:id="rId769" xr:uid="{00000000-0004-0000-0000-000000030000}"/>
    <hyperlink ref="P771" r:id="rId770" xr:uid="{00000000-0004-0000-0000-000001030000}"/>
    <hyperlink ref="P772" r:id="rId771" xr:uid="{00000000-0004-0000-0000-000002030000}"/>
    <hyperlink ref="P773" r:id="rId772" xr:uid="{00000000-0004-0000-0000-000003030000}"/>
    <hyperlink ref="P774" r:id="rId773" xr:uid="{00000000-0004-0000-0000-000004030000}"/>
    <hyperlink ref="P775" r:id="rId774" xr:uid="{00000000-0004-0000-0000-000005030000}"/>
    <hyperlink ref="P776" r:id="rId775" xr:uid="{00000000-0004-0000-0000-000006030000}"/>
    <hyperlink ref="P777" r:id="rId776" xr:uid="{00000000-0004-0000-0000-000007030000}"/>
    <hyperlink ref="P778" r:id="rId777" xr:uid="{00000000-0004-0000-0000-000008030000}"/>
    <hyperlink ref="P779" r:id="rId778" xr:uid="{00000000-0004-0000-0000-000009030000}"/>
    <hyperlink ref="P780" r:id="rId779" xr:uid="{00000000-0004-0000-0000-00000A030000}"/>
    <hyperlink ref="P781" r:id="rId780" xr:uid="{00000000-0004-0000-0000-00000B030000}"/>
    <hyperlink ref="P782" r:id="rId781" xr:uid="{00000000-0004-0000-0000-00000C030000}"/>
    <hyperlink ref="P783" r:id="rId782" xr:uid="{00000000-0004-0000-0000-00000D030000}"/>
    <hyperlink ref="P784" r:id="rId783" xr:uid="{00000000-0004-0000-0000-00000E030000}"/>
    <hyperlink ref="P785" r:id="rId784" xr:uid="{00000000-0004-0000-0000-00000F030000}"/>
    <hyperlink ref="P786" r:id="rId785" xr:uid="{00000000-0004-0000-0000-000010030000}"/>
    <hyperlink ref="P787" r:id="rId786" xr:uid="{00000000-0004-0000-0000-000011030000}"/>
    <hyperlink ref="P788" r:id="rId787" xr:uid="{00000000-0004-0000-0000-000012030000}"/>
    <hyperlink ref="P789" r:id="rId788" xr:uid="{00000000-0004-0000-0000-000013030000}"/>
    <hyperlink ref="P790" r:id="rId789" xr:uid="{00000000-0004-0000-0000-000014030000}"/>
    <hyperlink ref="P791" r:id="rId790" xr:uid="{00000000-0004-0000-0000-000015030000}"/>
    <hyperlink ref="P792" r:id="rId791" xr:uid="{00000000-0004-0000-0000-000016030000}"/>
    <hyperlink ref="P793" r:id="rId792" xr:uid="{00000000-0004-0000-0000-000017030000}"/>
    <hyperlink ref="P794" r:id="rId793" xr:uid="{00000000-0004-0000-0000-000018030000}"/>
    <hyperlink ref="P795" r:id="rId794" xr:uid="{00000000-0004-0000-0000-000019030000}"/>
    <hyperlink ref="P796" r:id="rId795" xr:uid="{00000000-0004-0000-0000-00001A030000}"/>
    <hyperlink ref="P797" r:id="rId796" xr:uid="{00000000-0004-0000-0000-00001B030000}"/>
    <hyperlink ref="P798" r:id="rId797" xr:uid="{00000000-0004-0000-0000-00001C030000}"/>
    <hyperlink ref="P799" r:id="rId798" xr:uid="{00000000-0004-0000-0000-00001D030000}"/>
    <hyperlink ref="P800" r:id="rId799" xr:uid="{00000000-0004-0000-0000-00001E030000}"/>
    <hyperlink ref="P801" r:id="rId800" xr:uid="{00000000-0004-0000-0000-00001F030000}"/>
    <hyperlink ref="P802" r:id="rId801" xr:uid="{00000000-0004-0000-0000-000020030000}"/>
    <hyperlink ref="P803" r:id="rId802" xr:uid="{00000000-0004-0000-0000-000021030000}"/>
    <hyperlink ref="P804" r:id="rId803" xr:uid="{00000000-0004-0000-0000-000022030000}"/>
    <hyperlink ref="P805" r:id="rId804" xr:uid="{00000000-0004-0000-0000-000023030000}"/>
    <hyperlink ref="P806" r:id="rId805" xr:uid="{00000000-0004-0000-0000-000024030000}"/>
    <hyperlink ref="P807" r:id="rId806" xr:uid="{00000000-0004-0000-0000-000025030000}"/>
    <hyperlink ref="P808" r:id="rId807" xr:uid="{00000000-0004-0000-0000-000026030000}"/>
    <hyperlink ref="P809" r:id="rId808" xr:uid="{00000000-0004-0000-0000-000027030000}"/>
    <hyperlink ref="P810" r:id="rId809" xr:uid="{00000000-0004-0000-0000-000028030000}"/>
    <hyperlink ref="P811" r:id="rId810" xr:uid="{00000000-0004-0000-0000-000029030000}"/>
    <hyperlink ref="P812" r:id="rId811" xr:uid="{00000000-0004-0000-0000-00002A030000}"/>
    <hyperlink ref="P813" r:id="rId812" xr:uid="{00000000-0004-0000-0000-00002B030000}"/>
    <hyperlink ref="P814" r:id="rId813" xr:uid="{00000000-0004-0000-0000-00002C030000}"/>
    <hyperlink ref="P815" r:id="rId814" xr:uid="{00000000-0004-0000-0000-00002D030000}"/>
    <hyperlink ref="P816" r:id="rId815" xr:uid="{00000000-0004-0000-0000-00002E030000}"/>
    <hyperlink ref="P817" r:id="rId816" xr:uid="{00000000-0004-0000-0000-00002F030000}"/>
    <hyperlink ref="P818" r:id="rId817" xr:uid="{00000000-0004-0000-0000-000030030000}"/>
    <hyperlink ref="P819" r:id="rId818" xr:uid="{00000000-0004-0000-0000-000031030000}"/>
    <hyperlink ref="P820" r:id="rId819" xr:uid="{00000000-0004-0000-0000-000032030000}"/>
    <hyperlink ref="P821" r:id="rId820" xr:uid="{00000000-0004-0000-0000-000033030000}"/>
    <hyperlink ref="P822" r:id="rId821" xr:uid="{00000000-0004-0000-0000-000034030000}"/>
    <hyperlink ref="P823" r:id="rId822" xr:uid="{00000000-0004-0000-0000-000035030000}"/>
    <hyperlink ref="P824" r:id="rId823" xr:uid="{00000000-0004-0000-0000-000036030000}"/>
    <hyperlink ref="P825" r:id="rId824" xr:uid="{00000000-0004-0000-0000-000037030000}"/>
    <hyperlink ref="P826" r:id="rId825" xr:uid="{00000000-0004-0000-0000-000038030000}"/>
    <hyperlink ref="P827" r:id="rId826" xr:uid="{00000000-0004-0000-0000-000039030000}"/>
    <hyperlink ref="P828" r:id="rId827" xr:uid="{00000000-0004-0000-0000-00003A030000}"/>
    <hyperlink ref="P829" r:id="rId828" xr:uid="{00000000-0004-0000-0000-00003B030000}"/>
    <hyperlink ref="P830" r:id="rId829" xr:uid="{00000000-0004-0000-0000-00003C030000}"/>
    <hyperlink ref="P831" r:id="rId830" xr:uid="{00000000-0004-0000-0000-00003D030000}"/>
    <hyperlink ref="P832" r:id="rId831" xr:uid="{00000000-0004-0000-0000-00003E030000}"/>
    <hyperlink ref="P833" r:id="rId832" xr:uid="{00000000-0004-0000-0000-00003F030000}"/>
    <hyperlink ref="P834" r:id="rId833" xr:uid="{00000000-0004-0000-0000-000040030000}"/>
    <hyperlink ref="P835" r:id="rId834" xr:uid="{00000000-0004-0000-0000-000041030000}"/>
    <hyperlink ref="P836" r:id="rId835" xr:uid="{00000000-0004-0000-0000-000042030000}"/>
    <hyperlink ref="P837" r:id="rId836" xr:uid="{00000000-0004-0000-0000-000043030000}"/>
    <hyperlink ref="P838" r:id="rId837" xr:uid="{00000000-0004-0000-0000-000044030000}"/>
    <hyperlink ref="P839" r:id="rId838" xr:uid="{00000000-0004-0000-0000-000045030000}"/>
    <hyperlink ref="P840" r:id="rId839" xr:uid="{00000000-0004-0000-0000-000046030000}"/>
    <hyperlink ref="P841" r:id="rId840" xr:uid="{00000000-0004-0000-0000-000047030000}"/>
    <hyperlink ref="P842" r:id="rId841" xr:uid="{00000000-0004-0000-0000-000048030000}"/>
    <hyperlink ref="P843" r:id="rId842" xr:uid="{00000000-0004-0000-0000-000049030000}"/>
    <hyperlink ref="P844" r:id="rId843" xr:uid="{00000000-0004-0000-0000-00004A030000}"/>
    <hyperlink ref="P845" r:id="rId844" xr:uid="{00000000-0004-0000-0000-00004B030000}"/>
    <hyperlink ref="P846" r:id="rId845" xr:uid="{00000000-0004-0000-0000-00004C030000}"/>
    <hyperlink ref="P847" r:id="rId846" xr:uid="{00000000-0004-0000-0000-00004D030000}"/>
    <hyperlink ref="P848" r:id="rId847" xr:uid="{00000000-0004-0000-0000-00004E030000}"/>
    <hyperlink ref="P849" r:id="rId848" xr:uid="{00000000-0004-0000-0000-00004F030000}"/>
    <hyperlink ref="P850" r:id="rId849" xr:uid="{00000000-0004-0000-0000-000050030000}"/>
    <hyperlink ref="P851" r:id="rId850" xr:uid="{00000000-0004-0000-0000-000051030000}"/>
    <hyperlink ref="P852" r:id="rId851" xr:uid="{00000000-0004-0000-0000-000052030000}"/>
    <hyperlink ref="P853" r:id="rId852" xr:uid="{00000000-0004-0000-0000-000053030000}"/>
    <hyperlink ref="P854" r:id="rId853" xr:uid="{00000000-0004-0000-0000-000054030000}"/>
    <hyperlink ref="P855" r:id="rId854" xr:uid="{00000000-0004-0000-0000-000055030000}"/>
    <hyperlink ref="P856" r:id="rId855" xr:uid="{00000000-0004-0000-0000-000056030000}"/>
    <hyperlink ref="P857" r:id="rId856" xr:uid="{00000000-0004-0000-0000-000057030000}"/>
    <hyperlink ref="P858" r:id="rId857" xr:uid="{00000000-0004-0000-0000-000058030000}"/>
    <hyperlink ref="P859" r:id="rId858" xr:uid="{00000000-0004-0000-0000-000059030000}"/>
    <hyperlink ref="P860" r:id="rId859" xr:uid="{00000000-0004-0000-0000-00005A030000}"/>
    <hyperlink ref="P861" r:id="rId860" xr:uid="{00000000-0004-0000-0000-00005B030000}"/>
    <hyperlink ref="P862" r:id="rId861" xr:uid="{00000000-0004-0000-0000-00005C030000}"/>
    <hyperlink ref="P863" r:id="rId862" xr:uid="{00000000-0004-0000-0000-00005D030000}"/>
    <hyperlink ref="P864" r:id="rId863" xr:uid="{00000000-0004-0000-0000-00005E030000}"/>
    <hyperlink ref="P865" r:id="rId864" xr:uid="{00000000-0004-0000-0000-00005F030000}"/>
    <hyperlink ref="P866" r:id="rId865" xr:uid="{00000000-0004-0000-0000-000060030000}"/>
    <hyperlink ref="P867" r:id="rId866" xr:uid="{00000000-0004-0000-0000-000061030000}"/>
    <hyperlink ref="P868" r:id="rId867" xr:uid="{00000000-0004-0000-0000-000062030000}"/>
    <hyperlink ref="P869" r:id="rId868" xr:uid="{00000000-0004-0000-0000-000063030000}"/>
    <hyperlink ref="P870" r:id="rId869" xr:uid="{00000000-0004-0000-0000-000064030000}"/>
    <hyperlink ref="P871" r:id="rId870" xr:uid="{00000000-0004-0000-0000-000065030000}"/>
    <hyperlink ref="P872" r:id="rId871" xr:uid="{00000000-0004-0000-0000-000066030000}"/>
    <hyperlink ref="P873" r:id="rId872" xr:uid="{00000000-0004-0000-0000-000067030000}"/>
    <hyperlink ref="P874" r:id="rId873" xr:uid="{00000000-0004-0000-0000-000068030000}"/>
    <hyperlink ref="P875" r:id="rId874" xr:uid="{00000000-0004-0000-0000-000069030000}"/>
    <hyperlink ref="P876" r:id="rId875" xr:uid="{00000000-0004-0000-0000-00006A030000}"/>
    <hyperlink ref="P877" r:id="rId876" xr:uid="{00000000-0004-0000-0000-00006B030000}"/>
    <hyperlink ref="P878" r:id="rId877" xr:uid="{00000000-0004-0000-0000-00006C030000}"/>
    <hyperlink ref="P879" r:id="rId878" xr:uid="{00000000-0004-0000-0000-00006D030000}"/>
    <hyperlink ref="P880" r:id="rId879" xr:uid="{00000000-0004-0000-0000-00006E030000}"/>
    <hyperlink ref="P881" r:id="rId880" xr:uid="{00000000-0004-0000-0000-00006F030000}"/>
    <hyperlink ref="P882" r:id="rId881" xr:uid="{00000000-0004-0000-0000-000070030000}"/>
    <hyperlink ref="P883" r:id="rId882" xr:uid="{00000000-0004-0000-0000-000071030000}"/>
    <hyperlink ref="P884" r:id="rId883" xr:uid="{00000000-0004-0000-0000-000072030000}"/>
    <hyperlink ref="P885" r:id="rId884" xr:uid="{00000000-0004-0000-0000-000073030000}"/>
    <hyperlink ref="P886" r:id="rId885" xr:uid="{00000000-0004-0000-0000-000074030000}"/>
    <hyperlink ref="P887" r:id="rId886" xr:uid="{00000000-0004-0000-0000-000075030000}"/>
    <hyperlink ref="P888" r:id="rId887" xr:uid="{00000000-0004-0000-0000-000076030000}"/>
    <hyperlink ref="P889" r:id="rId888" xr:uid="{00000000-0004-0000-0000-000077030000}"/>
    <hyperlink ref="P890" r:id="rId889" xr:uid="{00000000-0004-0000-0000-000078030000}"/>
    <hyperlink ref="P891" r:id="rId890" xr:uid="{00000000-0004-0000-0000-000079030000}"/>
    <hyperlink ref="P892" r:id="rId891" xr:uid="{00000000-0004-0000-0000-00007A030000}"/>
    <hyperlink ref="P893" r:id="rId892" xr:uid="{00000000-0004-0000-0000-00007B030000}"/>
    <hyperlink ref="P894" r:id="rId893" xr:uid="{00000000-0004-0000-0000-00007C030000}"/>
    <hyperlink ref="P895" r:id="rId894" xr:uid="{00000000-0004-0000-0000-00007D030000}"/>
    <hyperlink ref="P896" r:id="rId895" xr:uid="{00000000-0004-0000-0000-00007E030000}"/>
    <hyperlink ref="P897" r:id="rId896" xr:uid="{00000000-0004-0000-0000-00007F030000}"/>
    <hyperlink ref="P898" r:id="rId897" xr:uid="{00000000-0004-0000-0000-000080030000}"/>
    <hyperlink ref="P899" r:id="rId898" xr:uid="{00000000-0004-0000-0000-000081030000}"/>
    <hyperlink ref="P900" r:id="rId899" xr:uid="{00000000-0004-0000-0000-000082030000}"/>
    <hyperlink ref="P901" r:id="rId900" xr:uid="{00000000-0004-0000-0000-000083030000}"/>
    <hyperlink ref="P902" r:id="rId901" xr:uid="{00000000-0004-0000-0000-000084030000}"/>
    <hyperlink ref="P903" r:id="rId902" xr:uid="{00000000-0004-0000-0000-000085030000}"/>
    <hyperlink ref="P904" r:id="rId903" xr:uid="{00000000-0004-0000-0000-000086030000}"/>
    <hyperlink ref="P905" r:id="rId904" xr:uid="{00000000-0004-0000-0000-000087030000}"/>
    <hyperlink ref="P906" r:id="rId905" xr:uid="{00000000-0004-0000-0000-000088030000}"/>
    <hyperlink ref="P907" r:id="rId906" xr:uid="{00000000-0004-0000-0000-000089030000}"/>
    <hyperlink ref="P908" r:id="rId907" xr:uid="{00000000-0004-0000-0000-00008A030000}"/>
    <hyperlink ref="P909" r:id="rId908" xr:uid="{00000000-0004-0000-0000-00008B030000}"/>
    <hyperlink ref="P910" r:id="rId909" xr:uid="{00000000-0004-0000-0000-00008C030000}"/>
    <hyperlink ref="P911" r:id="rId910" xr:uid="{00000000-0004-0000-0000-00008D030000}"/>
    <hyperlink ref="P912" r:id="rId911" xr:uid="{00000000-0004-0000-0000-00008E030000}"/>
    <hyperlink ref="P913" r:id="rId912" xr:uid="{00000000-0004-0000-0000-00008F030000}"/>
    <hyperlink ref="P914" r:id="rId913" xr:uid="{00000000-0004-0000-0000-000090030000}"/>
    <hyperlink ref="P915" r:id="rId914" xr:uid="{00000000-0004-0000-0000-000091030000}"/>
    <hyperlink ref="P916" r:id="rId915" xr:uid="{00000000-0004-0000-0000-000092030000}"/>
    <hyperlink ref="P917" r:id="rId916" xr:uid="{00000000-0004-0000-0000-000093030000}"/>
    <hyperlink ref="P918" r:id="rId917" xr:uid="{00000000-0004-0000-0000-000094030000}"/>
    <hyperlink ref="P919" r:id="rId918" xr:uid="{00000000-0004-0000-0000-000095030000}"/>
    <hyperlink ref="P920" r:id="rId919" xr:uid="{00000000-0004-0000-0000-000096030000}"/>
    <hyperlink ref="P921" r:id="rId920" xr:uid="{00000000-0004-0000-0000-000097030000}"/>
    <hyperlink ref="P922" r:id="rId921" xr:uid="{00000000-0004-0000-0000-000098030000}"/>
    <hyperlink ref="P923" r:id="rId922" xr:uid="{00000000-0004-0000-0000-000099030000}"/>
    <hyperlink ref="P924" r:id="rId923" xr:uid="{00000000-0004-0000-0000-00009A030000}"/>
    <hyperlink ref="P925" r:id="rId924" xr:uid="{00000000-0004-0000-0000-00009B030000}"/>
    <hyperlink ref="P926" r:id="rId925" xr:uid="{00000000-0004-0000-0000-00009C030000}"/>
    <hyperlink ref="P927" r:id="rId926" xr:uid="{00000000-0004-0000-0000-00009D030000}"/>
    <hyperlink ref="P928" r:id="rId927" xr:uid="{00000000-0004-0000-0000-00009E030000}"/>
    <hyperlink ref="P929" r:id="rId928" xr:uid="{00000000-0004-0000-0000-00009F030000}"/>
    <hyperlink ref="P930" r:id="rId929" xr:uid="{00000000-0004-0000-0000-0000A0030000}"/>
    <hyperlink ref="P931" r:id="rId930" xr:uid="{00000000-0004-0000-0000-0000A1030000}"/>
    <hyperlink ref="P932" r:id="rId931" xr:uid="{00000000-0004-0000-0000-0000A2030000}"/>
    <hyperlink ref="P933" r:id="rId932" xr:uid="{00000000-0004-0000-0000-0000A3030000}"/>
    <hyperlink ref="P934" r:id="rId933" xr:uid="{00000000-0004-0000-0000-0000A4030000}"/>
    <hyperlink ref="P935" r:id="rId934" xr:uid="{00000000-0004-0000-0000-0000A5030000}"/>
    <hyperlink ref="P936" r:id="rId935" xr:uid="{00000000-0004-0000-0000-0000A6030000}"/>
    <hyperlink ref="P937" r:id="rId936" xr:uid="{00000000-0004-0000-0000-0000A7030000}"/>
    <hyperlink ref="P938" r:id="rId937" xr:uid="{00000000-0004-0000-0000-0000A8030000}"/>
    <hyperlink ref="P939" r:id="rId938" xr:uid="{00000000-0004-0000-0000-0000A9030000}"/>
    <hyperlink ref="P940" r:id="rId939" xr:uid="{00000000-0004-0000-0000-0000AA030000}"/>
    <hyperlink ref="P941" r:id="rId940" xr:uid="{00000000-0004-0000-0000-0000AB030000}"/>
    <hyperlink ref="P942" r:id="rId941" xr:uid="{00000000-0004-0000-0000-0000AC030000}"/>
    <hyperlink ref="P943" r:id="rId942" xr:uid="{00000000-0004-0000-0000-0000AD030000}"/>
    <hyperlink ref="P944" r:id="rId943" xr:uid="{00000000-0004-0000-0000-0000AE030000}"/>
    <hyperlink ref="P945" r:id="rId944" xr:uid="{00000000-0004-0000-0000-0000AF030000}"/>
    <hyperlink ref="P946" r:id="rId945" xr:uid="{00000000-0004-0000-0000-0000B0030000}"/>
    <hyperlink ref="P947" r:id="rId946" xr:uid="{00000000-0004-0000-0000-0000B1030000}"/>
    <hyperlink ref="P948" r:id="rId947" xr:uid="{00000000-0004-0000-0000-0000B2030000}"/>
    <hyperlink ref="P949" r:id="rId948" xr:uid="{00000000-0004-0000-0000-0000B3030000}"/>
    <hyperlink ref="P950" r:id="rId949" xr:uid="{00000000-0004-0000-0000-0000B4030000}"/>
    <hyperlink ref="P951" r:id="rId950" xr:uid="{00000000-0004-0000-0000-0000B5030000}"/>
    <hyperlink ref="P952" r:id="rId951" xr:uid="{00000000-0004-0000-0000-0000B6030000}"/>
    <hyperlink ref="P953" r:id="rId952" xr:uid="{00000000-0004-0000-0000-0000B7030000}"/>
    <hyperlink ref="P954" r:id="rId953" xr:uid="{00000000-0004-0000-0000-0000B8030000}"/>
    <hyperlink ref="P955" r:id="rId954" xr:uid="{00000000-0004-0000-0000-0000B9030000}"/>
    <hyperlink ref="P956" r:id="rId955" xr:uid="{00000000-0004-0000-0000-0000BA030000}"/>
    <hyperlink ref="P957" r:id="rId956" xr:uid="{00000000-0004-0000-0000-0000BB030000}"/>
    <hyperlink ref="P958" r:id="rId957" xr:uid="{00000000-0004-0000-0000-0000BC030000}"/>
    <hyperlink ref="P959" r:id="rId958" xr:uid="{00000000-0004-0000-0000-0000BD030000}"/>
    <hyperlink ref="P960" r:id="rId959" xr:uid="{00000000-0004-0000-0000-0000BE030000}"/>
    <hyperlink ref="P961" r:id="rId960" xr:uid="{00000000-0004-0000-0000-0000BF030000}"/>
    <hyperlink ref="P962" r:id="rId961" xr:uid="{00000000-0004-0000-0000-0000C0030000}"/>
    <hyperlink ref="P963" r:id="rId962" xr:uid="{00000000-0004-0000-0000-0000C1030000}"/>
    <hyperlink ref="P964" r:id="rId963" xr:uid="{00000000-0004-0000-0000-0000C2030000}"/>
    <hyperlink ref="P965" r:id="rId964" xr:uid="{00000000-0004-0000-0000-0000C3030000}"/>
    <hyperlink ref="P966" r:id="rId965" xr:uid="{00000000-0004-0000-0000-0000C4030000}"/>
    <hyperlink ref="P967" r:id="rId966" xr:uid="{00000000-0004-0000-0000-0000C5030000}"/>
    <hyperlink ref="P968" r:id="rId967" xr:uid="{00000000-0004-0000-0000-0000C6030000}"/>
    <hyperlink ref="P969" r:id="rId968" xr:uid="{00000000-0004-0000-0000-0000C7030000}"/>
    <hyperlink ref="P970" r:id="rId969" xr:uid="{00000000-0004-0000-0000-0000C8030000}"/>
    <hyperlink ref="P971" r:id="rId970" xr:uid="{00000000-0004-0000-0000-0000C9030000}"/>
    <hyperlink ref="P972" r:id="rId971" xr:uid="{00000000-0004-0000-0000-0000CA030000}"/>
    <hyperlink ref="P973" r:id="rId972" xr:uid="{00000000-0004-0000-0000-0000CB030000}"/>
    <hyperlink ref="P974" r:id="rId973" xr:uid="{00000000-0004-0000-0000-0000CC030000}"/>
    <hyperlink ref="P975" r:id="rId974" xr:uid="{00000000-0004-0000-0000-0000CD030000}"/>
    <hyperlink ref="P976" r:id="rId975" xr:uid="{00000000-0004-0000-0000-0000CE030000}"/>
    <hyperlink ref="P977" r:id="rId976" xr:uid="{00000000-0004-0000-0000-0000CF030000}"/>
    <hyperlink ref="P978" r:id="rId977" xr:uid="{00000000-0004-0000-0000-0000D0030000}"/>
    <hyperlink ref="P979" r:id="rId978" xr:uid="{00000000-0004-0000-0000-0000D1030000}"/>
    <hyperlink ref="P980" r:id="rId979" xr:uid="{00000000-0004-0000-0000-0000D2030000}"/>
    <hyperlink ref="P981" r:id="rId980" xr:uid="{00000000-0004-0000-0000-0000D3030000}"/>
    <hyperlink ref="P982" r:id="rId981" xr:uid="{00000000-0004-0000-0000-0000D4030000}"/>
    <hyperlink ref="P983" r:id="rId982" xr:uid="{00000000-0004-0000-0000-0000D5030000}"/>
    <hyperlink ref="P984" r:id="rId983" xr:uid="{00000000-0004-0000-0000-0000D6030000}"/>
    <hyperlink ref="P985" r:id="rId984" xr:uid="{00000000-0004-0000-0000-0000D7030000}"/>
    <hyperlink ref="P986" r:id="rId985" xr:uid="{00000000-0004-0000-0000-0000D8030000}"/>
    <hyperlink ref="P987" r:id="rId986" xr:uid="{00000000-0004-0000-0000-0000D9030000}"/>
    <hyperlink ref="P988" r:id="rId987" xr:uid="{00000000-0004-0000-0000-0000DA030000}"/>
    <hyperlink ref="P989" r:id="rId988" xr:uid="{00000000-0004-0000-0000-0000DB030000}"/>
    <hyperlink ref="P990" r:id="rId989" xr:uid="{00000000-0004-0000-0000-0000DC030000}"/>
    <hyperlink ref="P991" r:id="rId990" xr:uid="{00000000-0004-0000-0000-0000DD030000}"/>
    <hyperlink ref="P992" r:id="rId991" xr:uid="{00000000-0004-0000-0000-0000DE030000}"/>
    <hyperlink ref="P993" r:id="rId992" xr:uid="{00000000-0004-0000-0000-0000DF030000}"/>
    <hyperlink ref="P994" r:id="rId993" xr:uid="{00000000-0004-0000-0000-0000E0030000}"/>
    <hyperlink ref="P995" r:id="rId994" xr:uid="{00000000-0004-0000-0000-0000E1030000}"/>
    <hyperlink ref="P996" r:id="rId995" xr:uid="{00000000-0004-0000-0000-0000E2030000}"/>
    <hyperlink ref="P997" r:id="rId996" xr:uid="{00000000-0004-0000-0000-0000E3030000}"/>
    <hyperlink ref="P998" r:id="rId997" xr:uid="{00000000-0004-0000-0000-0000E4030000}"/>
    <hyperlink ref="P999" r:id="rId998" xr:uid="{00000000-0004-0000-0000-0000E5030000}"/>
    <hyperlink ref="P1000" r:id="rId999" xr:uid="{00000000-0004-0000-0000-0000E6030000}"/>
    <hyperlink ref="P1001" r:id="rId1000" xr:uid="{00000000-0004-0000-0000-0000E703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Otodom Poland (1).exe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devyanjali srivastava</dc:creator>
  <cp:lastModifiedBy>devyanjali srivastava</cp:lastModifiedBy>
  <dcterms:created xsi:type="dcterms:W3CDTF">2024-02-03T12:22:39Z</dcterms:created>
  <dcterms:modified xsi:type="dcterms:W3CDTF">2024-02-03T12:22:39Z</dcterms:modified>
</cp:coreProperties>
</file>