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330" windowHeight="4485" tabRatio="581"/>
  </bookViews>
  <sheets>
    <sheet name="Asumsi" sheetId="8" r:id="rId1"/>
    <sheet name="Harga" sheetId="11" r:id="rId2"/>
    <sheet name="I-O" sheetId="1" r:id="rId3"/>
    <sheet name="P-Budget" sheetId="6" r:id="rId4"/>
    <sheet name="S-Budget" sheetId="5" r:id="rId5"/>
    <sheet name="PAM Table" sheetId="2" r:id="rId6"/>
    <sheet name="Prod" sheetId="9" r:id="rId7"/>
    <sheet name="Pupuk" sheetId="10" r:id="rId8"/>
    <sheet name="Parit" sheetId="12" r:id="rId9"/>
    <sheet name="P-Cashflow" sheetId="4" r:id="rId10"/>
    <sheet name="S-Cashflow" sheetId="7" r:id="rId11"/>
  </sheets>
  <calcPr calcId="125725"/>
</workbook>
</file>

<file path=xl/calcChain.xml><?xml version="1.0" encoding="utf-8"?>
<calcChain xmlns="http://schemas.openxmlformats.org/spreadsheetml/2006/main">
  <c r="G8" i="9"/>
  <c r="C29" i="1"/>
  <c r="G9" i="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C74" i="1"/>
  <c r="C73"/>
  <c r="D54" i="11"/>
  <c r="C54"/>
  <c r="D35"/>
  <c r="D34"/>
  <c r="C35"/>
  <c r="C34"/>
  <c r="H12" i="8"/>
  <c r="H11"/>
  <c r="D49" i="11"/>
  <c r="C49"/>
  <c r="E49" i="6" s="1"/>
  <c r="C15" i="8"/>
  <c r="D15" s="1"/>
  <c r="D36" i="9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8"/>
  <c r="F36"/>
  <c r="E36"/>
  <c r="D60" i="6"/>
  <c r="C60"/>
  <c r="D60" i="5"/>
  <c r="D26" i="12"/>
  <c r="F30" i="11"/>
  <c r="E9" i="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8"/>
  <c r="D54" i="5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C54"/>
  <c r="D49" i="6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C49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C35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C34"/>
  <c r="F19" i="12"/>
  <c r="H54" i="6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F54"/>
  <c r="G54"/>
  <c r="D54"/>
  <c r="E54"/>
  <c r="C54"/>
  <c r="C4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49"/>
  <c r="D25" i="12"/>
  <c r="C25"/>
  <c r="C26"/>
  <c r="D18"/>
  <c r="C60" i="5"/>
  <c r="D53" i="11"/>
  <c r="D52"/>
  <c r="D51"/>
  <c r="D50"/>
  <c r="E50" i="5" s="1"/>
  <c r="D47" i="11"/>
  <c r="D29"/>
  <c r="E29" i="5" s="1"/>
  <c r="C53" i="11"/>
  <c r="C52"/>
  <c r="C51"/>
  <c r="C50"/>
  <c r="C47"/>
  <c r="C29"/>
  <c r="D29" i="6" s="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2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T29"/>
  <c r="X29"/>
  <c r="AB29"/>
  <c r="AE29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C16"/>
  <c r="D78" i="5"/>
  <c r="C78"/>
  <c r="D61"/>
  <c r="D63" s="1"/>
  <c r="C7" i="7" s="1"/>
  <c r="E61" i="5"/>
  <c r="E63" s="1"/>
  <c r="D7" i="7" s="1"/>
  <c r="F61" i="5"/>
  <c r="F63" s="1"/>
  <c r="E7" i="7" s="1"/>
  <c r="G61" i="5"/>
  <c r="G63" s="1"/>
  <c r="F7" i="7" s="1"/>
  <c r="H61" i="5"/>
  <c r="H63" s="1"/>
  <c r="G7" i="7" s="1"/>
  <c r="I61" i="5"/>
  <c r="I63" s="1"/>
  <c r="J61"/>
  <c r="J63" s="1"/>
  <c r="I7" i="7" s="1"/>
  <c r="K61" i="5"/>
  <c r="K63" s="1"/>
  <c r="L61"/>
  <c r="L63" s="1"/>
  <c r="K7" i="7" s="1"/>
  <c r="M61" i="5"/>
  <c r="M63" s="1"/>
  <c r="N61"/>
  <c r="N63" s="1"/>
  <c r="M7" i="7" s="1"/>
  <c r="O61" i="5"/>
  <c r="O63" s="1"/>
  <c r="P61"/>
  <c r="P63" s="1"/>
  <c r="O7" i="7" s="1"/>
  <c r="Q61" i="5"/>
  <c r="Q63" s="1"/>
  <c r="R61"/>
  <c r="R63" s="1"/>
  <c r="Q7" i="7" s="1"/>
  <c r="S61" i="5"/>
  <c r="S63" s="1"/>
  <c r="T61"/>
  <c r="T63" s="1"/>
  <c r="S7" i="7" s="1"/>
  <c r="U61" i="5"/>
  <c r="U63" s="1"/>
  <c r="V61"/>
  <c r="V63" s="1"/>
  <c r="U7" i="7" s="1"/>
  <c r="W61" i="5"/>
  <c r="W63" s="1"/>
  <c r="V7" i="7" s="1"/>
  <c r="X61" i="5"/>
  <c r="X63" s="1"/>
  <c r="W7" i="7" s="1"/>
  <c r="Y61" i="5"/>
  <c r="Y63" s="1"/>
  <c r="X7" i="7" s="1"/>
  <c r="Z61" i="5"/>
  <c r="Z63" s="1"/>
  <c r="Y7" i="7" s="1"/>
  <c r="AA61" i="5"/>
  <c r="AA63" s="1"/>
  <c r="Z7" i="7" s="1"/>
  <c r="AB61" i="5"/>
  <c r="AB63" s="1"/>
  <c r="AC61"/>
  <c r="AC63" s="1"/>
  <c r="AD61"/>
  <c r="AD63" s="1"/>
  <c r="AE61"/>
  <c r="AE63" s="1"/>
  <c r="AF61"/>
  <c r="AF63" s="1"/>
  <c r="C61"/>
  <c r="C63" s="1"/>
  <c r="B7" i="7" s="1"/>
  <c r="D13" i="5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D29"/>
  <c r="F29"/>
  <c r="H29"/>
  <c r="J29"/>
  <c r="L29"/>
  <c r="N29"/>
  <c r="P29"/>
  <c r="R29"/>
  <c r="T29"/>
  <c r="V29"/>
  <c r="X29"/>
  <c r="Z29"/>
  <c r="AB29"/>
  <c r="AD29"/>
  <c r="AF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D50"/>
  <c r="F50"/>
  <c r="H50"/>
  <c r="J50"/>
  <c r="L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D53"/>
  <c r="E53"/>
  <c r="F53"/>
  <c r="F78" s="1"/>
  <c r="F79" s="1"/>
  <c r="G53"/>
  <c r="H53"/>
  <c r="H78" s="1"/>
  <c r="H79" s="1"/>
  <c r="I53"/>
  <c r="J53"/>
  <c r="J78" s="1"/>
  <c r="J79" s="1"/>
  <c r="K53"/>
  <c r="L53"/>
  <c r="L78" s="1"/>
  <c r="L79" s="1"/>
  <c r="M53"/>
  <c r="N53"/>
  <c r="N78" s="1"/>
  <c r="N79" s="1"/>
  <c r="O53"/>
  <c r="P53"/>
  <c r="P78" s="1"/>
  <c r="P79" s="1"/>
  <c r="Q53"/>
  <c r="R53"/>
  <c r="R78" s="1"/>
  <c r="R79" s="1"/>
  <c r="S53"/>
  <c r="T53"/>
  <c r="T78" s="1"/>
  <c r="T79" s="1"/>
  <c r="U53"/>
  <c r="V53"/>
  <c r="V78" s="1"/>
  <c r="V79" s="1"/>
  <c r="W53"/>
  <c r="X53"/>
  <c r="X78" s="1"/>
  <c r="X79" s="1"/>
  <c r="Y53"/>
  <c r="Z53"/>
  <c r="Z78" s="1"/>
  <c r="Z79" s="1"/>
  <c r="AA53"/>
  <c r="AB53"/>
  <c r="AC53"/>
  <c r="AD53"/>
  <c r="AE53"/>
  <c r="AF53"/>
  <c r="E77"/>
  <c r="F77"/>
  <c r="G77"/>
  <c r="G78"/>
  <c r="H77"/>
  <c r="I77"/>
  <c r="I78"/>
  <c r="J77"/>
  <c r="K77"/>
  <c r="K78"/>
  <c r="L77"/>
  <c r="M77"/>
  <c r="M78"/>
  <c r="N77"/>
  <c r="O77"/>
  <c r="O78"/>
  <c r="P77"/>
  <c r="Q77"/>
  <c r="Q78"/>
  <c r="R77"/>
  <c r="S77"/>
  <c r="S78"/>
  <c r="T77"/>
  <c r="U77"/>
  <c r="U78"/>
  <c r="V77"/>
  <c r="W77"/>
  <c r="W78"/>
  <c r="X77"/>
  <c r="Y77"/>
  <c r="Y78"/>
  <c r="Z77"/>
  <c r="AA77"/>
  <c r="AA78"/>
  <c r="AB77"/>
  <c r="AC77"/>
  <c r="AD77"/>
  <c r="AE77"/>
  <c r="AF77"/>
  <c r="C53"/>
  <c r="C52"/>
  <c r="C51"/>
  <c r="C50"/>
  <c r="C47"/>
  <c r="C42"/>
  <c r="C40"/>
  <c r="C38"/>
  <c r="C32"/>
  <c r="C31"/>
  <c r="C30"/>
  <c r="C29"/>
  <c r="C24"/>
  <c r="C23"/>
  <c r="C22"/>
  <c r="C21"/>
  <c r="C20"/>
  <c r="C17"/>
  <c r="C16"/>
  <c r="C13"/>
  <c r="D80" i="6"/>
  <c r="C80"/>
  <c r="L19" i="9"/>
  <c r="L18"/>
  <c r="L17"/>
  <c r="L16"/>
  <c r="L15"/>
  <c r="L14"/>
  <c r="L13"/>
  <c r="L12"/>
  <c r="D61" i="6"/>
  <c r="D63" s="1"/>
  <c r="C7" i="4" s="1"/>
  <c r="E61" i="6"/>
  <c r="E63" s="1"/>
  <c r="D7" i="4" s="1"/>
  <c r="F61" i="6"/>
  <c r="F63" s="1"/>
  <c r="E7" i="4" s="1"/>
  <c r="G61" i="6"/>
  <c r="G63" s="1"/>
  <c r="F7" i="4" s="1"/>
  <c r="H61" i="6"/>
  <c r="H63" s="1"/>
  <c r="G7" i="4" s="1"/>
  <c r="I61" i="6"/>
  <c r="I63" s="1"/>
  <c r="H7" i="4" s="1"/>
  <c r="J61" i="6"/>
  <c r="J63" s="1"/>
  <c r="I7" i="4" s="1"/>
  <c r="K61" i="6"/>
  <c r="K63" s="1"/>
  <c r="J7" i="4" s="1"/>
  <c r="L61" i="6"/>
  <c r="L63" s="1"/>
  <c r="K7" i="4" s="1"/>
  <c r="M61" i="6"/>
  <c r="M63" s="1"/>
  <c r="L7" i="4" s="1"/>
  <c r="N61" i="6"/>
  <c r="N63" s="1"/>
  <c r="M7" i="4" s="1"/>
  <c r="O61" i="6"/>
  <c r="O63" s="1"/>
  <c r="N7" i="4" s="1"/>
  <c r="P61" i="6"/>
  <c r="P63" s="1"/>
  <c r="O7" i="4" s="1"/>
  <c r="Q61" i="6"/>
  <c r="Q63" s="1"/>
  <c r="P7" i="4" s="1"/>
  <c r="R61" i="6"/>
  <c r="R63" s="1"/>
  <c r="Q7" i="4" s="1"/>
  <c r="S61" i="6"/>
  <c r="S63" s="1"/>
  <c r="R7" i="4" s="1"/>
  <c r="T61" i="6"/>
  <c r="T63" s="1"/>
  <c r="S7" i="4" s="1"/>
  <c r="U61" i="6"/>
  <c r="U63" s="1"/>
  <c r="T7" i="4" s="1"/>
  <c r="V61" i="6"/>
  <c r="V63" s="1"/>
  <c r="U7" i="4" s="1"/>
  <c r="W61" i="6"/>
  <c r="W63" s="1"/>
  <c r="V7" i="4" s="1"/>
  <c r="X61" i="6"/>
  <c r="X63" s="1"/>
  <c r="W7" i="4" s="1"/>
  <c r="Y61" i="6"/>
  <c r="Y63" s="1"/>
  <c r="X7" i="4" s="1"/>
  <c r="Z61" i="6"/>
  <c r="Z63" s="1"/>
  <c r="Y7" i="4" s="1"/>
  <c r="AA61" i="6"/>
  <c r="AA63" s="1"/>
  <c r="Z7" i="4" s="1"/>
  <c r="AB61" i="6"/>
  <c r="AB63" s="1"/>
  <c r="AA7" i="4" s="1"/>
  <c r="AC61" i="6"/>
  <c r="AC63" s="1"/>
  <c r="AB7" i="4" s="1"/>
  <c r="AD61" i="6"/>
  <c r="AD63" s="1"/>
  <c r="AC7" i="4" s="1"/>
  <c r="AE61" i="6"/>
  <c r="AE63" s="1"/>
  <c r="AD7" i="4" s="1"/>
  <c r="AF61" i="6"/>
  <c r="AF63" s="1"/>
  <c r="AE7" i="4" s="1"/>
  <c r="C61" i="6"/>
  <c r="C63" s="1"/>
  <c r="B7" i="4" s="1"/>
  <c r="E79" i="6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C53"/>
  <c r="C52"/>
  <c r="C51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D47"/>
  <c r="C47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C42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C40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C38"/>
  <c r="C31"/>
  <c r="C29"/>
  <c r="C30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C24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C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C22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C2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C20"/>
  <c r="D17"/>
  <c r="C17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C13"/>
  <c r="D10" i="11"/>
  <c r="E30" i="10"/>
  <c r="D10" i="1"/>
  <c r="D10" i="6"/>
  <c r="F30" i="10"/>
  <c r="E10" i="1"/>
  <c r="E10" i="6" s="1"/>
  <c r="E25" s="1"/>
  <c r="D9" i="4" s="1"/>
  <c r="G30" i="10"/>
  <c r="F10" i="1"/>
  <c r="F10" i="6"/>
  <c r="H30" i="10"/>
  <c r="G10" i="1"/>
  <c r="G10" i="6" s="1"/>
  <c r="G25" s="1"/>
  <c r="F9" i="4" s="1"/>
  <c r="I30" i="10"/>
  <c r="H10" i="1"/>
  <c r="H10" i="6"/>
  <c r="J30" i="10"/>
  <c r="I10" i="1"/>
  <c r="I10" i="6" s="1"/>
  <c r="I25" s="1"/>
  <c r="H9" i="4" s="1"/>
  <c r="K30" i="10"/>
  <c r="J10" i="1"/>
  <c r="J10" i="6"/>
  <c r="L30" i="10"/>
  <c r="K10" i="1"/>
  <c r="K10" i="6" s="1"/>
  <c r="K25" s="1"/>
  <c r="J9" i="4" s="1"/>
  <c r="M30" i="10"/>
  <c r="L10" i="1"/>
  <c r="L10" i="6"/>
  <c r="N30" i="10"/>
  <c r="M10" i="1"/>
  <c r="M10" i="6" s="1"/>
  <c r="M25" s="1"/>
  <c r="L9" i="4" s="1"/>
  <c r="O30" i="10"/>
  <c r="N10" i="1"/>
  <c r="N10" i="6"/>
  <c r="P30" i="10"/>
  <c r="O10" i="1"/>
  <c r="O10" i="6" s="1"/>
  <c r="O25" s="1"/>
  <c r="N9" i="4" s="1"/>
  <c r="Q30" i="10"/>
  <c r="P10" i="1"/>
  <c r="P10" i="6"/>
  <c r="R30" i="10"/>
  <c r="Q10" i="1"/>
  <c r="Q10" i="6" s="1"/>
  <c r="Q25" s="1"/>
  <c r="P9" i="4" s="1"/>
  <c r="S30" i="10"/>
  <c r="R10" i="1"/>
  <c r="R10" i="6"/>
  <c r="T30" i="10"/>
  <c r="S10" i="1"/>
  <c r="S10" i="6" s="1"/>
  <c r="S25" s="1"/>
  <c r="R9" i="4" s="1"/>
  <c r="U30" i="10"/>
  <c r="T10" i="1"/>
  <c r="T10" i="6"/>
  <c r="V30" i="10"/>
  <c r="U10" i="1"/>
  <c r="U10" i="6" s="1"/>
  <c r="U25" s="1"/>
  <c r="T9" i="4" s="1"/>
  <c r="W30" i="10"/>
  <c r="V10" i="1"/>
  <c r="V10" i="6"/>
  <c r="X30" i="10"/>
  <c r="W10" i="1"/>
  <c r="W10" i="6" s="1"/>
  <c r="W25" s="1"/>
  <c r="V9" i="4" s="1"/>
  <c r="Y30" i="10"/>
  <c r="X10" i="1"/>
  <c r="X10" i="6"/>
  <c r="Z30" i="10"/>
  <c r="Y10" i="1"/>
  <c r="Y10" i="6" s="1"/>
  <c r="Y25" s="1"/>
  <c r="X9" i="4" s="1"/>
  <c r="AA30" i="10"/>
  <c r="Z10" i="1"/>
  <c r="Z10" i="6"/>
  <c r="AB30" i="10"/>
  <c r="AA10" i="1"/>
  <c r="AA10" i="6" s="1"/>
  <c r="AA25" s="1"/>
  <c r="Z9" i="4" s="1"/>
  <c r="AC30" i="10"/>
  <c r="AB10" i="1"/>
  <c r="AB10" i="6"/>
  <c r="AD30" i="10"/>
  <c r="AC10" i="1"/>
  <c r="AC10" i="6" s="1"/>
  <c r="AC25" s="1"/>
  <c r="AB9" i="4" s="1"/>
  <c r="AE30" i="10"/>
  <c r="AD10" i="1"/>
  <c r="AD10" i="6"/>
  <c r="AF30" i="10"/>
  <c r="AE10" i="1"/>
  <c r="AE10" i="6" s="1"/>
  <c r="AE25" s="1"/>
  <c r="AD9" i="4" s="1"/>
  <c r="AG30" i="10"/>
  <c r="AF10" i="1"/>
  <c r="AF10" i="6"/>
  <c r="D30" i="10"/>
  <c r="C10" i="1"/>
  <c r="C10" i="6" s="1"/>
  <c r="C25" s="1"/>
  <c r="B9" i="4" s="1"/>
  <c r="E29" i="10"/>
  <c r="D9" i="1"/>
  <c r="F29" i="10"/>
  <c r="E9" i="1"/>
  <c r="G29" i="10"/>
  <c r="F9" i="1"/>
  <c r="H29" i="10"/>
  <c r="G9" i="1"/>
  <c r="I29" i="10"/>
  <c r="H9" i="1"/>
  <c r="J29" i="10"/>
  <c r="I9" i="1"/>
  <c r="K29" i="10"/>
  <c r="J9" i="1"/>
  <c r="L29" i="10"/>
  <c r="K9" i="1"/>
  <c r="M29" i="10"/>
  <c r="L9" i="1"/>
  <c r="N29" i="10"/>
  <c r="M9" i="1"/>
  <c r="O29" i="10"/>
  <c r="N9" i="1"/>
  <c r="P29" i="10"/>
  <c r="O9" i="1"/>
  <c r="Q29" i="10"/>
  <c r="P9" i="1"/>
  <c r="R29" i="10"/>
  <c r="Q9" i="1"/>
  <c r="S29" i="10"/>
  <c r="R9" i="1"/>
  <c r="T29" i="10"/>
  <c r="S9" i="1"/>
  <c r="U29" i="10"/>
  <c r="T9" i="1"/>
  <c r="V29" i="10"/>
  <c r="U9" i="1"/>
  <c r="W29" i="10"/>
  <c r="V9" i="1"/>
  <c r="X29" i="10"/>
  <c r="W9" i="1"/>
  <c r="Y29" i="10"/>
  <c r="X9" i="1"/>
  <c r="Z29" i="10"/>
  <c r="Y9" i="1"/>
  <c r="AA29" i="10"/>
  <c r="Z9" i="1"/>
  <c r="AB29" i="10"/>
  <c r="AA9" i="1"/>
  <c r="AC29" i="10"/>
  <c r="AB9" i="1"/>
  <c r="AD29" i="10"/>
  <c r="AC9" i="1"/>
  <c r="AE29" i="10"/>
  <c r="AD9" i="1"/>
  <c r="AF29" i="10"/>
  <c r="AE9" i="1"/>
  <c r="AG29" i="10"/>
  <c r="AF9" i="1"/>
  <c r="D29" i="10"/>
  <c r="C9" i="1"/>
  <c r="E28" i="10"/>
  <c r="D8" i="1"/>
  <c r="F28" i="10"/>
  <c r="E8" i="1"/>
  <c r="G28" i="10"/>
  <c r="F8" i="1"/>
  <c r="H28" i="10"/>
  <c r="G8" i="1"/>
  <c r="I28" i="10"/>
  <c r="H8" i="1"/>
  <c r="J28" i="10"/>
  <c r="I8" i="1"/>
  <c r="K28" i="10"/>
  <c r="J8" i="1"/>
  <c r="L28" i="10"/>
  <c r="K8" i="1"/>
  <c r="M28" i="10"/>
  <c r="L8" i="1"/>
  <c r="N28" i="10"/>
  <c r="M8" i="1"/>
  <c r="O28" i="10"/>
  <c r="N8" i="1"/>
  <c r="P28" i="10"/>
  <c r="O8" i="1"/>
  <c r="Q28" i="10"/>
  <c r="P8" i="1"/>
  <c r="R28" i="10"/>
  <c r="Q8" i="1"/>
  <c r="S28" i="10"/>
  <c r="R8" i="1"/>
  <c r="T28" i="10"/>
  <c r="S8" i="1"/>
  <c r="U28" i="10"/>
  <c r="T8" i="1"/>
  <c r="V28" i="10"/>
  <c r="U8" i="1"/>
  <c r="W28" i="10"/>
  <c r="V8" i="1"/>
  <c r="X28" i="10"/>
  <c r="W8" i="1"/>
  <c r="Y28" i="10"/>
  <c r="X8" i="1"/>
  <c r="Z28" i="10"/>
  <c r="Y8" i="1"/>
  <c r="AA28" i="10"/>
  <c r="Z8" i="1"/>
  <c r="AB28" i="10"/>
  <c r="AA8" i="1"/>
  <c r="AC28" i="10"/>
  <c r="AB8" i="1"/>
  <c r="AD28" i="10"/>
  <c r="AC8" i="1"/>
  <c r="AE28" i="10"/>
  <c r="AD8" i="1"/>
  <c r="AF28" i="10"/>
  <c r="AE8" i="1"/>
  <c r="AG28" i="10"/>
  <c r="AF8" i="1"/>
  <c r="D28" i="10"/>
  <c r="C8" i="1"/>
  <c r="C8" i="5"/>
  <c r="C25" s="1"/>
  <c r="B9" i="7" s="1"/>
  <c r="K19" i="9"/>
  <c r="K18"/>
  <c r="K17"/>
  <c r="K16"/>
  <c r="K15"/>
  <c r="K14"/>
  <c r="K13"/>
  <c r="K12"/>
  <c r="D8" i="8"/>
  <c r="AB56" i="1"/>
  <c r="AB64"/>
  <c r="AC56"/>
  <c r="AC64"/>
  <c r="AD56"/>
  <c r="AD64"/>
  <c r="AE56"/>
  <c r="AE64"/>
  <c r="AF56"/>
  <c r="AF64"/>
  <c r="D79" i="5"/>
  <c r="C79"/>
  <c r="C80" s="1"/>
  <c r="C57" s="1"/>
  <c r="D81" i="6"/>
  <c r="C81"/>
  <c r="C82" s="1"/>
  <c r="C56" i="1"/>
  <c r="C64" s="1"/>
  <c r="D56"/>
  <c r="D64"/>
  <c r="E56"/>
  <c r="E64"/>
  <c r="F56"/>
  <c r="F64"/>
  <c r="G56"/>
  <c r="G64"/>
  <c r="H56"/>
  <c r="H64"/>
  <c r="I56"/>
  <c r="I64"/>
  <c r="J56"/>
  <c r="J64"/>
  <c r="K56"/>
  <c r="K64"/>
  <c r="L56"/>
  <c r="L64"/>
  <c r="M56"/>
  <c r="M64"/>
  <c r="N56"/>
  <c r="N64"/>
  <c r="O56"/>
  <c r="O64"/>
  <c r="P56"/>
  <c r="P64"/>
  <c r="Q56"/>
  <c r="Q64"/>
  <c r="R56"/>
  <c r="R64"/>
  <c r="S56"/>
  <c r="S64"/>
  <c r="T56"/>
  <c r="T64"/>
  <c r="U56"/>
  <c r="U64"/>
  <c r="V56"/>
  <c r="V64"/>
  <c r="W56"/>
  <c r="W64"/>
  <c r="X56"/>
  <c r="X64"/>
  <c r="Y56"/>
  <c r="Y64"/>
  <c r="Z56"/>
  <c r="Z64"/>
  <c r="AA56"/>
  <c r="AA64"/>
  <c r="AA79" i="5"/>
  <c r="Y79"/>
  <c r="W79"/>
  <c r="U79"/>
  <c r="S79"/>
  <c r="Q79"/>
  <c r="O79"/>
  <c r="M79"/>
  <c r="K79"/>
  <c r="I79"/>
  <c r="G79"/>
  <c r="B28" i="2"/>
  <c r="C28"/>
  <c r="C50" i="6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X55" s="1"/>
  <c r="W10" i="4" s="1"/>
  <c r="Y50" i="6"/>
  <c r="Z50"/>
  <c r="AA50"/>
  <c r="AB50"/>
  <c r="AC50"/>
  <c r="AD50"/>
  <c r="AE50"/>
  <c r="AF50"/>
  <c r="C8"/>
  <c r="AF8" i="5"/>
  <c r="AF8" i="6"/>
  <c r="AE8" i="5"/>
  <c r="AE8" i="6"/>
  <c r="AD8" i="5"/>
  <c r="AD8" i="6"/>
  <c r="AC8" i="5"/>
  <c r="AC8" i="6"/>
  <c r="AB8" i="5"/>
  <c r="AB8" i="6"/>
  <c r="AA8" i="5"/>
  <c r="AA8" i="6"/>
  <c r="Z8" i="5"/>
  <c r="Z8" i="6"/>
  <c r="Y8" i="5"/>
  <c r="Y8" i="6"/>
  <c r="X8" i="5"/>
  <c r="X8" i="6"/>
  <c r="W8" i="5"/>
  <c r="W8" i="6"/>
  <c r="V8" i="5"/>
  <c r="V8" i="6"/>
  <c r="U8" i="5"/>
  <c r="U8" i="6"/>
  <c r="T8" i="5"/>
  <c r="T8" i="6"/>
  <c r="S8" i="5"/>
  <c r="S8" i="6"/>
  <c r="R8" i="5"/>
  <c r="R8" i="6"/>
  <c r="Q8" i="5"/>
  <c r="Q8" i="6"/>
  <c r="P8" i="5"/>
  <c r="P8" i="6"/>
  <c r="O8" i="5"/>
  <c r="O8" i="6"/>
  <c r="N8" i="5"/>
  <c r="N8" i="6"/>
  <c r="M8" i="5"/>
  <c r="M8" i="6"/>
  <c r="L8" i="5"/>
  <c r="L8" i="6"/>
  <c r="K8" i="5"/>
  <c r="K8" i="6"/>
  <c r="J8" i="5"/>
  <c r="J8" i="6"/>
  <c r="I8" i="5"/>
  <c r="I8" i="6"/>
  <c r="H8" i="5"/>
  <c r="H8" i="6"/>
  <c r="G8" i="5"/>
  <c r="G8" i="6"/>
  <c r="F8" i="5"/>
  <c r="F8" i="6"/>
  <c r="E8" i="5"/>
  <c r="E8" i="6"/>
  <c r="D8" i="5"/>
  <c r="D8" i="6"/>
  <c r="C9" i="5"/>
  <c r="C9" i="6"/>
  <c r="AF9" i="5"/>
  <c r="AF9" i="6"/>
  <c r="AE9" i="5"/>
  <c r="AE9" i="6"/>
  <c r="AD9" i="5"/>
  <c r="AD9" i="6"/>
  <c r="AC9" i="5"/>
  <c r="AC9" i="6"/>
  <c r="AB9" i="5"/>
  <c r="AB9" i="6"/>
  <c r="AA9" i="5"/>
  <c r="AA9" i="6"/>
  <c r="Z9" i="5"/>
  <c r="Z9" i="6"/>
  <c r="Y9" i="5"/>
  <c r="Y9" i="6"/>
  <c r="X9" i="5"/>
  <c r="X9" i="6"/>
  <c r="W9" i="5"/>
  <c r="W9" i="6"/>
  <c r="V9" i="5"/>
  <c r="V9" i="6"/>
  <c r="U9" i="5"/>
  <c r="U9" i="6"/>
  <c r="T9" i="5"/>
  <c r="T9" i="6"/>
  <c r="S9" i="5"/>
  <c r="S9" i="6"/>
  <c r="R9" i="5"/>
  <c r="R9" i="6"/>
  <c r="Q9" i="5"/>
  <c r="Q9" i="6"/>
  <c r="P9" i="5"/>
  <c r="P9" i="6"/>
  <c r="O9" i="5"/>
  <c r="O9" i="6"/>
  <c r="N9" i="5"/>
  <c r="N9" i="6"/>
  <c r="M9" i="5"/>
  <c r="M9" i="6"/>
  <c r="L9" i="5"/>
  <c r="L9" i="6"/>
  <c r="K9" i="5"/>
  <c r="K9" i="6"/>
  <c r="J9" i="5"/>
  <c r="J9" i="6"/>
  <c r="I9" i="5"/>
  <c r="I9" i="6"/>
  <c r="H9" i="5"/>
  <c r="H9" i="6"/>
  <c r="G9" i="5"/>
  <c r="G9" i="6"/>
  <c r="F9" i="5"/>
  <c r="F9" i="6"/>
  <c r="E9" i="5"/>
  <c r="E9" i="6"/>
  <c r="D9" i="5"/>
  <c r="D9" i="6"/>
  <c r="B22" i="7"/>
  <c r="C68" i="1"/>
  <c r="B22" i="4"/>
  <c r="AF55" i="5"/>
  <c r="AD55"/>
  <c r="AB55"/>
  <c r="Z55"/>
  <c r="Y10" i="7" s="1"/>
  <c r="X55" i="5"/>
  <c r="W10" i="7" s="1"/>
  <c r="V55" i="5"/>
  <c r="U10" i="7" s="1"/>
  <c r="T55" i="5"/>
  <c r="S10" i="7" s="1"/>
  <c r="R55" i="5"/>
  <c r="Q10" i="7" s="1"/>
  <c r="P55" i="5"/>
  <c r="O10" i="7" s="1"/>
  <c r="N55" i="5"/>
  <c r="M10" i="7" s="1"/>
  <c r="L55" i="5"/>
  <c r="K10" i="7" s="1"/>
  <c r="J55" i="5"/>
  <c r="I10" i="7" s="1"/>
  <c r="H55" i="5"/>
  <c r="G10" i="7" s="1"/>
  <c r="F55" i="5"/>
  <c r="E10" i="7" s="1"/>
  <c r="D55" i="5"/>
  <c r="C10" i="7" s="1"/>
  <c r="AF78" i="5"/>
  <c r="AF79" s="1"/>
  <c r="AE78"/>
  <c r="AE79" s="1"/>
  <c r="AD78"/>
  <c r="AD79" s="1"/>
  <c r="AC78"/>
  <c r="AC79" s="1"/>
  <c r="AB78"/>
  <c r="AB79" s="1"/>
  <c r="AB80" s="1"/>
  <c r="AB57" s="1"/>
  <c r="C10"/>
  <c r="AF10"/>
  <c r="AE10"/>
  <c r="AE25"/>
  <c r="AD10"/>
  <c r="AC10"/>
  <c r="AC25" s="1"/>
  <c r="AB10"/>
  <c r="AA10"/>
  <c r="AA25"/>
  <c r="Z10"/>
  <c r="Y10"/>
  <c r="Y25" s="1"/>
  <c r="X10"/>
  <c r="W10"/>
  <c r="W25"/>
  <c r="V10"/>
  <c r="U10"/>
  <c r="U25" s="1"/>
  <c r="T10"/>
  <c r="S10"/>
  <c r="S25"/>
  <c r="R10"/>
  <c r="Q10"/>
  <c r="Q25" s="1"/>
  <c r="P10"/>
  <c r="O10"/>
  <c r="O25"/>
  <c r="N10"/>
  <c r="M10"/>
  <c r="M25" s="1"/>
  <c r="L10"/>
  <c r="K10"/>
  <c r="K25"/>
  <c r="J10"/>
  <c r="I10"/>
  <c r="I25" s="1"/>
  <c r="H10"/>
  <c r="G10"/>
  <c r="G25"/>
  <c r="F10"/>
  <c r="E10"/>
  <c r="E25" s="1"/>
  <c r="D9" i="7" s="1"/>
  <c r="D10" i="5"/>
  <c r="T55" i="6"/>
  <c r="S10" i="4" s="1"/>
  <c r="Z25" i="6"/>
  <c r="Y9" i="4" s="1"/>
  <c r="X25" i="6"/>
  <c r="W9" i="4" s="1"/>
  <c r="V25" i="6"/>
  <c r="U9" i="4" s="1"/>
  <c r="T25" i="6"/>
  <c r="S9" i="4" s="1"/>
  <c r="R25" i="6"/>
  <c r="Q9" i="4" s="1"/>
  <c r="P25" i="6"/>
  <c r="O9" i="4" s="1"/>
  <c r="N25" i="6"/>
  <c r="M9" i="4" s="1"/>
  <c r="L25" i="6"/>
  <c r="K9" i="4" s="1"/>
  <c r="J25" i="6"/>
  <c r="I9" i="4" s="1"/>
  <c r="H25" i="6"/>
  <c r="G9" i="4" s="1"/>
  <c r="F25" i="6"/>
  <c r="E9" i="4"/>
  <c r="D25" i="6"/>
  <c r="AB55"/>
  <c r="AA10" i="4" s="1"/>
  <c r="AE55" i="6"/>
  <c r="AD10" i="4" s="1"/>
  <c r="C55" i="6"/>
  <c r="G80"/>
  <c r="G81" s="1"/>
  <c r="F80"/>
  <c r="F81" s="1"/>
  <c r="C9" i="4"/>
  <c r="AF80" i="6"/>
  <c r="AF81" s="1"/>
  <c r="AE80"/>
  <c r="AE81" s="1"/>
  <c r="AD80"/>
  <c r="AD81" s="1"/>
  <c r="AC80"/>
  <c r="AC81" s="1"/>
  <c r="AB80"/>
  <c r="AB81" s="1"/>
  <c r="AA80"/>
  <c r="AA81" s="1"/>
  <c r="Z80"/>
  <c r="Z81" s="1"/>
  <c r="Y80"/>
  <c r="Y81" s="1"/>
  <c r="X80"/>
  <c r="X81" s="1"/>
  <c r="W80"/>
  <c r="W81" s="1"/>
  <c r="V80"/>
  <c r="V81" s="1"/>
  <c r="U80"/>
  <c r="U81" s="1"/>
  <c r="T80"/>
  <c r="T81" s="1"/>
  <c r="S80"/>
  <c r="S81" s="1"/>
  <c r="R80"/>
  <c r="R81" s="1"/>
  <c r="Q80"/>
  <c r="Q81" s="1"/>
  <c r="P80"/>
  <c r="P81" s="1"/>
  <c r="O80"/>
  <c r="O81" s="1"/>
  <c r="N80"/>
  <c r="N81" s="1"/>
  <c r="M80"/>
  <c r="M81" s="1"/>
  <c r="L80"/>
  <c r="L81" s="1"/>
  <c r="K80"/>
  <c r="K81" s="1"/>
  <c r="J80"/>
  <c r="J81" s="1"/>
  <c r="I80"/>
  <c r="I81" s="1"/>
  <c r="H80"/>
  <c r="H81" s="1"/>
  <c r="E80"/>
  <c r="E81" s="1"/>
  <c r="E82" s="1"/>
  <c r="E57" s="1"/>
  <c r="AB25"/>
  <c r="AA9" i="4"/>
  <c r="AD25" i="6"/>
  <c r="AC9" i="4"/>
  <c r="AF25" i="6"/>
  <c r="AE9" i="4"/>
  <c r="F9" i="7"/>
  <c r="J9"/>
  <c r="N9"/>
  <c r="R9"/>
  <c r="V9"/>
  <c r="Z9"/>
  <c r="AF29" i="6" l="1"/>
  <c r="AF55" s="1"/>
  <c r="AE10" i="4" s="1"/>
  <c r="AD29" i="6"/>
  <c r="AD55" s="1"/>
  <c r="AC10" i="4" s="1"/>
  <c r="Z29" i="6"/>
  <c r="Z55" s="1"/>
  <c r="Y10" i="4" s="1"/>
  <c r="V29" i="6"/>
  <c r="V55" s="1"/>
  <c r="U10" i="4" s="1"/>
  <c r="O29" i="6"/>
  <c r="O55" s="1"/>
  <c r="N10" i="4" s="1"/>
  <c r="L49" i="6"/>
  <c r="K49"/>
  <c r="AC29"/>
  <c r="AC55" s="1"/>
  <c r="AB10" i="4" s="1"/>
  <c r="AA29" i="6"/>
  <c r="AA55" s="1"/>
  <c r="Z10" i="4" s="1"/>
  <c r="Y29" i="6"/>
  <c r="Y55" s="1"/>
  <c r="X10" i="4" s="1"/>
  <c r="W29" i="6"/>
  <c r="W55" s="1"/>
  <c r="V10" i="4" s="1"/>
  <c r="U29" i="6"/>
  <c r="U55" s="1"/>
  <c r="T10" i="4" s="1"/>
  <c r="S29" i="6"/>
  <c r="S55" s="1"/>
  <c r="R10" i="4" s="1"/>
  <c r="K29" i="6"/>
  <c r="K55" s="1"/>
  <c r="J10" i="4" s="1"/>
  <c r="J49" i="6"/>
  <c r="G29"/>
  <c r="Q29"/>
  <c r="Q55" s="1"/>
  <c r="P10" i="4" s="1"/>
  <c r="M29" i="6"/>
  <c r="M55" s="1"/>
  <c r="L10" i="4" s="1"/>
  <c r="I29" i="6"/>
  <c r="E29"/>
  <c r="E55" s="1"/>
  <c r="AA80" i="5"/>
  <c r="AA57" s="1"/>
  <c r="K80"/>
  <c r="K57" s="1"/>
  <c r="E55"/>
  <c r="D10" i="7" s="1"/>
  <c r="M50" i="5"/>
  <c r="K50"/>
  <c r="I50"/>
  <c r="G50"/>
  <c r="AE29"/>
  <c r="AE55" s="1"/>
  <c r="AC29"/>
  <c r="AC55" s="1"/>
  <c r="AA29"/>
  <c r="AA55" s="1"/>
  <c r="Z10" i="7" s="1"/>
  <c r="Y29" i="5"/>
  <c r="Y55" s="1"/>
  <c r="X10" i="7" s="1"/>
  <c r="W29" i="5"/>
  <c r="W55" s="1"/>
  <c r="V10" i="7" s="1"/>
  <c r="U29" i="5"/>
  <c r="U55" s="1"/>
  <c r="T10" i="7" s="1"/>
  <c r="S29" i="5"/>
  <c r="S55" s="1"/>
  <c r="R10" i="7" s="1"/>
  <c r="Q29" i="5"/>
  <c r="Q55" s="1"/>
  <c r="P10" i="7" s="1"/>
  <c r="O29" i="5"/>
  <c r="O55" s="1"/>
  <c r="N10" i="7" s="1"/>
  <c r="M29" i="5"/>
  <c r="M55" s="1"/>
  <c r="L10" i="7" s="1"/>
  <c r="K29" i="5"/>
  <c r="K55" s="1"/>
  <c r="J10" i="7" s="1"/>
  <c r="I29" i="5"/>
  <c r="I55" s="1"/>
  <c r="H10" i="7" s="1"/>
  <c r="G29" i="5"/>
  <c r="G55" s="1"/>
  <c r="F10" i="7" s="1"/>
  <c r="O80" i="5"/>
  <c r="O57" s="1"/>
  <c r="S80"/>
  <c r="S57" s="1"/>
  <c r="W80"/>
  <c r="W57" s="1"/>
  <c r="X80"/>
  <c r="X57" s="1"/>
  <c r="AC80"/>
  <c r="AC57" s="1"/>
  <c r="AE80"/>
  <c r="AE57" s="1"/>
  <c r="AE64" s="1"/>
  <c r="T80"/>
  <c r="T57" s="1"/>
  <c r="Z11" i="7"/>
  <c r="AA64" i="5"/>
  <c r="AD80"/>
  <c r="AD57" s="1"/>
  <c r="AF80"/>
  <c r="AF57" s="1"/>
  <c r="P80"/>
  <c r="P57" s="1"/>
  <c r="H80"/>
  <c r="H57" s="1"/>
  <c r="L80"/>
  <c r="L57" s="1"/>
  <c r="G80"/>
  <c r="G57" s="1"/>
  <c r="I80"/>
  <c r="I57" s="1"/>
  <c r="H11" i="7" s="1"/>
  <c r="M80" i="5"/>
  <c r="M57" s="1"/>
  <c r="L11" i="7" s="1"/>
  <c r="Q80" i="5"/>
  <c r="Q57" s="1"/>
  <c r="P11" i="7" s="1"/>
  <c r="U80" i="5"/>
  <c r="U57" s="1"/>
  <c r="T11" i="7" s="1"/>
  <c r="Y80" i="5"/>
  <c r="Y57" s="1"/>
  <c r="X11" i="7" s="1"/>
  <c r="H49" i="6"/>
  <c r="D55"/>
  <c r="C10" i="4" s="1"/>
  <c r="I49" i="6"/>
  <c r="I55" s="1"/>
  <c r="H10" i="4" s="1"/>
  <c r="G49" i="6"/>
  <c r="G55" s="1"/>
  <c r="F10" i="4" s="1"/>
  <c r="R29" i="6"/>
  <c r="R55" s="1"/>
  <c r="Q10" i="4" s="1"/>
  <c r="P29" i="6"/>
  <c r="P55" s="1"/>
  <c r="O10" i="4" s="1"/>
  <c r="N29" i="6"/>
  <c r="N55" s="1"/>
  <c r="M10" i="4" s="1"/>
  <c r="L29" i="6"/>
  <c r="L55" s="1"/>
  <c r="K10" i="4" s="1"/>
  <c r="J29" i="6"/>
  <c r="J55" s="1"/>
  <c r="I10" i="4" s="1"/>
  <c r="H29" i="6"/>
  <c r="F29"/>
  <c r="F49"/>
  <c r="I82"/>
  <c r="I57" s="1"/>
  <c r="K82"/>
  <c r="K57" s="1"/>
  <c r="M82"/>
  <c r="M57" s="1"/>
  <c r="M64" s="1"/>
  <c r="O82"/>
  <c r="O57" s="1"/>
  <c r="Q82"/>
  <c r="Q57" s="1"/>
  <c r="Q64" s="1"/>
  <c r="S82"/>
  <c r="S57" s="1"/>
  <c r="U82"/>
  <c r="U57" s="1"/>
  <c r="U64" s="1"/>
  <c r="W82"/>
  <c r="W57" s="1"/>
  <c r="Y82"/>
  <c r="Y57" s="1"/>
  <c r="Y64" s="1"/>
  <c r="AA82"/>
  <c r="AA57" s="1"/>
  <c r="AC82"/>
  <c r="AE82"/>
  <c r="AE57" s="1"/>
  <c r="G82"/>
  <c r="G57" s="1"/>
  <c r="H9" i="7"/>
  <c r="I64" i="5"/>
  <c r="H8" i="7" s="1"/>
  <c r="P9"/>
  <c r="Q64" i="5"/>
  <c r="P8" i="7" s="1"/>
  <c r="X9"/>
  <c r="Y64" i="5"/>
  <c r="L9" i="7"/>
  <c r="T9"/>
  <c r="V11"/>
  <c r="W64" i="5"/>
  <c r="R11" i="7"/>
  <c r="S64" i="5"/>
  <c r="R8" i="7" s="1"/>
  <c r="N11"/>
  <c r="O64" i="5"/>
  <c r="N8" i="7" s="1"/>
  <c r="J11"/>
  <c r="K64" i="5"/>
  <c r="J8" i="7" s="1"/>
  <c r="AB7"/>
  <c r="B5" i="2" s="1"/>
  <c r="B13" s="1"/>
  <c r="T7" i="7"/>
  <c r="R7"/>
  <c r="P7"/>
  <c r="N7"/>
  <c r="L7"/>
  <c r="J7"/>
  <c r="H7"/>
  <c r="AA7" s="1"/>
  <c r="AA65" i="5"/>
  <c r="Z12" i="7" s="1"/>
  <c r="D80" i="5"/>
  <c r="E78"/>
  <c r="E79" s="1"/>
  <c r="F80" s="1"/>
  <c r="F57" s="1"/>
  <c r="AE65"/>
  <c r="AC64"/>
  <c r="AC65" s="1"/>
  <c r="H82" i="6"/>
  <c r="H57" s="1"/>
  <c r="G11" i="4" s="1"/>
  <c r="Z80" i="5"/>
  <c r="Z57" s="1"/>
  <c r="Y11" i="7" s="1"/>
  <c r="V80" i="5"/>
  <c r="V57" s="1"/>
  <c r="R80"/>
  <c r="R57" s="1"/>
  <c r="Q11" i="7" s="1"/>
  <c r="N80" i="5"/>
  <c r="N57" s="1"/>
  <c r="J80"/>
  <c r="J57" s="1"/>
  <c r="I11" i="7" s="1"/>
  <c r="D82" i="6"/>
  <c r="D57" s="1"/>
  <c r="D64" s="1"/>
  <c r="AF25" i="5"/>
  <c r="AF64" s="1"/>
  <c r="AF65" s="1"/>
  <c r="AD25"/>
  <c r="AB25"/>
  <c r="Z25"/>
  <c r="Y9" i="7" s="1"/>
  <c r="X25" i="5"/>
  <c r="W9" i="7" s="1"/>
  <c r="V25" i="5"/>
  <c r="U9" i="7" s="1"/>
  <c r="T25" i="5"/>
  <c r="S9" i="7" s="1"/>
  <c r="R25" i="5"/>
  <c r="Q9" i="7" s="1"/>
  <c r="P25" i="5"/>
  <c r="O9" i="7" s="1"/>
  <c r="N25" i="5"/>
  <c r="M9" i="7" s="1"/>
  <c r="L25" i="5"/>
  <c r="K9" i="7" s="1"/>
  <c r="J25" i="5"/>
  <c r="I9" i="7" s="1"/>
  <c r="H25" i="5"/>
  <c r="G9" i="7" s="1"/>
  <c r="F25" i="5"/>
  <c r="E9" i="7" s="1"/>
  <c r="D25" i="5"/>
  <c r="C9" i="7" s="1"/>
  <c r="AB9" s="1"/>
  <c r="C5" i="2" s="1"/>
  <c r="C13" s="1"/>
  <c r="C55" i="5"/>
  <c r="B10" i="7" s="1"/>
  <c r="C72" i="1"/>
  <c r="B21" i="7"/>
  <c r="B27" i="2"/>
  <c r="C71" i="1"/>
  <c r="C67"/>
  <c r="C66"/>
  <c r="B23" i="7"/>
  <c r="L14" i="8"/>
  <c r="B29" i="2"/>
  <c r="C27"/>
  <c r="C29"/>
  <c r="C70" i="1"/>
  <c r="C76" s="1"/>
  <c r="G15" i="8" s="1"/>
  <c r="B21" i="4"/>
  <c r="B23"/>
  <c r="AA9" i="7"/>
  <c r="AB64" i="5"/>
  <c r="AB65" s="1"/>
  <c r="AD64"/>
  <c r="AD65" s="1"/>
  <c r="AG9" i="4"/>
  <c r="C4" i="2" s="1"/>
  <c r="AF9" i="4"/>
  <c r="Z8" i="7"/>
  <c r="B10" i="4"/>
  <c r="AG7"/>
  <c r="B4" i="2" s="1"/>
  <c r="AF7" i="4"/>
  <c r="W11" i="7"/>
  <c r="X64" i="5"/>
  <c r="S11" i="7"/>
  <c r="T64" i="5"/>
  <c r="O11" i="7"/>
  <c r="P64" i="5"/>
  <c r="K11" i="7"/>
  <c r="L64" i="5"/>
  <c r="G11" i="7"/>
  <c r="H64" i="5"/>
  <c r="G64"/>
  <c r="F11" i="7"/>
  <c r="C64" i="5"/>
  <c r="B11" i="7"/>
  <c r="D57" i="5"/>
  <c r="E80"/>
  <c r="E57" s="1"/>
  <c r="Z64"/>
  <c r="U11" i="7"/>
  <c r="V64" i="5"/>
  <c r="R64"/>
  <c r="M11" i="7"/>
  <c r="N64" i="5"/>
  <c r="J64"/>
  <c r="J82" i="6"/>
  <c r="J57" s="1"/>
  <c r="L82"/>
  <c r="L57" s="1"/>
  <c r="N82"/>
  <c r="N57" s="1"/>
  <c r="P82"/>
  <c r="P57" s="1"/>
  <c r="R82"/>
  <c r="R57" s="1"/>
  <c r="T82"/>
  <c r="T57" s="1"/>
  <c r="V82"/>
  <c r="V57" s="1"/>
  <c r="X82"/>
  <c r="X57" s="1"/>
  <c r="Z82"/>
  <c r="Z57" s="1"/>
  <c r="AB82"/>
  <c r="AB57" s="1"/>
  <c r="AD82"/>
  <c r="AD57" s="1"/>
  <c r="AF82"/>
  <c r="AF57" s="1"/>
  <c r="F82"/>
  <c r="F57" s="1"/>
  <c r="D11" i="4"/>
  <c r="H11"/>
  <c r="K64" i="6"/>
  <c r="J11" i="4"/>
  <c r="L11"/>
  <c r="O64" i="6"/>
  <c r="N11" i="4"/>
  <c r="P11"/>
  <c r="S64" i="6"/>
  <c r="R11" i="4"/>
  <c r="T11"/>
  <c r="W64" i="6"/>
  <c r="V11" i="4"/>
  <c r="X11"/>
  <c r="AA64" i="6"/>
  <c r="Z11" i="4"/>
  <c r="AD11"/>
  <c r="AE64" i="6"/>
  <c r="C57"/>
  <c r="B11" i="4" s="1"/>
  <c r="C11"/>
  <c r="G64" i="6" l="1"/>
  <c r="D10" i="4"/>
  <c r="E64" i="6"/>
  <c r="I64"/>
  <c r="H55"/>
  <c r="G10" i="4" s="1"/>
  <c r="U64" i="5"/>
  <c r="T8" i="7" s="1"/>
  <c r="M64" i="5"/>
  <c r="L8" i="7" s="1"/>
  <c r="B73" i="5"/>
  <c r="I65"/>
  <c r="H12" i="7" s="1"/>
  <c r="K65" i="5"/>
  <c r="J12" i="7" s="1"/>
  <c r="M65" i="5"/>
  <c r="L12" i="7" s="1"/>
  <c r="O65" i="5"/>
  <c r="N12" i="7" s="1"/>
  <c r="Q65" i="5"/>
  <c r="P12" i="7" s="1"/>
  <c r="S65" i="5"/>
  <c r="R12" i="7" s="1"/>
  <c r="F11" i="4"/>
  <c r="F55" i="6"/>
  <c r="F64" s="1"/>
  <c r="H64"/>
  <c r="AA10" i="7"/>
  <c r="AB10"/>
  <c r="D5" i="2" s="1"/>
  <c r="D13" s="1"/>
  <c r="C64" i="6"/>
  <c r="C65" s="1"/>
  <c r="AG82"/>
  <c r="AC57" s="1"/>
  <c r="W65" i="5"/>
  <c r="V12" i="7" s="1"/>
  <c r="V8"/>
  <c r="Y65" i="5"/>
  <c r="X12" i="7" s="1"/>
  <c r="X8"/>
  <c r="C12" i="2"/>
  <c r="C6"/>
  <c r="C14" s="1"/>
  <c r="B6"/>
  <c r="B14" s="1"/>
  <c r="B12"/>
  <c r="E11" i="7"/>
  <c r="F64" i="5"/>
  <c r="C11" i="7"/>
  <c r="D64" i="5"/>
  <c r="C65"/>
  <c r="J12" i="8"/>
  <c r="B8" i="7"/>
  <c r="G65" i="5"/>
  <c r="F12" i="7" s="1"/>
  <c r="F8"/>
  <c r="J65" i="5"/>
  <c r="I12" i="7" s="1"/>
  <c r="I8"/>
  <c r="N65" i="5"/>
  <c r="M12" i="7" s="1"/>
  <c r="M8"/>
  <c r="R65" i="5"/>
  <c r="Q12" i="7" s="1"/>
  <c r="Q8"/>
  <c r="V65" i="5"/>
  <c r="U12" i="7" s="1"/>
  <c r="U8"/>
  <c r="Z65" i="5"/>
  <c r="Y12" i="7" s="1"/>
  <c r="Y8"/>
  <c r="E64" i="5"/>
  <c r="D11" i="7"/>
  <c r="AB11" s="1"/>
  <c r="E5" i="2" s="1"/>
  <c r="E13" s="1"/>
  <c r="H65" i="5"/>
  <c r="G12" i="7" s="1"/>
  <c r="G8"/>
  <c r="L65" i="5"/>
  <c r="K12" i="7" s="1"/>
  <c r="K8"/>
  <c r="P65" i="5"/>
  <c r="O12" i="7" s="1"/>
  <c r="O8"/>
  <c r="T65" i="5"/>
  <c r="S12" i="7" s="1"/>
  <c r="S8"/>
  <c r="X65" i="5"/>
  <c r="W12" i="7" s="1"/>
  <c r="W8"/>
  <c r="AG80" i="5"/>
  <c r="AH80" s="1"/>
  <c r="Z8" i="4"/>
  <c r="AA65" i="6"/>
  <c r="Z12" i="4" s="1"/>
  <c r="X8"/>
  <c r="Y65" i="6"/>
  <c r="X12" i="4" s="1"/>
  <c r="V8"/>
  <c r="W65" i="6"/>
  <c r="V12" i="4" s="1"/>
  <c r="T8"/>
  <c r="U65" i="6"/>
  <c r="T12" i="4" s="1"/>
  <c r="R8"/>
  <c r="S65" i="6"/>
  <c r="R12" i="4" s="1"/>
  <c r="P8"/>
  <c r="Q65" i="6"/>
  <c r="P12" i="4" s="1"/>
  <c r="N8"/>
  <c r="O65" i="6"/>
  <c r="N12" i="4" s="1"/>
  <c r="L8"/>
  <c r="M65" i="6"/>
  <c r="L12" i="4" s="1"/>
  <c r="J8"/>
  <c r="K65" i="6"/>
  <c r="J12" i="4" s="1"/>
  <c r="H8"/>
  <c r="I65" i="6"/>
  <c r="H12" i="4" s="1"/>
  <c r="E11"/>
  <c r="AC11"/>
  <c r="AD64" i="6"/>
  <c r="Y11" i="4"/>
  <c r="Z64" i="6"/>
  <c r="U11" i="4"/>
  <c r="V64" i="6"/>
  <c r="Q11" i="4"/>
  <c r="R64" i="6"/>
  <c r="M11" i="4"/>
  <c r="N64" i="6"/>
  <c r="I11" i="4"/>
  <c r="J64" i="6"/>
  <c r="B72"/>
  <c r="D65"/>
  <c r="C12" i="4" s="1"/>
  <c r="C8"/>
  <c r="AB11"/>
  <c r="AC64" i="6"/>
  <c r="AE65"/>
  <c r="AD12" i="4" s="1"/>
  <c r="AD8"/>
  <c r="E65" i="6"/>
  <c r="D12" i="4" s="1"/>
  <c r="D8"/>
  <c r="AE11"/>
  <c r="AF64" i="6"/>
  <c r="AA11" i="4"/>
  <c r="AB64" i="6"/>
  <c r="W11" i="4"/>
  <c r="X64" i="6"/>
  <c r="S11" i="4"/>
  <c r="T64" i="6"/>
  <c r="O11" i="4"/>
  <c r="P64" i="6"/>
  <c r="K11" i="4"/>
  <c r="L64" i="6"/>
  <c r="H65"/>
  <c r="G12" i="4" s="1"/>
  <c r="G8"/>
  <c r="G65" i="6"/>
  <c r="F12" i="4" s="1"/>
  <c r="F8"/>
  <c r="U65" i="5" l="1"/>
  <c r="T12" i="7" s="1"/>
  <c r="B71" i="6"/>
  <c r="J11" i="8"/>
  <c r="AA11" i="7"/>
  <c r="F5" i="2"/>
  <c r="F13" s="1"/>
  <c r="B8" i="4"/>
  <c r="B69" i="6"/>
  <c r="E10" i="4"/>
  <c r="B74" i="6"/>
  <c r="AG11" i="4"/>
  <c r="E4" i="2" s="1"/>
  <c r="E12" s="1"/>
  <c r="AF11" i="4"/>
  <c r="B71" i="5"/>
  <c r="B73" i="6"/>
  <c r="B75" s="1"/>
  <c r="J8" i="8" s="1"/>
  <c r="B72" i="5"/>
  <c r="B74" s="1"/>
  <c r="J9" i="8" s="1"/>
  <c r="B70" i="5"/>
  <c r="E65"/>
  <c r="D12" i="7" s="1"/>
  <c r="D8"/>
  <c r="B69" i="5"/>
  <c r="B12" i="7"/>
  <c r="G9" i="8"/>
  <c r="H9" s="1"/>
  <c r="D65" i="5"/>
  <c r="C12" i="7" s="1"/>
  <c r="C8"/>
  <c r="B17" s="1"/>
  <c r="B25" i="2" s="1"/>
  <c r="F65" i="5"/>
  <c r="E12" i="7" s="1"/>
  <c r="E8"/>
  <c r="B68" i="5"/>
  <c r="J65" i="6"/>
  <c r="I12" i="4" s="1"/>
  <c r="I8"/>
  <c r="N65" i="6"/>
  <c r="M12" i="4" s="1"/>
  <c r="M8"/>
  <c r="R65" i="6"/>
  <c r="Q12" i="4" s="1"/>
  <c r="Q8"/>
  <c r="V65" i="6"/>
  <c r="U12" i="4" s="1"/>
  <c r="U8"/>
  <c r="Z65" i="6"/>
  <c r="Y12" i="4" s="1"/>
  <c r="Y8"/>
  <c r="AC8"/>
  <c r="AD65" i="6"/>
  <c r="AC12" i="4" s="1"/>
  <c r="L65" i="6"/>
  <c r="K12" i="4" s="1"/>
  <c r="K8"/>
  <c r="P65" i="6"/>
  <c r="O12" i="4" s="1"/>
  <c r="O8"/>
  <c r="T65" i="6"/>
  <c r="S12" i="4" s="1"/>
  <c r="S8"/>
  <c r="X65" i="6"/>
  <c r="W12" i="4" s="1"/>
  <c r="W8"/>
  <c r="AB65" i="6"/>
  <c r="AA12" i="4" s="1"/>
  <c r="AA8"/>
  <c r="AE8"/>
  <c r="AF65" i="6"/>
  <c r="AE12" i="4" s="1"/>
  <c r="AC65" i="6"/>
  <c r="AB12" i="4" s="1"/>
  <c r="AB8"/>
  <c r="B19"/>
  <c r="B17"/>
  <c r="B24" i="2" s="1"/>
  <c r="B20" i="4"/>
  <c r="B12"/>
  <c r="E8"/>
  <c r="F65" i="6"/>
  <c r="E12" i="4" s="1"/>
  <c r="E6" i="2" l="1"/>
  <c r="E14" s="1"/>
  <c r="AG10" i="4"/>
  <c r="D4" i="2" s="1"/>
  <c r="AF10" i="4"/>
  <c r="AG8"/>
  <c r="B67" i="5"/>
  <c r="B70" i="6"/>
  <c r="AF8" i="4"/>
  <c r="B25" i="7"/>
  <c r="B31" i="2" s="1"/>
  <c r="B18" i="7"/>
  <c r="B22" i="2" s="1"/>
  <c r="AA12" i="7"/>
  <c r="AB12"/>
  <c r="AG65" i="5"/>
  <c r="B19" i="7"/>
  <c r="AA8"/>
  <c r="B20"/>
  <c r="AB8"/>
  <c r="AG12" i="4"/>
  <c r="B18"/>
  <c r="B21" i="2" s="1"/>
  <c r="B25" i="4"/>
  <c r="B30" i="2" s="1"/>
  <c r="AF12" i="4"/>
  <c r="B68" i="6"/>
  <c r="G8" i="8"/>
  <c r="H8" s="1"/>
  <c r="D6" i="2" l="1"/>
  <c r="D14" s="1"/>
  <c r="D12"/>
  <c r="F4"/>
  <c r="F6" l="1"/>
  <c r="F14" s="1"/>
  <c r="F12"/>
</calcChain>
</file>

<file path=xl/comments1.xml><?xml version="1.0" encoding="utf-8"?>
<comments xmlns="http://schemas.openxmlformats.org/spreadsheetml/2006/main">
  <authors>
    <author>msofiyuddin</author>
  </authors>
  <commentList>
    <comment ref="D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
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
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
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comments2.xml><?xml version="1.0" encoding="utf-8"?>
<comments xmlns="http://schemas.openxmlformats.org/spreadsheetml/2006/main">
  <authors>
    <author>msofiyuddin</author>
  </authors>
  <commentList>
    <comment ref="C13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Sampai umur 5 th 2-3 x, &gt; 5 th satu kali, 1 x semprot 4 lt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 hari lubang + tanam 20 ph.
140 ph = 7 hr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Satu kali semprot 2 hr/1 org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umur 3-5 = 1hr/panen= 2hr/bln.
&gt; 5 th = 2 hr/panen = 4 hr/bln</t>
        </r>
      </text>
    </comment>
  </commentList>
</comments>
</file>

<file path=xl/sharedStrings.xml><?xml version="1.0" encoding="utf-8"?>
<sst xmlns="http://schemas.openxmlformats.org/spreadsheetml/2006/main" count="797" uniqueCount="341">
  <si>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</si>
  <si>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</si>
  <si>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</si>
  <si>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</si>
  <si>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</si>
  <si>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</si>
  <si>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</si>
  <si>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</si>
  <si>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</si>
  <si>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</si>
  <si>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</si>
  <si>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</si>
  <si>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</si>
  <si>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</si>
  <si>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</si>
  <si>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</si>
  <si>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</si>
  <si>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</si>
  <si>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</si>
  <si>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</si>
  <si>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</si>
  <si>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</si>
  <si>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</si>
  <si>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</si>
  <si>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</si>
  <si>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Tradables</t>
  </si>
  <si>
    <t>Fertilizer</t>
  </si>
  <si>
    <t>Urea</t>
  </si>
  <si>
    <t>harvesting</t>
  </si>
  <si>
    <t>Capital</t>
  </si>
  <si>
    <t>Rp</t>
  </si>
  <si>
    <t>I-O Items</t>
  </si>
  <si>
    <t>Unit</t>
  </si>
  <si>
    <t>FFB</t>
  </si>
  <si>
    <t>Revenue</t>
  </si>
  <si>
    <t>Total cost</t>
  </si>
  <si>
    <t>Tradable input cost</t>
  </si>
  <si>
    <t>unskilled labor cost</t>
  </si>
  <si>
    <t>Capital Exp.</t>
  </si>
  <si>
    <t>Profit excluding land</t>
  </si>
  <si>
    <t>NPV</t>
  </si>
  <si>
    <t>CASHFLOW</t>
  </si>
  <si>
    <t>Palm Oil Production -</t>
  </si>
  <si>
    <t>PRIVATE PRICES</t>
  </si>
  <si>
    <t>Total</t>
  </si>
  <si>
    <t>IRR, Oil palm plantation / ha</t>
  </si>
  <si>
    <t>SOCIAL PRICES</t>
  </si>
  <si>
    <t>Sum</t>
  </si>
  <si>
    <t>Establishment</t>
  </si>
  <si>
    <t>Revenues</t>
  </si>
  <si>
    <t>Tradable</t>
  </si>
  <si>
    <t>Domestic factors</t>
  </si>
  <si>
    <t>Profits</t>
  </si>
  <si>
    <t>Inputs</t>
  </si>
  <si>
    <t>Private</t>
  </si>
  <si>
    <t>Social</t>
  </si>
  <si>
    <t>Divergences</t>
  </si>
  <si>
    <t>Domestic Resources</t>
  </si>
  <si>
    <t>Labor</t>
  </si>
  <si>
    <t>I/O Table</t>
  </si>
  <si>
    <t>Independent Smallholder Oil Palm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</si>
  <si>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</si>
  <si>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</si>
  <si>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</si>
  <si>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</si>
  <si>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</si>
  <si>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</si>
  <si>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</si>
  <si>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</si>
  <si>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Year 9 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</si>
  <si>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</si>
  <si>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</si>
  <si>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</si>
  <si>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</si>
  <si>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</si>
  <si>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</si>
  <si>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</si>
  <si>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</si>
  <si>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</si>
  <si>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</si>
  <si>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</si>
  <si>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</si>
  <si>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</si>
  <si>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</si>
  <si>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</si>
  <si>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</si>
  <si>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Tradable Input</t>
  </si>
  <si>
    <t>kg</t>
  </si>
  <si>
    <t>Roundup</t>
  </si>
  <si>
    <t>liter</t>
  </si>
  <si>
    <t>seedlings</t>
  </si>
  <si>
    <t>Nontradables</t>
  </si>
  <si>
    <t>Sprayer</t>
  </si>
  <si>
    <t>units</t>
  </si>
  <si>
    <t>tons</t>
  </si>
  <si>
    <t>unit</t>
  </si>
  <si>
    <t>Private Price</t>
  </si>
  <si>
    <t>Social Price</t>
  </si>
  <si>
    <t>Private Budget</t>
  </si>
  <si>
    <t>Year 9</t>
  </si>
  <si>
    <t>Working Capital Calculations</t>
  </si>
  <si>
    <t>Annual operating costs</t>
  </si>
  <si>
    <t>Working capital</t>
  </si>
  <si>
    <t>oil palm care during (harvesting period)</t>
  </si>
  <si>
    <t>Havesting is done every 10 days; therefore working capital = total expenditure per year / 36 weeks</t>
  </si>
  <si>
    <t>Capital Expenditures</t>
  </si>
  <si>
    <t>Subtotal tradable inputs</t>
  </si>
  <si>
    <t>Subtotal unskilled labor</t>
  </si>
  <si>
    <t>Total Cost</t>
  </si>
  <si>
    <t>Profit (excluding cost of land)</t>
  </si>
  <si>
    <t>Total Revenue</t>
  </si>
  <si>
    <t>Divergence</t>
  </si>
  <si>
    <t>Profit</t>
  </si>
  <si>
    <t>labor subtotal</t>
  </si>
  <si>
    <t>Pam Results</t>
  </si>
  <si>
    <t>Ave share of fertilizer in total cost</t>
  </si>
  <si>
    <t>Operational</t>
  </si>
  <si>
    <t>ps-day in four year</t>
  </si>
  <si>
    <t>ps-day/ha/year</t>
  </si>
  <si>
    <t>Social Budget</t>
  </si>
  <si>
    <t>in US $</t>
  </si>
  <si>
    <t>Avg Total Labor</t>
  </si>
  <si>
    <t>Total Labor</t>
  </si>
  <si>
    <t>Avg Establishment</t>
  </si>
  <si>
    <t>ps-day per year</t>
  </si>
  <si>
    <t>ps-day/ha</t>
  </si>
  <si>
    <t>Return to Labor</t>
  </si>
  <si>
    <t>NPV Establishment Cost =</t>
  </si>
  <si>
    <t>Years to positive Cash flow =</t>
  </si>
  <si>
    <t>Total Cost to Establishment =</t>
  </si>
  <si>
    <t>AVG Cost to Establishment =</t>
  </si>
  <si>
    <t>Rp/ha/year</t>
  </si>
  <si>
    <t>Total Labor for Establishment =</t>
  </si>
  <si>
    <t>AVG Labor for Operation =</t>
  </si>
  <si>
    <t>Total Labor =</t>
  </si>
  <si>
    <t>Years to Positive Cash Flow</t>
  </si>
  <si>
    <t>NPV Establishment Cost</t>
  </si>
  <si>
    <t>Labor Requirement</t>
  </si>
  <si>
    <t>Total Labor Required for Establishment</t>
  </si>
  <si>
    <t>ps-day</t>
  </si>
  <si>
    <t>Total Labor for Operation</t>
  </si>
  <si>
    <t>IRR in 11% guess interest rate =</t>
  </si>
  <si>
    <t>IRR in 6% guess interest rate =</t>
  </si>
  <si>
    <t>Pruning</t>
  </si>
  <si>
    <t>private</t>
  </si>
  <si>
    <t>social</t>
  </si>
  <si>
    <t xml:space="preserve"> </t>
  </si>
  <si>
    <t>IRR in 10% guess interest rate =</t>
  </si>
  <si>
    <t>IRR in 5% guess interest rate =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</si>
  <si>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</si>
  <si>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</si>
  <si>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</si>
  <si>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</si>
  <si>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</si>
  <si>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</si>
  <si>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</si>
  <si>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</si>
  <si>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IDR/ha</t>
  </si>
  <si>
    <t>USD/ha</t>
  </si>
  <si>
    <t>Nilai tukar rupiah</t>
  </si>
  <si>
    <t>Rp/US$</t>
  </si>
  <si>
    <t>Upah buruh</t>
  </si>
  <si>
    <t>Rp/HOK</t>
  </si>
  <si>
    <t>Sosial</t>
  </si>
  <si>
    <t>Catatan</t>
  </si>
  <si>
    <t>Pupuk</t>
  </si>
  <si>
    <t>Bahan Kimia</t>
  </si>
  <si>
    <t>Bahan Tanam</t>
  </si>
  <si>
    <t>Peralatan</t>
  </si>
  <si>
    <t>Tenaga Kerja</t>
  </si>
  <si>
    <t>Persiapan Lahan</t>
  </si>
  <si>
    <t xml:space="preserve">Pemeliharaan </t>
  </si>
  <si>
    <t>OUTPUT</t>
  </si>
  <si>
    <t xml:space="preserve">Komponen I-O </t>
  </si>
  <si>
    <t>NPK</t>
  </si>
  <si>
    <t>Kelapa Sawit</t>
  </si>
  <si>
    <t>Beras</t>
  </si>
  <si>
    <t>HOK</t>
  </si>
  <si>
    <t>Year 26</t>
  </si>
  <si>
    <t>Year 27</t>
  </si>
  <si>
    <t>Year 28</t>
  </si>
  <si>
    <t>Year 29</t>
  </si>
  <si>
    <t>Year 30</t>
  </si>
  <si>
    <t>OIL PALM</t>
  </si>
  <si>
    <t>Projected FFB Production</t>
  </si>
  <si>
    <t>Calendar year</t>
  </si>
  <si>
    <t>year</t>
  </si>
  <si>
    <t>Skenario Prod :</t>
  </si>
  <si>
    <t>(ton/ha/th)</t>
  </si>
  <si>
    <t>Pemanenan dilakukan 2x/ bln</t>
  </si>
  <si>
    <t>Awal Prod umur 2,5 th, buah tidak dijual/dibuang</t>
  </si>
  <si>
    <t>Panen pertama umur 3 th.</t>
  </si>
  <si>
    <t>Umur</t>
  </si>
  <si>
    <t>Per Bln</t>
  </si>
  <si>
    <t>Ton/Thn</t>
  </si>
  <si>
    <t>3 th</t>
  </si>
  <si>
    <t>50 kg</t>
  </si>
  <si>
    <t xml:space="preserve">4 th </t>
  </si>
  <si>
    <t xml:space="preserve">200 kg </t>
  </si>
  <si>
    <t>5 th</t>
  </si>
  <si>
    <t>500 kg</t>
  </si>
  <si>
    <t>6-7 th</t>
  </si>
  <si>
    <t>1.5 ton</t>
  </si>
  <si>
    <t>8-10 th</t>
  </si>
  <si>
    <t>2.5 ton</t>
  </si>
  <si>
    <t>10-15 th</t>
  </si>
  <si>
    <t>3.5 ton</t>
  </si>
  <si>
    <t>&gt; 15 th</t>
  </si>
  <si>
    <t>2 ton</t>
  </si>
  <si>
    <t>&gt;20 th</t>
  </si>
  <si>
    <t>Projected Fertilizer Needs</t>
  </si>
  <si>
    <t xml:space="preserve">Number of trees per hectare = </t>
  </si>
  <si>
    <t>Plant Age</t>
  </si>
  <si>
    <t>(years)</t>
  </si>
  <si>
    <t>1 - 5</t>
  </si>
  <si>
    <t>6 - 10</t>
  </si>
  <si>
    <t>11 - 20</t>
  </si>
  <si>
    <t>&gt; 20</t>
  </si>
  <si>
    <t>Projected Fertilizer Needs per tree</t>
  </si>
  <si>
    <t>Year</t>
  </si>
  <si>
    <t>Projected Fertilizer Need per hectare</t>
  </si>
  <si>
    <r>
      <t>kg palm</t>
    </r>
    <r>
      <rPr>
        <vertAlign val="superscript"/>
        <sz val="9"/>
        <rFont val="Calibri"/>
        <family val="2"/>
      </rPr>
      <t>-1</t>
    </r>
  </si>
  <si>
    <r>
      <t>kg ha</t>
    </r>
    <r>
      <rPr>
        <vertAlign val="superscript"/>
        <sz val="9"/>
        <rFont val="Calibri"/>
        <family val="2"/>
      </rPr>
      <t>-1</t>
    </r>
  </si>
  <si>
    <r>
      <t>Type and Dosage (kg palm</t>
    </r>
    <r>
      <rPr>
        <b/>
        <vertAlign val="superscript"/>
        <sz val="9"/>
        <rFont val="Calibri"/>
        <family val="2"/>
      </rPr>
      <t>-1</t>
    </r>
    <r>
      <rPr>
        <b/>
        <sz val="8"/>
        <rFont val="Calibri"/>
        <family val="2"/>
      </rPr>
      <t>)</t>
    </r>
  </si>
  <si>
    <t>Tebas</t>
  </si>
  <si>
    <t>Tumbang</t>
  </si>
  <si>
    <t>Bakar</t>
  </si>
  <si>
    <t>Pancang</t>
  </si>
  <si>
    <t>Angkong</t>
  </si>
  <si>
    <t>Dodos</t>
  </si>
  <si>
    <t>Egreg</t>
  </si>
  <si>
    <t>Penanaman</t>
  </si>
  <si>
    <t>Pembersihan piringan</t>
  </si>
  <si>
    <t>Penyemprotan</t>
  </si>
  <si>
    <t>Pemupukan</t>
  </si>
  <si>
    <t>Pemanenan</t>
  </si>
  <si>
    <t>Padi Ladang</t>
  </si>
  <si>
    <t>Penyiangan</t>
  </si>
  <si>
    <t>1. Tahun pertama ditanami padi ladang</t>
  </si>
  <si>
    <t xml:space="preserve">Pemanenan </t>
  </si>
  <si>
    <t>Pemeliharaan</t>
  </si>
  <si>
    <t>Panen</t>
  </si>
  <si>
    <t>Sawit</t>
  </si>
  <si>
    <t xml:space="preserve">Tandan Buah Segar (TBS) </t>
  </si>
  <si>
    <t>Prices</t>
  </si>
  <si>
    <t>I-O Item</t>
  </si>
  <si>
    <t>Private Prices</t>
  </si>
  <si>
    <t>Social Prices</t>
  </si>
  <si>
    <t>INPUTS</t>
  </si>
  <si>
    <t>Rp/kg</t>
  </si>
  <si>
    <t>Rp/l</t>
  </si>
  <si>
    <t>Rp/unit</t>
  </si>
  <si>
    <t xml:space="preserve">Pupuk </t>
  </si>
  <si>
    <t>Rp/bibit</t>
  </si>
  <si>
    <t>Rp/ton</t>
  </si>
  <si>
    <t xml:space="preserve">Kelapa Sawit monokultur, </t>
  </si>
  <si>
    <t>Rata-rata Prod tiap kelas umur : sdh termasuk hitungan rata-rata bln track (feb-juli) dan panen raya (agustus-jan)</t>
  </si>
  <si>
    <t>Parang</t>
  </si>
  <si>
    <t>1 ton</t>
  </si>
  <si>
    <t>Havesting is done every 15 days; therefore working capital = total expenditure per year /24 weeks</t>
  </si>
  <si>
    <t>Year26</t>
  </si>
  <si>
    <t>Year27</t>
  </si>
  <si>
    <t>Year28</t>
  </si>
  <si>
    <t>Year29</t>
  </si>
  <si>
    <t>Year30</t>
  </si>
  <si>
    <t xml:space="preserve">Private </t>
  </si>
  <si>
    <t xml:space="preserve">Social </t>
  </si>
  <si>
    <t>2. Bibit lokal/tidak diketahui asal usulnya</t>
  </si>
  <si>
    <t>3. Penggunaan pupuk yang umum : Urea, NPK, dan Borate</t>
  </si>
  <si>
    <t>Ds.Bram Itam Kanan, Renah mendaluh,Tanjabar</t>
  </si>
  <si>
    <t>Tugal dan tanam Jagung</t>
  </si>
  <si>
    <t>Pembuatan parit</t>
  </si>
  <si>
    <t>Parit Induk</t>
  </si>
  <si>
    <t>Parit Cacing</t>
  </si>
  <si>
    <t>Pemeliharaan parit</t>
  </si>
  <si>
    <t>Jagung</t>
  </si>
  <si>
    <t>Skenario Pembuatan Parit/ Kanal</t>
  </si>
  <si>
    <t xml:space="preserve">Panjang </t>
  </si>
  <si>
    <t>24 depa =</t>
  </si>
  <si>
    <t>40 m</t>
  </si>
  <si>
    <t xml:space="preserve">Pembuatan parit </t>
  </si>
  <si>
    <t xml:space="preserve">Pembuatan Parit dikerjakan bersama dengan tetangga </t>
  </si>
  <si>
    <t>Upah</t>
  </si>
  <si>
    <t>Parit Cacing/ Anak</t>
  </si>
  <si>
    <t>Panjang</t>
  </si>
  <si>
    <t xml:space="preserve">150 depa =  </t>
  </si>
  <si>
    <t>250 m</t>
  </si>
  <si>
    <t>1 hr = 10 depa</t>
  </si>
  <si>
    <t xml:space="preserve">pembuatan parit </t>
  </si>
  <si>
    <t>Pembuatan</t>
  </si>
  <si>
    <t>6000/depa</t>
  </si>
  <si>
    <t>Perawatan</t>
  </si>
  <si>
    <t>3000/depa</t>
  </si>
  <si>
    <t>Biaya</t>
  </si>
  <si>
    <t>pembuatan</t>
  </si>
  <si>
    <t>pemeliharaan</t>
  </si>
  <si>
    <t>total</t>
  </si>
  <si>
    <t>Perhari</t>
  </si>
  <si>
    <t>dikerjakan oleh 3 orang, selama 3 hari</t>
  </si>
  <si>
    <t xml:space="preserve">Pembuatan lubang </t>
  </si>
  <si>
    <t>Pembuatan lubang</t>
  </si>
  <si>
    <t>Dolomit</t>
  </si>
  <si>
    <t>Tugal dan tanam</t>
  </si>
  <si>
    <t>Pasca Panen</t>
  </si>
  <si>
    <t>Pasca panen</t>
  </si>
  <si>
    <t>0.5</t>
  </si>
  <si>
    <t>1- 2</t>
  </si>
  <si>
    <t>Pembuatan lubang+tanam</t>
  </si>
  <si>
    <t>HOK/th</t>
  </si>
  <si>
    <t>Production Scenario</t>
  </si>
  <si>
    <t xml:space="preserve">Old Data </t>
  </si>
  <si>
    <t xml:space="preserve">Field data </t>
  </si>
  <si>
    <r>
      <t>y = -0.0505x</t>
    </r>
    <r>
      <rPr>
        <vertAlign val="superscript"/>
        <sz val="8"/>
        <color indexed="8"/>
        <rFont val="Calibri"/>
        <family val="2"/>
      </rPr>
      <t>2</t>
    </r>
    <r>
      <rPr>
        <sz val="8"/>
        <rFont val="Arial"/>
        <family val="2"/>
      </rPr>
      <t xml:space="preserve"> + 1.8398x + 3.7552</t>
    </r>
  </si>
  <si>
    <t>Regresi</t>
  </si>
  <si>
    <t>IPOCdata</t>
  </si>
  <si>
    <t xml:space="preserve">R² = 0.9393 </t>
  </si>
  <si>
    <t>Cangkul</t>
  </si>
  <si>
    <t>Pasca panen (kupas dan jemur)</t>
  </si>
  <si>
    <t>Penyiangan/penyemprotan</t>
  </si>
  <si>
    <t>jagung</t>
  </si>
  <si>
    <t>Smallholder OilPalm-Peat</t>
  </si>
  <si>
    <t>Peat</t>
  </si>
  <si>
    <t>Mineral</t>
  </si>
  <si>
    <t xml:space="preserve">Harga Komoditas </t>
  </si>
  <si>
    <t>Rp/Kg</t>
  </si>
  <si>
    <t>MRp/ton</t>
  </si>
  <si>
    <t>TBS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</si>
  <si>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</si>
  <si>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>Non Labor Cost (MRp/ha)</t>
  </si>
  <si>
    <t>Establishment cost (1st year only, MRp/ha)</t>
  </si>
  <si>
    <t xml:space="preserve">Labor Req for est. </t>
  </si>
  <si>
    <t>(1st year only, HOK/ha)</t>
  </si>
  <si>
    <t xml:space="preserve">Total Cost </t>
  </si>
  <si>
    <t>Labor cost</t>
  </si>
  <si>
    <t>Non labor</t>
  </si>
  <si>
    <t>1st year total labor req</t>
  </si>
  <si>
    <t>Total Product</t>
  </si>
  <si>
    <t>Ton</t>
  </si>
  <si>
    <t xml:space="preserve">Harvesting product </t>
  </si>
  <si>
    <t>ton/HOK</t>
  </si>
  <si>
    <t>Avg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</si>
</sst>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_);[Red]\(0\)"/>
    <numFmt numFmtId="168" formatCode="#,##0.0_);[Red]\(#,##0.0\)"/>
    <numFmt numFmtId="169" formatCode="#,##0.000_);[Red]\(#,##0.000\)"/>
    <numFmt numFmtId="170" formatCode="_(* #,##0.000_);_(* \(#,##0.000\);_(* &quot;-&quot;??_);_(@_)"/>
  </numFmts>
  <fonts count="4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i/>
      <sz val="14"/>
      <name val="Arial"/>
      <family val="2"/>
    </font>
    <font>
      <b/>
      <sz val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8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14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27">
    <xf numFmtId="0" fontId="0" fillId="0" borderId="0" xfId="0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7" fillId="0" borderId="3" xfId="0" applyFont="1" applyBorder="1"/>
    <xf numFmtId="0" fontId="15" fillId="0" borderId="4" xfId="0" applyFont="1" applyBorder="1" applyAlignment="1">
      <alignment horizontal="center"/>
    </xf>
    <xf numFmtId="0" fontId="18" fillId="0" borderId="3" xfId="0" applyFont="1" applyBorder="1"/>
    <xf numFmtId="3" fontId="15" fillId="0" borderId="4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/>
    </xf>
    <xf numFmtId="0" fontId="15" fillId="0" borderId="3" xfId="0" applyFont="1" applyBorder="1"/>
    <xf numFmtId="0" fontId="17" fillId="0" borderId="3" xfId="0" applyFont="1" applyFill="1" applyBorder="1" applyAlignment="1">
      <alignment horizontal="right"/>
    </xf>
    <xf numFmtId="0" fontId="19" fillId="0" borderId="3" xfId="0" applyFont="1" applyBorder="1"/>
    <xf numFmtId="0" fontId="16" fillId="0" borderId="3" xfId="0" applyFont="1" applyBorder="1"/>
    <xf numFmtId="0" fontId="15" fillId="0" borderId="3" xfId="0" applyFont="1" applyBorder="1" applyAlignment="1">
      <alignment horizontal="right"/>
    </xf>
    <xf numFmtId="0" fontId="15" fillId="0" borderId="5" xfId="0" applyFont="1" applyBorder="1"/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" fontId="15" fillId="0" borderId="0" xfId="0" applyNumberFormat="1" applyFont="1" applyAlignment="1">
      <alignment horizontal="right"/>
    </xf>
    <xf numFmtId="0" fontId="20" fillId="0" borderId="0" xfId="0" applyFont="1"/>
    <xf numFmtId="1" fontId="15" fillId="0" borderId="0" xfId="0" applyNumberFormat="1" applyFont="1"/>
    <xf numFmtId="0" fontId="21" fillId="0" borderId="0" xfId="0" applyFont="1"/>
    <xf numFmtId="0" fontId="22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3" xfId="0" applyFont="1" applyBorder="1"/>
    <xf numFmtId="166" fontId="15" fillId="0" borderId="4" xfId="1" applyNumberFormat="1" applyFont="1" applyBorder="1"/>
    <xf numFmtId="0" fontId="23" fillId="0" borderId="3" xfId="0" applyFont="1" applyBorder="1"/>
    <xf numFmtId="0" fontId="22" fillId="0" borderId="3" xfId="0" applyFont="1" applyBorder="1"/>
    <xf numFmtId="0" fontId="21" fillId="0" borderId="3" xfId="0" applyFont="1" applyBorder="1" applyAlignment="1">
      <alignment horizontal="right"/>
    </xf>
    <xf numFmtId="166" fontId="15" fillId="0" borderId="4" xfId="1" quotePrefix="1" applyNumberFormat="1" applyFont="1" applyBorder="1"/>
    <xf numFmtId="0" fontId="21" fillId="0" borderId="3" xfId="0" applyFont="1" applyBorder="1"/>
    <xf numFmtId="0" fontId="24" fillId="0" borderId="3" xfId="0" applyFont="1" applyBorder="1" applyAlignment="1">
      <alignment horizontal="right"/>
    </xf>
    <xf numFmtId="0" fontId="21" fillId="2" borderId="3" xfId="0" applyFont="1" applyFill="1" applyBorder="1"/>
    <xf numFmtId="0" fontId="15" fillId="2" borderId="4" xfId="0" applyFont="1" applyFill="1" applyBorder="1" applyAlignment="1">
      <alignment horizontal="center"/>
    </xf>
    <xf numFmtId="166" fontId="15" fillId="2" borderId="4" xfId="1" applyNumberFormat="1" applyFont="1" applyFill="1" applyBorder="1"/>
    <xf numFmtId="38" fontId="15" fillId="0" borderId="0" xfId="0" applyNumberFormat="1" applyFont="1"/>
    <xf numFmtId="0" fontId="24" fillId="0" borderId="0" xfId="0" applyFont="1"/>
    <xf numFmtId="0" fontId="25" fillId="0" borderId="0" xfId="0" applyFont="1"/>
    <xf numFmtId="1" fontId="21" fillId="0" borderId="0" xfId="0" applyNumberFormat="1" applyFont="1"/>
    <xf numFmtId="1" fontId="15" fillId="0" borderId="0" xfId="0" applyNumberFormat="1" applyFont="1" applyAlignment="1">
      <alignment horizontal="center"/>
    </xf>
    <xf numFmtId="0" fontId="18" fillId="0" borderId="0" xfId="0" applyFont="1"/>
    <xf numFmtId="38" fontId="15" fillId="0" borderId="4" xfId="1" applyNumberFormat="1" applyFont="1" applyBorder="1"/>
    <xf numFmtId="38" fontId="15" fillId="0" borderId="4" xfId="1" quotePrefix="1" applyNumberFormat="1" applyFont="1" applyBorder="1"/>
    <xf numFmtId="38" fontId="15" fillId="2" borderId="4" xfId="1" applyNumberFormat="1" applyFont="1" applyFill="1" applyBorder="1"/>
    <xf numFmtId="38" fontId="26" fillId="0" borderId="0" xfId="0" applyNumberFormat="1" applyFont="1"/>
    <xf numFmtId="38" fontId="16" fillId="0" borderId="0" xfId="0" applyNumberFormat="1" applyFont="1"/>
    <xf numFmtId="38" fontId="27" fillId="0" borderId="0" xfId="0" applyNumberFormat="1" applyFont="1"/>
    <xf numFmtId="38" fontId="17" fillId="0" borderId="0" xfId="0" applyNumberFormat="1" applyFont="1"/>
    <xf numFmtId="38" fontId="27" fillId="0" borderId="10" xfId="0" applyNumberFormat="1" applyFont="1" applyBorder="1" applyAlignment="1">
      <alignment horizontal="center"/>
    </xf>
    <xf numFmtId="38" fontId="27" fillId="0" borderId="11" xfId="0" applyNumberFormat="1" applyFont="1" applyBorder="1" applyAlignment="1">
      <alignment horizontal="center"/>
    </xf>
    <xf numFmtId="38" fontId="27" fillId="0" borderId="12" xfId="0" applyNumberFormat="1" applyFont="1" applyBorder="1" applyAlignment="1">
      <alignment horizontal="center"/>
    </xf>
    <xf numFmtId="38" fontId="15" fillId="0" borderId="0" xfId="0" applyNumberFormat="1" applyFont="1" applyBorder="1" applyAlignment="1">
      <alignment horizontal="center"/>
    </xf>
    <xf numFmtId="38" fontId="27" fillId="0" borderId="3" xfId="0" applyNumberFormat="1" applyFont="1" applyBorder="1"/>
    <xf numFmtId="38" fontId="27" fillId="0" borderId="4" xfId="0" applyNumberFormat="1" applyFont="1" applyBorder="1"/>
    <xf numFmtId="38" fontId="27" fillId="0" borderId="13" xfId="0" applyNumberFormat="1" applyFont="1" applyBorder="1"/>
    <xf numFmtId="38" fontId="27" fillId="0" borderId="5" xfId="0" applyNumberFormat="1" applyFont="1" applyBorder="1"/>
    <xf numFmtId="38" fontId="27" fillId="0" borderId="6" xfId="0" applyNumberFormat="1" applyFont="1" applyBorder="1"/>
    <xf numFmtId="3" fontId="28" fillId="0" borderId="0" xfId="0" applyNumberFormat="1" applyFont="1" applyAlignment="1">
      <alignment horizontal="right"/>
    </xf>
    <xf numFmtId="167" fontId="27" fillId="0" borderId="0" xfId="0" applyNumberFormat="1" applyFont="1"/>
    <xf numFmtId="38" fontId="28" fillId="0" borderId="0" xfId="0" applyNumberFormat="1" applyFont="1" applyAlignment="1">
      <alignment horizontal="right"/>
    </xf>
    <xf numFmtId="0" fontId="27" fillId="0" borderId="0" xfId="0" applyFont="1"/>
    <xf numFmtId="9" fontId="27" fillId="0" borderId="0" xfId="0" applyNumberFormat="1" applyFont="1" applyBorder="1"/>
    <xf numFmtId="4" fontId="19" fillId="0" borderId="0" xfId="0" applyNumberFormat="1" applyFont="1"/>
    <xf numFmtId="38" fontId="29" fillId="0" borderId="0" xfId="0" applyNumberFormat="1" applyFont="1"/>
    <xf numFmtId="4" fontId="29" fillId="0" borderId="0" xfId="0" applyNumberFormat="1" applyFont="1"/>
    <xf numFmtId="3" fontId="27" fillId="0" borderId="0" xfId="0" applyNumberFormat="1" applyFont="1" applyBorder="1"/>
    <xf numFmtId="38" fontId="30" fillId="0" borderId="14" xfId="0" applyNumberFormat="1" applyFont="1" applyBorder="1" applyAlignment="1">
      <alignment horizontal="center"/>
    </xf>
    <xf numFmtId="4" fontId="27" fillId="0" borderId="0" xfId="0" applyNumberFormat="1" applyFont="1"/>
    <xf numFmtId="38" fontId="30" fillId="0" borderId="15" xfId="0" applyNumberFormat="1" applyFont="1" applyBorder="1" applyAlignment="1">
      <alignment horizontal="center"/>
    </xf>
    <xf numFmtId="38" fontId="30" fillId="0" borderId="16" xfId="0" applyNumberFormat="1" applyFont="1" applyBorder="1" applyAlignment="1">
      <alignment horizontal="center"/>
    </xf>
    <xf numFmtId="38" fontId="30" fillId="0" borderId="6" xfId="0" applyNumberFormat="1" applyFont="1" applyBorder="1" applyAlignment="1">
      <alignment horizontal="center"/>
    </xf>
    <xf numFmtId="3" fontId="30" fillId="0" borderId="10" xfId="0" applyNumberFormat="1" applyFont="1" applyBorder="1" applyAlignment="1">
      <alignment horizontal="right"/>
    </xf>
    <xf numFmtId="38" fontId="27" fillId="0" borderId="17" xfId="0" applyNumberFormat="1" applyFont="1" applyBorder="1"/>
    <xf numFmtId="38" fontId="27" fillId="0" borderId="18" xfId="0" applyNumberFormat="1" applyFont="1" applyBorder="1"/>
    <xf numFmtId="3" fontId="30" fillId="0" borderId="3" xfId="0" applyNumberFormat="1" applyFont="1" applyBorder="1" applyAlignment="1">
      <alignment horizontal="right"/>
    </xf>
    <xf numFmtId="3" fontId="30" fillId="0" borderId="5" xfId="0" applyNumberFormat="1" applyFont="1" applyBorder="1" applyAlignment="1">
      <alignment horizontal="right"/>
    </xf>
    <xf numFmtId="38" fontId="27" fillId="0" borderId="19" xfId="0" applyNumberFormat="1" applyFont="1" applyBorder="1"/>
    <xf numFmtId="4" fontId="16" fillId="0" borderId="0" xfId="0" applyNumberFormat="1" applyFont="1"/>
    <xf numFmtId="38" fontId="30" fillId="0" borderId="11" xfId="0" applyNumberFormat="1" applyFont="1" applyBorder="1" applyAlignment="1">
      <alignment horizontal="center"/>
    </xf>
    <xf numFmtId="38" fontId="30" fillId="0" borderId="0" xfId="0" applyNumberFormat="1" applyFont="1"/>
    <xf numFmtId="38" fontId="31" fillId="0" borderId="0" xfId="0" applyNumberFormat="1" applyFont="1" applyAlignment="1">
      <alignment horizontal="right"/>
    </xf>
    <xf numFmtId="3" fontId="27" fillId="0" borderId="0" xfId="0" applyNumberFormat="1" applyFont="1"/>
    <xf numFmtId="168" fontId="30" fillId="0" borderId="0" xfId="0" applyNumberFormat="1" applyFont="1"/>
    <xf numFmtId="168" fontId="27" fillId="0" borderId="0" xfId="0" applyNumberFormat="1" applyFont="1"/>
    <xf numFmtId="168" fontId="31" fillId="0" borderId="0" xfId="0" applyNumberFormat="1" applyFont="1" applyAlignment="1">
      <alignment horizontal="right"/>
    </xf>
    <xf numFmtId="38" fontId="27" fillId="0" borderId="0" xfId="0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68" fontId="31" fillId="0" borderId="0" xfId="0" applyNumberFormat="1" applyFont="1" applyAlignment="1">
      <alignment horizontal="left"/>
    </xf>
    <xf numFmtId="168" fontId="15" fillId="0" borderId="0" xfId="0" applyNumberFormat="1" applyFont="1"/>
    <xf numFmtId="38" fontId="15" fillId="0" borderId="0" xfId="0" applyNumberFormat="1" applyFont="1" applyAlignment="1">
      <alignment horizontal="center"/>
    </xf>
    <xf numFmtId="38" fontId="32" fillId="0" borderId="0" xfId="0" applyNumberFormat="1" applyFont="1"/>
    <xf numFmtId="169" fontId="32" fillId="0" borderId="0" xfId="0" applyNumberFormat="1" applyFont="1"/>
    <xf numFmtId="38" fontId="15" fillId="0" borderId="0" xfId="0" applyNumberFormat="1" applyFont="1" applyAlignment="1">
      <alignment horizontal="right"/>
    </xf>
    <xf numFmtId="168" fontId="32" fillId="0" borderId="0" xfId="0" applyNumberFormat="1" applyFont="1"/>
    <xf numFmtId="0" fontId="33" fillId="3" borderId="0" xfId="3" applyFont="1" applyFill="1"/>
    <xf numFmtId="0" fontId="34" fillId="3" borderId="0" xfId="3" applyFont="1" applyFill="1"/>
    <xf numFmtId="166" fontId="33" fillId="3" borderId="0" xfId="2" applyNumberFormat="1" applyFont="1" applyFill="1" applyAlignment="1">
      <alignment horizontal="center"/>
    </xf>
    <xf numFmtId="0" fontId="33" fillId="3" borderId="0" xfId="3" applyFont="1" applyFill="1" applyAlignment="1">
      <alignment horizontal="center"/>
    </xf>
    <xf numFmtId="0" fontId="33" fillId="3" borderId="0" xfId="3" applyFont="1" applyFill="1" applyAlignment="1">
      <alignment horizontal="left" indent="1"/>
    </xf>
    <xf numFmtId="9" fontId="33" fillId="3" borderId="0" xfId="4" applyFont="1" applyFill="1"/>
    <xf numFmtId="3" fontId="33" fillId="3" borderId="0" xfId="3" applyNumberFormat="1" applyFont="1" applyFill="1"/>
    <xf numFmtId="0" fontId="33" fillId="0" borderId="0" xfId="3" applyFont="1" applyFill="1"/>
    <xf numFmtId="0" fontId="34" fillId="0" borderId="0" xfId="3" applyFont="1" applyFill="1"/>
    <xf numFmtId="0" fontId="33" fillId="0" borderId="0" xfId="3" applyFont="1" applyFill="1" applyAlignment="1">
      <alignment horizontal="center"/>
    </xf>
    <xf numFmtId="0" fontId="19" fillId="0" borderId="20" xfId="0" applyFont="1" applyBorder="1"/>
    <xf numFmtId="0" fontId="15" fillId="0" borderId="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38" fontId="15" fillId="0" borderId="21" xfId="0" applyNumberFormat="1" applyFont="1" applyBorder="1" applyAlignment="1">
      <alignment horizontal="center"/>
    </xf>
    <xf numFmtId="0" fontId="15" fillId="0" borderId="22" xfId="0" applyFont="1" applyBorder="1"/>
    <xf numFmtId="0" fontId="15" fillId="0" borderId="4" xfId="0" applyFont="1" applyBorder="1"/>
    <xf numFmtId="0" fontId="15" fillId="0" borderId="17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4" xfId="0" applyFont="1" applyBorder="1"/>
    <xf numFmtId="1" fontId="3" fillId="0" borderId="4" xfId="0" applyNumberFormat="1" applyFont="1" applyBorder="1"/>
    <xf numFmtId="164" fontId="3" fillId="0" borderId="4" xfId="0" applyNumberFormat="1" applyFont="1" applyBorder="1"/>
    <xf numFmtId="1" fontId="3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ill="1"/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5" fillId="0" borderId="0" xfId="0" applyFont="1" applyBorder="1"/>
    <xf numFmtId="0" fontId="15" fillId="0" borderId="29" xfId="0" applyFont="1" applyBorder="1"/>
    <xf numFmtId="0" fontId="15" fillId="0" borderId="0" xfId="0" applyFont="1" applyFill="1"/>
    <xf numFmtId="0" fontId="16" fillId="0" borderId="0" xfId="0" applyFont="1" applyFill="1"/>
    <xf numFmtId="0" fontId="15" fillId="0" borderId="23" xfId="0" applyFont="1" applyBorder="1"/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1" fontId="15" fillId="0" borderId="24" xfId="0" applyNumberFormat="1" applyFont="1" applyBorder="1" applyAlignment="1">
      <alignment horizontal="center"/>
    </xf>
    <xf numFmtId="0" fontId="19" fillId="0" borderId="0" xfId="0" applyFont="1"/>
    <xf numFmtId="0" fontId="30" fillId="0" borderId="25" xfId="0" applyFont="1" applyBorder="1"/>
    <xf numFmtId="0" fontId="30" fillId="0" borderId="28" xfId="0" applyFont="1" applyBorder="1"/>
    <xf numFmtId="0" fontId="30" fillId="0" borderId="0" xfId="0" applyFont="1" applyBorder="1"/>
    <xf numFmtId="49" fontId="27" fillId="0" borderId="28" xfId="0" applyNumberFormat="1" applyFont="1" applyBorder="1" applyAlignment="1">
      <alignment horizontal="center"/>
    </xf>
    <xf numFmtId="2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49" fontId="27" fillId="0" borderId="33" xfId="0" applyNumberFormat="1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30" fillId="0" borderId="29" xfId="0" applyFont="1" applyBorder="1"/>
    <xf numFmtId="0" fontId="27" fillId="0" borderId="29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2" fontId="15" fillId="0" borderId="17" xfId="0" applyNumberFormat="1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 indent="1"/>
    </xf>
    <xf numFmtId="0" fontId="19" fillId="0" borderId="0" xfId="0" applyFont="1" applyAlignment="1"/>
    <xf numFmtId="166" fontId="15" fillId="0" borderId="0" xfId="2" applyNumberFormat="1" applyFont="1" applyAlignment="1">
      <alignment horizontal="center"/>
    </xf>
    <xf numFmtId="0" fontId="15" fillId="0" borderId="0" xfId="0" applyFont="1" applyAlignment="1"/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66" fontId="16" fillId="0" borderId="8" xfId="2" applyNumberFormat="1" applyFont="1" applyFill="1" applyBorder="1" applyAlignment="1">
      <alignment horizontal="center"/>
    </xf>
    <xf numFmtId="166" fontId="16" fillId="0" borderId="9" xfId="2" applyNumberFormat="1" applyFont="1" applyFill="1" applyBorder="1" applyAlignment="1">
      <alignment horizontal="center"/>
    </xf>
    <xf numFmtId="0" fontId="18" fillId="0" borderId="7" xfId="0" applyFont="1" applyFill="1" applyBorder="1" applyAlignment="1"/>
    <xf numFmtId="166" fontId="27" fillId="0" borderId="4" xfId="2" applyNumberFormat="1" applyFont="1" applyFill="1" applyBorder="1" applyAlignment="1">
      <alignment horizontal="center"/>
    </xf>
    <xf numFmtId="166" fontId="27" fillId="0" borderId="13" xfId="2" applyNumberFormat="1" applyFont="1" applyFill="1" applyBorder="1" applyAlignment="1">
      <alignment horizontal="center"/>
    </xf>
    <xf numFmtId="166" fontId="27" fillId="0" borderId="23" xfId="2" applyNumberFormat="1" applyFont="1" applyFill="1" applyBorder="1" applyAlignment="1">
      <alignment horizontal="center"/>
    </xf>
    <xf numFmtId="166" fontId="27" fillId="0" borderId="36" xfId="2" applyNumberFormat="1" applyFont="1" applyFill="1" applyBorder="1" applyAlignment="1">
      <alignment horizontal="center"/>
    </xf>
    <xf numFmtId="166" fontId="27" fillId="0" borderId="11" xfId="2" applyNumberFormat="1" applyFont="1" applyFill="1" applyBorder="1" applyAlignment="1">
      <alignment horizontal="center"/>
    </xf>
    <xf numFmtId="166" fontId="27" fillId="0" borderId="12" xfId="2" applyNumberFormat="1" applyFont="1" applyFill="1" applyBorder="1" applyAlignment="1">
      <alignment horizontal="center"/>
    </xf>
    <xf numFmtId="0" fontId="27" fillId="0" borderId="5" xfId="0" applyFont="1" applyFill="1" applyBorder="1" applyAlignment="1"/>
    <xf numFmtId="166" fontId="27" fillId="0" borderId="6" xfId="2" applyNumberFormat="1" applyFont="1" applyFill="1" applyBorder="1" applyAlignment="1">
      <alignment horizontal="center"/>
    </xf>
    <xf numFmtId="166" fontId="27" fillId="0" borderId="19" xfId="2" applyNumberFormat="1" applyFont="1" applyFill="1" applyBorder="1" applyAlignment="1">
      <alignment horizontal="center"/>
    </xf>
    <xf numFmtId="0" fontId="18" fillId="0" borderId="37" xfId="0" applyFont="1" applyFill="1" applyBorder="1" applyAlignment="1"/>
    <xf numFmtId="0" fontId="18" fillId="0" borderId="17" xfId="0" applyFont="1" applyFill="1" applyBorder="1" applyAlignment="1">
      <alignment horizontal="center"/>
    </xf>
    <xf numFmtId="166" fontId="15" fillId="0" borderId="17" xfId="2" applyNumberFormat="1" applyFont="1" applyFill="1" applyBorder="1" applyAlignment="1">
      <alignment horizontal="center"/>
    </xf>
    <xf numFmtId="166" fontId="15" fillId="0" borderId="18" xfId="2" applyNumberFormat="1" applyFont="1" applyFill="1" applyBorder="1" applyAlignment="1">
      <alignment horizontal="center"/>
    </xf>
    <xf numFmtId="0" fontId="17" fillId="0" borderId="3" xfId="0" applyFont="1" applyFill="1" applyBorder="1" applyAlignment="1"/>
    <xf numFmtId="0" fontId="17" fillId="0" borderId="4" xfId="0" applyFont="1" applyFill="1" applyBorder="1" applyAlignment="1">
      <alignment horizontal="center"/>
    </xf>
    <xf numFmtId="166" fontId="15" fillId="0" borderId="4" xfId="2" applyNumberFormat="1" applyFont="1" applyFill="1" applyBorder="1" applyAlignment="1">
      <alignment horizontal="center"/>
    </xf>
    <xf numFmtId="166" fontId="15" fillId="0" borderId="13" xfId="2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/>
    <xf numFmtId="0" fontId="15" fillId="0" borderId="23" xfId="0" applyFont="1" applyFill="1" applyBorder="1" applyAlignment="1">
      <alignment horizontal="center"/>
    </xf>
    <xf numFmtId="0" fontId="15" fillId="0" borderId="10" xfId="0" applyFont="1" applyFill="1" applyBorder="1" applyAlignment="1"/>
    <xf numFmtId="0" fontId="15" fillId="0" borderId="11" xfId="0" applyFont="1" applyFill="1" applyBorder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0" fontId="15" fillId="0" borderId="5" xfId="0" applyFont="1" applyFill="1" applyBorder="1" applyAlignment="1"/>
    <xf numFmtId="0" fontId="15" fillId="0" borderId="6" xfId="0" applyFont="1" applyFill="1" applyBorder="1" applyAlignment="1">
      <alignment horizontal="center"/>
    </xf>
    <xf numFmtId="166" fontId="15" fillId="0" borderId="21" xfId="1" quotePrefix="1" applyNumberFormat="1" applyFont="1" applyBorder="1"/>
    <xf numFmtId="38" fontId="15" fillId="0" borderId="21" xfId="1" quotePrefix="1" applyNumberFormat="1" applyFont="1" applyBorder="1"/>
    <xf numFmtId="166" fontId="27" fillId="0" borderId="4" xfId="2" quotePrefix="1" applyNumberFormat="1" applyFont="1" applyFill="1" applyBorder="1" applyAlignment="1">
      <alignment horizontal="center"/>
    </xf>
    <xf numFmtId="166" fontId="35" fillId="0" borderId="4" xfId="2" quotePrefix="1" applyNumberFormat="1" applyFont="1" applyFill="1" applyBorder="1" applyAlignment="1">
      <alignment horizontal="center"/>
    </xf>
    <xf numFmtId="166" fontId="35" fillId="0" borderId="13" xfId="2" applyNumberFormat="1" applyFont="1" applyFill="1" applyBorder="1" applyAlignment="1">
      <alignment horizontal="center"/>
    </xf>
    <xf numFmtId="166" fontId="36" fillId="0" borderId="4" xfId="2" applyNumberFormat="1" applyFont="1" applyFill="1" applyBorder="1" applyAlignment="1">
      <alignment horizontal="center"/>
    </xf>
    <xf numFmtId="0" fontId="37" fillId="0" borderId="4" xfId="0" applyFont="1" applyBorder="1" applyAlignment="1">
      <alignment horizontal="center"/>
    </xf>
    <xf numFmtId="38" fontId="18" fillId="0" borderId="0" xfId="0" applyNumberFormat="1" applyFont="1"/>
    <xf numFmtId="166" fontId="15" fillId="0" borderId="0" xfId="1" applyNumberFormat="1" applyFont="1"/>
    <xf numFmtId="38" fontId="15" fillId="0" borderId="21" xfId="1" applyNumberFormat="1" applyFont="1" applyBorder="1"/>
    <xf numFmtId="0" fontId="18" fillId="0" borderId="38" xfId="0" applyFont="1" applyBorder="1" applyAlignment="1">
      <alignment horizontal="center" vertical="center"/>
    </xf>
    <xf numFmtId="0" fontId="38" fillId="4" borderId="3" xfId="0" applyFont="1" applyFill="1" applyBorder="1"/>
    <xf numFmtId="0" fontId="38" fillId="4" borderId="4" xfId="0" applyFont="1" applyFill="1" applyBorder="1" applyAlignment="1">
      <alignment horizontal="center"/>
    </xf>
    <xf numFmtId="166" fontId="38" fillId="4" borderId="4" xfId="1" applyNumberFormat="1" applyFont="1" applyFill="1" applyBorder="1"/>
    <xf numFmtId="0" fontId="21" fillId="0" borderId="3" xfId="0" applyFont="1" applyFill="1" applyBorder="1"/>
    <xf numFmtId="166" fontId="15" fillId="0" borderId="4" xfId="1" applyNumberFormat="1" applyFont="1" applyFill="1" applyBorder="1"/>
    <xf numFmtId="0" fontId="21" fillId="5" borderId="3" xfId="0" applyFont="1" applyFill="1" applyBorder="1"/>
    <xf numFmtId="0" fontId="15" fillId="5" borderId="4" xfId="0" applyFont="1" applyFill="1" applyBorder="1" applyAlignment="1">
      <alignment horizontal="center"/>
    </xf>
    <xf numFmtId="166" fontId="15" fillId="5" borderId="4" xfId="1" applyNumberFormat="1" applyFont="1" applyFill="1" applyBorder="1"/>
    <xf numFmtId="38" fontId="21" fillId="5" borderId="5" xfId="0" applyNumberFormat="1" applyFont="1" applyFill="1" applyBorder="1"/>
    <xf numFmtId="38" fontId="15" fillId="5" borderId="6" xfId="0" applyNumberFormat="1" applyFont="1" applyFill="1" applyBorder="1" applyAlignment="1">
      <alignment horizontal="center"/>
    </xf>
    <xf numFmtId="38" fontId="15" fillId="5" borderId="6" xfId="0" applyNumberFormat="1" applyFont="1" applyFill="1" applyBorder="1"/>
    <xf numFmtId="0" fontId="21" fillId="4" borderId="3" xfId="0" applyFont="1" applyFill="1" applyBorder="1"/>
    <xf numFmtId="38" fontId="15" fillId="4" borderId="4" xfId="1" applyNumberFormat="1" applyFont="1" applyFill="1" applyBorder="1"/>
    <xf numFmtId="38" fontId="15" fillId="4" borderId="21" xfId="1" applyNumberFormat="1" applyFont="1" applyFill="1" applyBorder="1"/>
    <xf numFmtId="38" fontId="15" fillId="0" borderId="4" xfId="1" applyNumberFormat="1" applyFont="1" applyFill="1" applyBorder="1"/>
    <xf numFmtId="0" fontId="15" fillId="5" borderId="3" xfId="0" applyFont="1" applyFill="1" applyBorder="1"/>
    <xf numFmtId="38" fontId="15" fillId="5" borderId="4" xfId="1" applyNumberFormat="1" applyFont="1" applyFill="1" applyBorder="1"/>
    <xf numFmtId="38" fontId="15" fillId="5" borderId="13" xfId="1" applyNumberFormat="1" applyFont="1" applyFill="1" applyBorder="1"/>
    <xf numFmtId="38" fontId="15" fillId="5" borderId="5" xfId="0" applyNumberFormat="1" applyFont="1" applyFill="1" applyBorder="1"/>
    <xf numFmtId="38" fontId="15" fillId="5" borderId="6" xfId="1" applyNumberFormat="1" applyFont="1" applyFill="1" applyBorder="1"/>
    <xf numFmtId="38" fontId="15" fillId="5" borderId="19" xfId="1" applyNumberFormat="1" applyFont="1" applyFill="1" applyBorder="1"/>
    <xf numFmtId="0" fontId="33" fillId="0" borderId="0" xfId="3" applyFont="1" applyFill="1" applyAlignment="1">
      <alignment horizontal="left"/>
    </xf>
    <xf numFmtId="0" fontId="15" fillId="6" borderId="11" xfId="0" applyFont="1" applyFill="1" applyBorder="1" applyAlignment="1">
      <alignment horizontal="center"/>
    </xf>
    <xf numFmtId="0" fontId="15" fillId="6" borderId="39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9" fillId="0" borderId="10" xfId="0" applyFont="1" applyFill="1" applyBorder="1"/>
    <xf numFmtId="0" fontId="15" fillId="6" borderId="4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166" fontId="15" fillId="6" borderId="4" xfId="1" applyNumberFormat="1" applyFont="1" applyFill="1" applyBorder="1"/>
    <xf numFmtId="166" fontId="15" fillId="6" borderId="13" xfId="1" applyNumberFormat="1" applyFont="1" applyFill="1" applyBorder="1"/>
    <xf numFmtId="38" fontId="15" fillId="6" borderId="4" xfId="1" applyNumberFormat="1" applyFont="1" applyFill="1" applyBorder="1"/>
    <xf numFmtId="38" fontId="15" fillId="6" borderId="21" xfId="1" applyNumberFormat="1" applyFont="1" applyFill="1" applyBorder="1"/>
    <xf numFmtId="38" fontId="15" fillId="6" borderId="13" xfId="1" applyNumberFormat="1" applyFont="1" applyFill="1" applyBorder="1"/>
    <xf numFmtId="38" fontId="21" fillId="5" borderId="0" xfId="0" applyNumberFormat="1" applyFont="1" applyFill="1" applyBorder="1"/>
    <xf numFmtId="38" fontId="15" fillId="5" borderId="0" xfId="0" applyNumberFormat="1" applyFont="1" applyFill="1" applyBorder="1" applyAlignment="1">
      <alignment horizontal="center"/>
    </xf>
    <xf numFmtId="38" fontId="15" fillId="5" borderId="0" xfId="0" applyNumberFormat="1" applyFont="1" applyFill="1" applyBorder="1"/>
    <xf numFmtId="166" fontId="15" fillId="0" borderId="0" xfId="2" applyNumberFormat="1" applyFont="1"/>
    <xf numFmtId="49" fontId="27" fillId="0" borderId="0" xfId="0" applyNumberFormat="1" applyFont="1" applyBorder="1" applyAlignment="1">
      <alignment horizontal="center"/>
    </xf>
    <xf numFmtId="49" fontId="27" fillId="0" borderId="29" xfId="0" applyNumberFormat="1" applyFont="1" applyBorder="1" applyAlignment="1">
      <alignment horizontal="center"/>
    </xf>
    <xf numFmtId="166" fontId="15" fillId="0" borderId="21" xfId="1" applyNumberFormat="1" applyFont="1" applyBorder="1"/>
    <xf numFmtId="166" fontId="15" fillId="6" borderId="21" xfId="1" applyNumberFormat="1" applyFont="1" applyFill="1" applyBorder="1"/>
    <xf numFmtId="166" fontId="38" fillId="4" borderId="21" xfId="1" applyNumberFormat="1" applyFont="1" applyFill="1" applyBorder="1"/>
    <xf numFmtId="166" fontId="15" fillId="2" borderId="21" xfId="1" applyNumberFormat="1" applyFont="1" applyFill="1" applyBorder="1"/>
    <xf numFmtId="166" fontId="15" fillId="0" borderId="21" xfId="1" applyNumberFormat="1" applyFont="1" applyFill="1" applyBorder="1"/>
    <xf numFmtId="166" fontId="15" fillId="5" borderId="21" xfId="1" applyNumberFormat="1" applyFont="1" applyFill="1" applyBorder="1"/>
    <xf numFmtId="38" fontId="15" fillId="5" borderId="22" xfId="0" applyNumberFormat="1" applyFont="1" applyFill="1" applyBorder="1"/>
    <xf numFmtId="0" fontId="3" fillId="0" borderId="17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/>
    <xf numFmtId="1" fontId="3" fillId="0" borderId="23" xfId="0" applyNumberFormat="1" applyFont="1" applyBorder="1" applyAlignment="1">
      <alignment horizontal="right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0" fontId="39" fillId="0" borderId="0" xfId="0" applyFont="1" applyAlignment="1">
      <alignment horizontal="center" readingOrder="1"/>
    </xf>
    <xf numFmtId="0" fontId="3" fillId="0" borderId="0" xfId="0" applyFont="1" applyAlignment="1">
      <alignment horizontal="left"/>
    </xf>
    <xf numFmtId="38" fontId="34" fillId="7" borderId="34" xfId="0" applyNumberFormat="1" applyFont="1" applyFill="1" applyBorder="1"/>
    <xf numFmtId="0" fontId="34" fillId="7" borderId="34" xfId="3" applyFont="1" applyFill="1" applyBorder="1" applyAlignment="1">
      <alignment horizontal="center"/>
    </xf>
    <xf numFmtId="0" fontId="33" fillId="7" borderId="34" xfId="3" applyFont="1" applyFill="1" applyBorder="1"/>
    <xf numFmtId="0" fontId="33" fillId="8" borderId="0" xfId="3" applyFont="1" applyFill="1" applyAlignment="1">
      <alignment horizontal="left" indent="1"/>
    </xf>
    <xf numFmtId="38" fontId="33" fillId="8" borderId="0" xfId="3" applyNumberFormat="1" applyFont="1" applyFill="1" applyAlignment="1">
      <alignment horizontal="center"/>
    </xf>
    <xf numFmtId="166" fontId="33" fillId="8" borderId="0" xfId="2" applyNumberFormat="1" applyFont="1" applyFill="1" applyAlignment="1">
      <alignment horizontal="center"/>
    </xf>
    <xf numFmtId="38" fontId="33" fillId="8" borderId="0" xfId="0" applyNumberFormat="1" applyFont="1" applyFill="1" applyAlignment="1">
      <alignment horizontal="left" indent="1"/>
    </xf>
    <xf numFmtId="3" fontId="33" fillId="8" borderId="0" xfId="3" applyNumberFormat="1" applyFont="1" applyFill="1"/>
    <xf numFmtId="0" fontId="33" fillId="4" borderId="0" xfId="3" applyFont="1" applyFill="1"/>
    <xf numFmtId="0" fontId="14" fillId="4" borderId="0" xfId="3" applyFont="1" applyFill="1"/>
    <xf numFmtId="165" fontId="33" fillId="4" borderId="0" xfId="3" applyNumberFormat="1" applyFont="1" applyFill="1"/>
    <xf numFmtId="3" fontId="27" fillId="0" borderId="13" xfId="0" applyNumberFormat="1" applyFont="1" applyBorder="1" applyAlignment="1">
      <alignment horizontal="right"/>
    </xf>
    <xf numFmtId="1" fontId="0" fillId="0" borderId="0" xfId="0" applyNumberFormat="1"/>
    <xf numFmtId="1" fontId="0" fillId="0" borderId="4" xfId="0" applyNumberFormat="1" applyBorder="1"/>
    <xf numFmtId="0" fontId="34" fillId="7" borderId="0" xfId="3" applyFont="1" applyFill="1"/>
    <xf numFmtId="0" fontId="34" fillId="7" borderId="0" xfId="3" applyFont="1" applyFill="1" applyAlignment="1">
      <alignment horizontal="center"/>
    </xf>
    <xf numFmtId="166" fontId="33" fillId="3" borderId="0" xfId="2" applyNumberFormat="1" applyFont="1" applyFill="1"/>
    <xf numFmtId="43" fontId="33" fillId="3" borderId="0" xfId="3" applyNumberFormat="1" applyFont="1" applyFill="1"/>
    <xf numFmtId="2" fontId="33" fillId="8" borderId="0" xfId="3" applyNumberFormat="1" applyFont="1" applyFill="1" applyAlignment="1">
      <alignment horizontal="right"/>
    </xf>
    <xf numFmtId="0" fontId="33" fillId="7" borderId="0" xfId="3" applyFont="1" applyFill="1"/>
    <xf numFmtId="0" fontId="33" fillId="7" borderId="0" xfId="3" applyFont="1" applyFill="1" applyAlignment="1">
      <alignment horizontal="center"/>
    </xf>
    <xf numFmtId="0" fontId="15" fillId="8" borderId="0" xfId="3" applyFont="1" applyFill="1" applyAlignment="1">
      <alignment horizontal="left" indent="1"/>
    </xf>
    <xf numFmtId="43" fontId="15" fillId="8" borderId="0" xfId="2" applyNumberFormat="1" applyFont="1" applyFill="1"/>
    <xf numFmtId="0" fontId="15" fillId="8" borderId="0" xfId="3" applyFont="1" applyFill="1"/>
    <xf numFmtId="0" fontId="15" fillId="0" borderId="0" xfId="3" applyFont="1" applyFill="1"/>
    <xf numFmtId="0" fontId="15" fillId="3" borderId="0" xfId="3" applyFont="1" applyFill="1" applyAlignment="1">
      <alignment horizontal="left" indent="1"/>
    </xf>
    <xf numFmtId="170" fontId="15" fillId="3" borderId="0" xfId="2" applyNumberFormat="1" applyFont="1" applyFill="1"/>
    <xf numFmtId="0" fontId="15" fillId="3" borderId="0" xfId="3" applyFont="1" applyFill="1"/>
    <xf numFmtId="2" fontId="15" fillId="8" borderId="0" xfId="3" applyNumberFormat="1" applyFont="1" applyFill="1" applyAlignment="1">
      <alignment horizontal="center"/>
    </xf>
    <xf numFmtId="3" fontId="15" fillId="8" borderId="0" xfId="3" applyNumberFormat="1" applyFont="1" applyFill="1"/>
    <xf numFmtId="38" fontId="15" fillId="8" borderId="0" xfId="3" applyNumberFormat="1" applyFont="1" applyFill="1" applyAlignment="1">
      <alignment horizontal="right"/>
    </xf>
    <xf numFmtId="166" fontId="15" fillId="8" borderId="0" xfId="2" applyNumberFormat="1" applyFont="1" applyFill="1" applyAlignment="1">
      <alignment horizontal="center"/>
    </xf>
    <xf numFmtId="3" fontId="33" fillId="3" borderId="0" xfId="3" applyNumberFormat="1" applyFont="1" applyFill="1" applyAlignment="1">
      <alignment horizontal="left"/>
    </xf>
    <xf numFmtId="0" fontId="27" fillId="3" borderId="0" xfId="3" applyFont="1" applyFill="1"/>
    <xf numFmtId="3" fontId="28" fillId="0" borderId="0" xfId="0" applyNumberFormat="1" applyFont="1" applyAlignment="1">
      <alignment horizontal="left"/>
    </xf>
    <xf numFmtId="166" fontId="27" fillId="0" borderId="0" xfId="0" applyNumberFormat="1" applyFont="1" applyAlignment="1">
      <alignment horizontal="center"/>
    </xf>
    <xf numFmtId="0" fontId="30" fillId="0" borderId="0" xfId="0" applyFont="1" applyFill="1" applyAlignment="1">
      <alignment horizontal="left" indent="1"/>
    </xf>
    <xf numFmtId="0" fontId="15" fillId="0" borderId="0" xfId="0" applyFont="1" applyAlignment="1">
      <alignment horizontal="left" indent="2"/>
    </xf>
    <xf numFmtId="2" fontId="15" fillId="0" borderId="0" xfId="0" applyNumberFormat="1" applyFont="1" applyAlignment="1">
      <alignment horizontal="center"/>
    </xf>
    <xf numFmtId="1" fontId="15" fillId="0" borderId="4" xfId="0" applyNumberFormat="1" applyFont="1" applyBorder="1" applyAlignment="1">
      <alignment horizontal="center"/>
    </xf>
    <xf numFmtId="0" fontId="27" fillId="0" borderId="4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38" fontId="30" fillId="0" borderId="41" xfId="0" applyNumberFormat="1" applyFont="1" applyBorder="1" applyAlignment="1">
      <alignment horizontal="center"/>
    </xf>
    <xf numFmtId="38" fontId="30" fillId="0" borderId="42" xfId="0" applyNumberFormat="1" applyFont="1" applyBorder="1" applyAlignment="1">
      <alignment horizontal="center"/>
    </xf>
    <xf numFmtId="38" fontId="30" fillId="0" borderId="38" xfId="0" applyNumberFormat="1" applyFont="1" applyBorder="1" applyAlignment="1">
      <alignment horizontal="center" vertical="center"/>
    </xf>
    <xf numFmtId="38" fontId="30" fillId="0" borderId="43" xfId="0" applyNumberFormat="1" applyFont="1" applyBorder="1" applyAlignment="1">
      <alignment horizontal="center" vertical="center"/>
    </xf>
    <xf numFmtId="38" fontId="30" fillId="0" borderId="44" xfId="0" applyNumberFormat="1" applyFont="1" applyBorder="1" applyAlignment="1">
      <alignment horizontal="center" vertical="center"/>
    </xf>
    <xf numFmtId="38" fontId="30" fillId="0" borderId="45" xfId="0" applyNumberFormat="1" applyFont="1" applyBorder="1" applyAlignment="1">
      <alignment horizontal="center" vertical="center"/>
    </xf>
    <xf numFmtId="38" fontId="30" fillId="0" borderId="39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27" xfId="0" applyFont="1" applyBorder="1" applyAlignment="1">
      <alignment horizontal="center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workbookViewId="0">
      <pane ySplit="16" topLeftCell="A17" activePane="bottomLeft" state="frozen"/>
      <selection pane="bottomLeft" activeCell="I14" sqref="I14"/>
    </sheetView>
  </sheetViews>
  <sheetFormatPr defaultColWidth="12.28515625" defaultRowHeight="15"/>
  <cols>
    <col min="1" max="1" width="4.140625" style="108" customWidth="1"/>
    <col min="2" max="2" width="17.5703125" style="108" customWidth="1"/>
    <col min="3" max="4" width="12.28515625" style="108" customWidth="1"/>
    <col min="5" max="5" width="6.7109375" style="108" customWidth="1"/>
    <col min="6" max="6" width="15.85546875" style="108" customWidth="1"/>
    <col min="7" max="7" width="12.28515625" style="108" customWidth="1"/>
    <col min="8" max="8" width="14" style="110" customWidth="1"/>
    <col min="9" max="9" width="6.42578125" style="110" customWidth="1"/>
    <col min="10" max="11" width="12.28515625" style="108"/>
    <col min="12" max="12" width="13.42578125" style="108" customWidth="1"/>
    <col min="13" max="16384" width="12.28515625" style="108"/>
  </cols>
  <sheetData>
    <row r="1" spans="1:12" s="101" customFormat="1" ht="18.75">
      <c r="A1" s="277"/>
      <c r="B1" s="278" t="s">
        <v>320</v>
      </c>
      <c r="C1" s="277"/>
      <c r="D1" s="277"/>
      <c r="E1" s="277"/>
      <c r="F1" s="277"/>
      <c r="G1" s="277"/>
      <c r="H1" s="277"/>
      <c r="I1" s="277"/>
      <c r="J1" s="277"/>
      <c r="K1" s="277"/>
    </row>
    <row r="2" spans="1:12" s="101" customFormat="1">
      <c r="A2" s="277"/>
      <c r="B2" s="277" t="s">
        <v>149</v>
      </c>
      <c r="C2" s="277" t="s">
        <v>255</v>
      </c>
      <c r="D2" s="277"/>
      <c r="E2" s="277"/>
      <c r="F2" s="277"/>
      <c r="G2" s="277"/>
      <c r="H2" s="277"/>
      <c r="I2" s="277"/>
      <c r="J2" s="277"/>
      <c r="K2" s="277"/>
    </row>
    <row r="3" spans="1:12" s="101" customFormat="1">
      <c r="A3" s="277"/>
      <c r="B3" s="277" t="s">
        <v>150</v>
      </c>
      <c r="C3" s="277" t="s">
        <v>269</v>
      </c>
      <c r="D3" s="277"/>
      <c r="E3" s="277"/>
      <c r="F3" s="277"/>
      <c r="G3" s="277"/>
      <c r="H3" s="277"/>
      <c r="I3" s="277"/>
      <c r="J3" s="277"/>
      <c r="K3" s="277"/>
    </row>
    <row r="4" spans="1:12" s="101" customFormat="1">
      <c r="A4" s="277"/>
      <c r="B4" s="277" t="s">
        <v>151</v>
      </c>
      <c r="C4" s="279">
        <v>2</v>
      </c>
      <c r="D4" s="277" t="s">
        <v>152</v>
      </c>
      <c r="E4" s="277"/>
      <c r="F4" s="277"/>
      <c r="G4" s="277"/>
      <c r="H4" s="277"/>
      <c r="I4" s="277"/>
      <c r="J4" s="277"/>
      <c r="K4" s="277"/>
    </row>
    <row r="5" spans="1:12" s="101" customFormat="1"/>
    <row r="6" spans="1:12" s="101" customFormat="1">
      <c r="B6" s="102" t="s">
        <v>153</v>
      </c>
      <c r="F6" s="102" t="s">
        <v>154</v>
      </c>
      <c r="H6" s="103"/>
      <c r="I6" s="104"/>
    </row>
    <row r="7" spans="1:12" s="101" customFormat="1">
      <c r="B7" s="105" t="s">
        <v>155</v>
      </c>
      <c r="C7" s="101" t="s">
        <v>156</v>
      </c>
      <c r="D7" s="106">
        <v>7.8E-2</v>
      </c>
      <c r="F7" s="270" t="s">
        <v>40</v>
      </c>
      <c r="G7" s="270" t="s">
        <v>157</v>
      </c>
      <c r="H7" s="270" t="s">
        <v>158</v>
      </c>
      <c r="I7" s="104"/>
      <c r="J7" s="283" t="s">
        <v>328</v>
      </c>
      <c r="K7" s="288"/>
      <c r="L7" s="289"/>
    </row>
    <row r="8" spans="1:12" s="101" customFormat="1">
      <c r="B8" s="105" t="s">
        <v>55</v>
      </c>
      <c r="C8" s="101" t="s">
        <v>156</v>
      </c>
      <c r="D8" s="106">
        <f>D7-5%</f>
        <v>2.7999999999999997E-2</v>
      </c>
      <c r="F8" s="272" t="s">
        <v>155</v>
      </c>
      <c r="G8" s="273">
        <f>NPV(D7,'P-Budget'!C65:AF65)</f>
        <v>57416035.881318815</v>
      </c>
      <c r="H8" s="274">
        <f>G8/D9</f>
        <v>6320.5675783045808</v>
      </c>
      <c r="J8" s="297">
        <f>'P-Budget'!B75/1000000</f>
        <v>37.131183499999999</v>
      </c>
      <c r="K8" s="298"/>
      <c r="L8" s="274"/>
    </row>
    <row r="9" spans="1:12" s="101" customFormat="1">
      <c r="B9" s="102" t="s">
        <v>159</v>
      </c>
      <c r="C9" s="101" t="s">
        <v>160</v>
      </c>
      <c r="D9" s="107">
        <v>9084</v>
      </c>
      <c r="F9" s="272" t="s">
        <v>163</v>
      </c>
      <c r="G9" s="273">
        <f>NPV(D8,'S-Budget'!C65:AF65)</f>
        <v>154329658.77947074</v>
      </c>
      <c r="H9" s="274">
        <f>G9/D9</f>
        <v>16989.174238162785</v>
      </c>
      <c r="J9" s="297">
        <f>'S-Budget'!B74/1000000</f>
        <v>40.837000000000003</v>
      </c>
      <c r="K9" s="298"/>
      <c r="L9" s="274"/>
    </row>
    <row r="10" spans="1:12" s="101" customFormat="1">
      <c r="B10" s="102" t="s">
        <v>161</v>
      </c>
      <c r="C10" s="101" t="s">
        <v>162</v>
      </c>
      <c r="F10" s="269" t="s">
        <v>126</v>
      </c>
      <c r="G10" s="270" t="s">
        <v>157</v>
      </c>
      <c r="H10" s="271"/>
      <c r="J10" s="283" t="s">
        <v>329</v>
      </c>
      <c r="K10" s="288"/>
      <c r="L10" s="288"/>
    </row>
    <row r="11" spans="1:12" s="101" customFormat="1">
      <c r="B11" s="105" t="s">
        <v>155</v>
      </c>
      <c r="D11" s="107">
        <v>75000</v>
      </c>
      <c r="F11" s="275" t="s">
        <v>265</v>
      </c>
      <c r="G11" s="276">
        <v>198718</v>
      </c>
      <c r="H11" s="287">
        <f>G11/D9</f>
        <v>21.875605460149714</v>
      </c>
      <c r="I11" s="104"/>
      <c r="J11" s="297">
        <f>'P-Budget'!C64/1000000</f>
        <v>7.7450000000000001</v>
      </c>
      <c r="K11" s="299"/>
      <c r="L11" s="300"/>
    </row>
    <row r="12" spans="1:12" s="101" customFormat="1">
      <c r="B12" s="105" t="s">
        <v>55</v>
      </c>
      <c r="D12" s="107">
        <v>75000</v>
      </c>
      <c r="F12" s="275" t="s">
        <v>266</v>
      </c>
      <c r="G12" s="276">
        <v>304359</v>
      </c>
      <c r="H12" s="287">
        <f>G12/D9</f>
        <v>33.504953764861291</v>
      </c>
      <c r="I12" s="104"/>
      <c r="J12" s="297">
        <f>'S-Budget'!C64/1000000</f>
        <v>5.38</v>
      </c>
      <c r="K12" s="299"/>
      <c r="L12" s="300"/>
    </row>
    <row r="13" spans="1:12" s="101" customFormat="1">
      <c r="I13" s="104"/>
    </row>
    <row r="14" spans="1:12" s="101" customFormat="1">
      <c r="B14" s="283" t="s">
        <v>323</v>
      </c>
      <c r="C14" s="284" t="s">
        <v>324</v>
      </c>
      <c r="D14" s="284" t="s">
        <v>325</v>
      </c>
      <c r="F14" s="288" t="s">
        <v>327</v>
      </c>
      <c r="G14" s="288"/>
      <c r="H14" s="289"/>
      <c r="I14" s="104"/>
      <c r="J14" s="102" t="s">
        <v>330</v>
      </c>
      <c r="L14" s="301">
        <f>'I-O'!C64</f>
        <v>54.333333333333336</v>
      </c>
    </row>
    <row r="15" spans="1:12" s="101" customFormat="1">
      <c r="B15" s="101" t="s">
        <v>326</v>
      </c>
      <c r="C15" s="285">
        <f>Harga!C58</f>
        <v>1400</v>
      </c>
      <c r="D15" s="286">
        <f>(C15/1000000)*1000</f>
        <v>1.4</v>
      </c>
      <c r="F15" s="290" t="s">
        <v>326</v>
      </c>
      <c r="G15" s="291">
        <f>'I-O'!C76</f>
        <v>0.11114793008279665</v>
      </c>
      <c r="H15" s="292"/>
      <c r="I15" s="104"/>
      <c r="J15" s="302" t="s">
        <v>331</v>
      </c>
    </row>
    <row r="16" spans="1:12" s="101" customFormat="1">
      <c r="F16" s="294"/>
      <c r="G16" s="295"/>
      <c r="H16" s="296"/>
      <c r="I16" s="104"/>
    </row>
    <row r="17" spans="2:9" s="101" customFormat="1">
      <c r="H17" s="104"/>
      <c r="I17" s="104"/>
    </row>
    <row r="18" spans="2:9">
      <c r="B18" s="109" t="s">
        <v>164</v>
      </c>
    </row>
    <row r="19" spans="2:9">
      <c r="B19" s="108" t="s">
        <v>238</v>
      </c>
    </row>
    <row r="20" spans="2:9">
      <c r="B20" s="108" t="s">
        <v>267</v>
      </c>
    </row>
    <row r="21" spans="2:9">
      <c r="B21" s="234" t="s">
        <v>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AG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9" sqref="B9"/>
    </sheetView>
  </sheetViews>
  <sheetFormatPr defaultRowHeight="12.75"/>
  <cols>
    <col min="1" max="1" width="26.85546875" style="42" bestFit="1" customWidth="1"/>
    <col min="2" max="2" width="12" style="42" customWidth="1"/>
    <col min="3" max="3" width="11.28515625" style="42" customWidth="1"/>
    <col min="4" max="4" width="12" style="42" customWidth="1"/>
    <col min="5" max="8" width="12" style="42" bestFit="1" customWidth="1"/>
    <col min="9" max="9" width="14.85546875" style="42" customWidth="1"/>
    <col min="10" max="10" width="16" style="42" customWidth="1"/>
    <col min="11" max="15" width="12.42578125" style="42" bestFit="1" customWidth="1"/>
    <col min="16" max="25" width="12.28515625" style="42" bestFit="1" customWidth="1"/>
    <col min="26" max="26" width="12.42578125" style="42" bestFit="1" customWidth="1"/>
    <col min="27" max="27" width="14" style="42" bestFit="1" customWidth="1"/>
    <col min="28" max="32" width="14" style="42" customWidth="1"/>
    <col min="33" max="33" width="12.42578125" style="42" bestFit="1" customWidth="1"/>
    <col min="34" max="16384" width="9.140625" style="42"/>
  </cols>
  <sheetData>
    <row r="2" spans="1:33" ht="18.75">
      <c r="A2" s="51" t="s">
        <v>41</v>
      </c>
    </row>
    <row r="3" spans="1:33">
      <c r="A3" s="52" t="s">
        <v>42</v>
      </c>
      <c r="B3" s="52"/>
    </row>
    <row r="4" spans="1:33">
      <c r="A4" s="52"/>
      <c r="B4" s="53"/>
    </row>
    <row r="5" spans="1:33" ht="13.5" thickBot="1">
      <c r="A5" s="54" t="s">
        <v>43</v>
      </c>
    </row>
    <row r="6" spans="1:33" s="58" customFormat="1">
      <c r="A6" s="55"/>
      <c r="B6" s="56" t="s">
        <v>0</v>
      </c>
      <c r="C6" s="56" t="s">
        <v>1</v>
      </c>
      <c r="D6" s="56" t="s">
        <v>2</v>
      </c>
      <c r="E6" s="56" t="s">
        <v>3</v>
      </c>
      <c r="F6" s="56" t="s">
        <v>4</v>
      </c>
      <c r="G6" s="56" t="s">
        <v>5</v>
      </c>
      <c r="H6" s="56" t="s">
        <v>6</v>
      </c>
      <c r="I6" s="56" t="s">
        <v>7</v>
      </c>
      <c r="J6" s="56" t="s">
        <v>8</v>
      </c>
      <c r="K6" s="56" t="s">
        <v>9</v>
      </c>
      <c r="L6" s="56" t="s">
        <v>10</v>
      </c>
      <c r="M6" s="56" t="s">
        <v>11</v>
      </c>
      <c r="N6" s="56" t="s">
        <v>12</v>
      </c>
      <c r="O6" s="56" t="s">
        <v>13</v>
      </c>
      <c r="P6" s="56" t="s">
        <v>14</v>
      </c>
      <c r="Q6" s="56" t="s">
        <v>15</v>
      </c>
      <c r="R6" s="56" t="s">
        <v>16</v>
      </c>
      <c r="S6" s="56" t="s">
        <v>17</v>
      </c>
      <c r="T6" s="56" t="s">
        <v>18</v>
      </c>
      <c r="U6" s="56" t="s">
        <v>19</v>
      </c>
      <c r="V6" s="56" t="s">
        <v>20</v>
      </c>
      <c r="W6" s="56" t="s">
        <v>21</v>
      </c>
      <c r="X6" s="56" t="s">
        <v>22</v>
      </c>
      <c r="Y6" s="56" t="s">
        <v>23</v>
      </c>
      <c r="Z6" s="56" t="s">
        <v>24</v>
      </c>
      <c r="AA6" s="56" t="s">
        <v>260</v>
      </c>
      <c r="AB6" s="56" t="s">
        <v>261</v>
      </c>
      <c r="AC6" s="56" t="s">
        <v>262</v>
      </c>
      <c r="AD6" s="56" t="s">
        <v>263</v>
      </c>
      <c r="AE6" s="56" t="s">
        <v>264</v>
      </c>
      <c r="AF6" s="56" t="s">
        <v>44</v>
      </c>
      <c r="AG6" s="57" t="s">
        <v>40</v>
      </c>
    </row>
    <row r="7" spans="1:33">
      <c r="A7" s="59" t="s">
        <v>110</v>
      </c>
      <c r="B7" s="60">
        <f>'P-Budget'!C63</f>
        <v>0</v>
      </c>
      <c r="C7" s="60">
        <f>'P-Budget'!D63</f>
        <v>0</v>
      </c>
      <c r="D7" s="60">
        <f>'P-Budget'!E63</f>
        <v>2548140</v>
      </c>
      <c r="E7" s="60">
        <f>'P-Budget'!F63</f>
        <v>4628960</v>
      </c>
      <c r="F7" s="60">
        <f>'P-Budget'!G63</f>
        <v>6568379.9999999981</v>
      </c>
      <c r="G7" s="60">
        <f>'P-Budget'!H63</f>
        <v>8366400.0000000019</v>
      </c>
      <c r="H7" s="60">
        <f>'P-Budget'!I63</f>
        <v>10023020</v>
      </c>
      <c r="I7" s="60">
        <f>'P-Budget'!J63</f>
        <v>11538240</v>
      </c>
      <c r="J7" s="60">
        <f>'P-Budget'!K63</f>
        <v>12912060</v>
      </c>
      <c r="K7" s="60">
        <f>'P-Budget'!L63</f>
        <v>14144479.999999996</v>
      </c>
      <c r="L7" s="60">
        <f>'P-Budget'!M63</f>
        <v>15235500</v>
      </c>
      <c r="M7" s="60">
        <f>'P-Budget'!N63</f>
        <v>16185119.999999996</v>
      </c>
      <c r="N7" s="60">
        <f>'P-Budget'!O63</f>
        <v>16993339.999999996</v>
      </c>
      <c r="O7" s="60">
        <f>'P-Budget'!P63</f>
        <v>17660160</v>
      </c>
      <c r="P7" s="60">
        <f>'P-Budget'!Q63</f>
        <v>18185579.999999996</v>
      </c>
      <c r="Q7" s="60">
        <f>'P-Budget'!R63</f>
        <v>18569600</v>
      </c>
      <c r="R7" s="60">
        <f>'P-Budget'!S63</f>
        <v>18812220</v>
      </c>
      <c r="S7" s="60">
        <f>'P-Budget'!T63</f>
        <v>18913439.999999996</v>
      </c>
      <c r="T7" s="60">
        <f>'P-Budget'!U63</f>
        <v>18873260.000000004</v>
      </c>
      <c r="U7" s="60">
        <f>'P-Budget'!V63</f>
        <v>18691679.999999996</v>
      </c>
      <c r="V7" s="60">
        <f>'P-Budget'!W63</f>
        <v>18368700.000000004</v>
      </c>
      <c r="W7" s="60">
        <f>'P-Budget'!X63</f>
        <v>17904319.999999996</v>
      </c>
      <c r="X7" s="60">
        <f>'P-Budget'!Y63</f>
        <v>17298540</v>
      </c>
      <c r="Y7" s="60">
        <f>'P-Budget'!Z63</f>
        <v>16551359.999999993</v>
      </c>
      <c r="Z7" s="60">
        <f>'P-Budget'!AA63</f>
        <v>15662779.999999998</v>
      </c>
      <c r="AA7" s="60">
        <f>'P-Budget'!AB63</f>
        <v>14632799.999999993</v>
      </c>
      <c r="AB7" s="60">
        <f>'P-Budget'!AC63</f>
        <v>13461420.000000002</v>
      </c>
      <c r="AC7" s="60">
        <f>'P-Budget'!AD63</f>
        <v>12148639.999999996</v>
      </c>
      <c r="AD7" s="60">
        <f>'P-Budget'!AE63</f>
        <v>10694460.000000006</v>
      </c>
      <c r="AE7" s="60">
        <f>'P-Budget'!AF63</f>
        <v>9098880.0000000019</v>
      </c>
      <c r="AF7" s="60">
        <f t="shared" ref="AF7:AF12" si="0">SUM(B7:AE7)</f>
        <v>394671480</v>
      </c>
      <c r="AG7" s="61">
        <f>NPV(Asumsi!$D$7,B7:AE7)</f>
        <v>119842511.92306596</v>
      </c>
    </row>
    <row r="8" spans="1:33">
      <c r="A8" s="59" t="s">
        <v>35</v>
      </c>
      <c r="B8" s="60">
        <f>'P-Budget'!C64</f>
        <v>7745000</v>
      </c>
      <c r="C8" s="60">
        <f>'P-Budget'!D64</f>
        <v>3269000</v>
      </c>
      <c r="D8" s="60">
        <f>'P-Budget'!E64</f>
        <v>4850358.653846154</v>
      </c>
      <c r="E8" s="60">
        <f>'P-Budget'!F64</f>
        <v>4708199.5</v>
      </c>
      <c r="F8" s="60">
        <f>'P-Budget'!G64</f>
        <v>5117930.5</v>
      </c>
      <c r="G8" s="60">
        <f>'P-Budget'!H64</f>
        <v>5131541.5</v>
      </c>
      <c r="H8" s="60">
        <f>'P-Budget'!I64</f>
        <v>4798032.5</v>
      </c>
      <c r="I8" s="60">
        <f>'P-Budget'!J64</f>
        <v>5256403.5</v>
      </c>
      <c r="J8" s="60">
        <f>'P-Budget'!K64</f>
        <v>5498654.5</v>
      </c>
      <c r="K8" s="60">
        <f>'P-Budget'!L64</f>
        <v>5728785.5</v>
      </c>
      <c r="L8" s="60">
        <f>'P-Budget'!M64</f>
        <v>5396796.5</v>
      </c>
      <c r="M8" s="60">
        <f>'P-Budget'!N64</f>
        <v>5952687.5</v>
      </c>
      <c r="N8" s="60">
        <f>'P-Budget'!O64</f>
        <v>5546458.5</v>
      </c>
      <c r="O8" s="60">
        <f>'P-Budget'!P64</f>
        <v>5778109.5</v>
      </c>
      <c r="P8" s="60">
        <f>'P-Budget'!Q64</f>
        <v>6197640.5</v>
      </c>
      <c r="Q8" s="60">
        <f>'P-Budget'!R64</f>
        <v>5855051.5</v>
      </c>
      <c r="R8" s="60">
        <f>'P-Budget'!S64</f>
        <v>5700342.5</v>
      </c>
      <c r="S8" s="60">
        <f>'P-Budget'!T64</f>
        <v>6183513.5</v>
      </c>
      <c r="T8" s="60">
        <f>'P-Budget'!U64</f>
        <v>5704564.5</v>
      </c>
      <c r="U8" s="60">
        <f>'P-Budget'!V64</f>
        <v>6113495.5</v>
      </c>
      <c r="V8" s="60">
        <f>'P-Budget'!W64</f>
        <v>5960306.5</v>
      </c>
      <c r="W8" s="60">
        <f>'P-Budget'!X64</f>
        <v>5794997.5</v>
      </c>
      <c r="X8" s="60">
        <f>'P-Budget'!Y64</f>
        <v>5567568.5</v>
      </c>
      <c r="Y8" s="60">
        <f>'P-Budget'!Z64</f>
        <v>5978019.4999999991</v>
      </c>
      <c r="Z8" s="60">
        <f>'P-Budget'!AA64</f>
        <v>5676350.5</v>
      </c>
      <c r="AA8" s="60">
        <f>'P-Budget'!AB64</f>
        <v>5512561.4999999991</v>
      </c>
      <c r="AB8" s="60">
        <f>'P-Budget'!AC64</f>
        <v>5540836</v>
      </c>
      <c r="AC8" s="60">
        <f>'P-Budget'!AD64</f>
        <v>5298623.5</v>
      </c>
      <c r="AD8" s="60">
        <f>'P-Budget'!AE64</f>
        <v>4998474.5</v>
      </c>
      <c r="AE8" s="60">
        <f>'P-Budget'!AF64</f>
        <v>5524863.346153846</v>
      </c>
      <c r="AF8" s="60">
        <f t="shared" si="0"/>
        <v>166385167.5</v>
      </c>
      <c r="AG8" s="61">
        <f>NPV(Asumsi!$D$7,B8:AE8)</f>
        <v>62426476.041747138</v>
      </c>
    </row>
    <row r="9" spans="1:33">
      <c r="A9" s="59" t="s">
        <v>36</v>
      </c>
      <c r="B9" s="60">
        <f>'P-Budget'!C25</f>
        <v>3070000</v>
      </c>
      <c r="C9" s="60">
        <f>'P-Budget'!D25</f>
        <v>1019000</v>
      </c>
      <c r="D9" s="60">
        <f>'P-Budget'!E25</f>
        <v>1294000</v>
      </c>
      <c r="E9" s="60">
        <f>'P-Budget'!F25</f>
        <v>1004000</v>
      </c>
      <c r="F9" s="60">
        <f>'P-Budget'!G25</f>
        <v>1398000</v>
      </c>
      <c r="G9" s="60">
        <f>'P-Budget'!H25</f>
        <v>1258000</v>
      </c>
      <c r="H9" s="60">
        <f>'P-Budget'!I25</f>
        <v>783000</v>
      </c>
      <c r="I9" s="60">
        <f>'P-Budget'!J25</f>
        <v>1112000</v>
      </c>
      <c r="J9" s="60">
        <f>'P-Budget'!K25</f>
        <v>1237000</v>
      </c>
      <c r="K9" s="60">
        <f>'P-Budget'!L25</f>
        <v>1362000</v>
      </c>
      <c r="L9" s="60">
        <f>'P-Budget'!M25</f>
        <v>937000</v>
      </c>
      <c r="M9" s="60">
        <f>'P-Budget'!N25</f>
        <v>1412000</v>
      </c>
      <c r="N9" s="60">
        <f>'P-Budget'!O25</f>
        <v>937000</v>
      </c>
      <c r="O9" s="60">
        <f>'P-Budget'!P25</f>
        <v>1112000</v>
      </c>
      <c r="P9" s="60">
        <f>'P-Budget'!Q25</f>
        <v>1487000</v>
      </c>
      <c r="Q9" s="60">
        <f>'P-Budget'!R25</f>
        <v>1112000</v>
      </c>
      <c r="R9" s="60">
        <f>'P-Budget'!S25</f>
        <v>937000</v>
      </c>
      <c r="S9" s="60">
        <f>'P-Budget'!T25</f>
        <v>1412000</v>
      </c>
      <c r="T9" s="60">
        <f>'P-Budget'!U25</f>
        <v>937000</v>
      </c>
      <c r="U9" s="60">
        <f>'P-Budget'!V25</f>
        <v>1362000</v>
      </c>
      <c r="V9" s="60">
        <f>'P-Budget'!W25</f>
        <v>1237000</v>
      </c>
      <c r="W9" s="60">
        <f>'P-Budget'!X25</f>
        <v>1112000</v>
      </c>
      <c r="X9" s="60">
        <f>'P-Budget'!Y25</f>
        <v>937000</v>
      </c>
      <c r="Y9" s="60">
        <f>'P-Budget'!Z25</f>
        <v>1412000</v>
      </c>
      <c r="Z9" s="60">
        <f>'P-Budget'!AA25</f>
        <v>1187000</v>
      </c>
      <c r="AA9" s="60">
        <f>'P-Budget'!AB25</f>
        <v>1112000</v>
      </c>
      <c r="AB9" s="60">
        <f>'P-Budget'!AC25</f>
        <v>1237000</v>
      </c>
      <c r="AC9" s="60">
        <f>'P-Budget'!AD25</f>
        <v>1112000</v>
      </c>
      <c r="AD9" s="60">
        <f>'P-Budget'!AE25</f>
        <v>937000</v>
      </c>
      <c r="AE9" s="60">
        <f>'P-Budget'!AF25</f>
        <v>1662000</v>
      </c>
      <c r="AF9" s="60">
        <f t="shared" si="0"/>
        <v>37127000</v>
      </c>
      <c r="AG9" s="61">
        <f>NPV(Asumsi!$D$7,B9:AE9)</f>
        <v>15090182.199803429</v>
      </c>
    </row>
    <row r="10" spans="1:33">
      <c r="A10" s="59" t="s">
        <v>37</v>
      </c>
      <c r="B10" s="60">
        <f>'P-Budget'!C55</f>
        <v>4675000</v>
      </c>
      <c r="C10" s="60">
        <f>'P-Budget'!D55</f>
        <v>2250000</v>
      </c>
      <c r="D10" s="60">
        <f>'P-Budget'!E55</f>
        <v>3518412</v>
      </c>
      <c r="E10" s="60">
        <f>'P-Budget'!F55</f>
        <v>3696768</v>
      </c>
      <c r="F10" s="60">
        <f>'P-Budget'!G55</f>
        <v>3713004</v>
      </c>
      <c r="G10" s="60">
        <f>'P-Budget'!H55</f>
        <v>3867120</v>
      </c>
      <c r="H10" s="60">
        <f>'P-Budget'!I55</f>
        <v>4009116</v>
      </c>
      <c r="I10" s="60">
        <f>'P-Budget'!J55</f>
        <v>4138992</v>
      </c>
      <c r="J10" s="60">
        <f>'P-Budget'!K55</f>
        <v>4256748</v>
      </c>
      <c r="K10" s="60">
        <f>'P-Budget'!L55</f>
        <v>4362384</v>
      </c>
      <c r="L10" s="60">
        <f>'P-Budget'!M55</f>
        <v>4455900</v>
      </c>
      <c r="M10" s="60">
        <f>'P-Budget'!N55</f>
        <v>4537296</v>
      </c>
      <c r="N10" s="60">
        <f>'P-Budget'!O55</f>
        <v>4606572</v>
      </c>
      <c r="O10" s="60">
        <f>'P-Budget'!P55</f>
        <v>4663728</v>
      </c>
      <c r="P10" s="60">
        <f>'P-Budget'!Q55</f>
        <v>4708764</v>
      </c>
      <c r="Q10" s="60">
        <f>'P-Budget'!R55</f>
        <v>4741680</v>
      </c>
      <c r="R10" s="60">
        <f>'P-Budget'!S55</f>
        <v>4762476</v>
      </c>
      <c r="S10" s="60">
        <f>'P-Budget'!T55</f>
        <v>4771152</v>
      </c>
      <c r="T10" s="60">
        <f>'P-Budget'!U55</f>
        <v>4767708</v>
      </c>
      <c r="U10" s="60">
        <f>'P-Budget'!V55</f>
        <v>4752144</v>
      </c>
      <c r="V10" s="60">
        <f>'P-Budget'!W55</f>
        <v>4724460</v>
      </c>
      <c r="W10" s="60">
        <f>'P-Budget'!X55</f>
        <v>4684656</v>
      </c>
      <c r="X10" s="60">
        <f>'P-Budget'!Y55</f>
        <v>4632732</v>
      </c>
      <c r="Y10" s="60">
        <f>'P-Budget'!Z55</f>
        <v>4568687.9999999991</v>
      </c>
      <c r="Z10" s="60">
        <f>'P-Budget'!AA55</f>
        <v>4492524</v>
      </c>
      <c r="AA10" s="60">
        <f>'P-Budget'!AB55</f>
        <v>4404239.9999999991</v>
      </c>
      <c r="AB10" s="60">
        <f>'P-Budget'!AC55</f>
        <v>4303836</v>
      </c>
      <c r="AC10" s="60">
        <f>'P-Budget'!AD55</f>
        <v>4191311.9999999995</v>
      </c>
      <c r="AD10" s="60">
        <f>'P-Budget'!AE55</f>
        <v>4066668.0000000005</v>
      </c>
      <c r="AE10" s="60">
        <f>'P-Budget'!AF55</f>
        <v>3929904</v>
      </c>
      <c r="AF10" s="60">
        <f t="shared" si="0"/>
        <v>129253984</v>
      </c>
      <c r="AG10" s="61">
        <f>NPV(Asumsi!$D$7,B10:AE10)</f>
        <v>47285025.041718245</v>
      </c>
    </row>
    <row r="11" spans="1:33">
      <c r="A11" s="59" t="s">
        <v>38</v>
      </c>
      <c r="B11" s="60">
        <f>'P-Budget'!C57</f>
        <v>0</v>
      </c>
      <c r="C11" s="60">
        <f>'P-Budget'!D57</f>
        <v>0</v>
      </c>
      <c r="D11" s="60">
        <f>'P-Budget'!E57</f>
        <v>37946.653846153844</v>
      </c>
      <c r="E11" s="60">
        <f>'P-Budget'!F57</f>
        <v>7431.5</v>
      </c>
      <c r="F11" s="60">
        <f>'P-Budget'!G57</f>
        <v>6926.5</v>
      </c>
      <c r="G11" s="60">
        <f>'P-Budget'!H57</f>
        <v>6421.5000000000073</v>
      </c>
      <c r="H11" s="60">
        <f>'P-Budget'!I57</f>
        <v>5916.4999999999927</v>
      </c>
      <c r="I11" s="60">
        <f>'P-Budget'!J57</f>
        <v>5411.5</v>
      </c>
      <c r="J11" s="60">
        <f>'P-Budget'!K57</f>
        <v>4906.5</v>
      </c>
      <c r="K11" s="60">
        <f>'P-Budget'!L57</f>
        <v>4401.5</v>
      </c>
      <c r="L11" s="60">
        <f>'P-Budget'!M57</f>
        <v>3896.5</v>
      </c>
      <c r="M11" s="60">
        <f>'P-Budget'!N57</f>
        <v>3391.4999999999854</v>
      </c>
      <c r="N11" s="60">
        <f>'P-Budget'!O57</f>
        <v>2886.5000000000146</v>
      </c>
      <c r="O11" s="60">
        <f>'P-Budget'!P57</f>
        <v>2381.5</v>
      </c>
      <c r="P11" s="60">
        <f>'P-Budget'!Q57</f>
        <v>1876.5</v>
      </c>
      <c r="Q11" s="60">
        <f>'P-Budget'!R57</f>
        <v>1371.5</v>
      </c>
      <c r="R11" s="60">
        <f>'P-Budget'!S57</f>
        <v>866.5</v>
      </c>
      <c r="S11" s="60">
        <f>'P-Budget'!T57</f>
        <v>361.49999999998545</v>
      </c>
      <c r="T11" s="60">
        <f>'P-Budget'!U57</f>
        <v>-143.4999999999709</v>
      </c>
      <c r="U11" s="60">
        <f>'P-Budget'!V57</f>
        <v>-648.5000000000291</v>
      </c>
      <c r="V11" s="60">
        <f>'P-Budget'!W57</f>
        <v>-1153.4999999999709</v>
      </c>
      <c r="W11" s="60">
        <f>'P-Budget'!X57</f>
        <v>-1658.5000000000146</v>
      </c>
      <c r="X11" s="60">
        <f>'P-Budget'!Y57</f>
        <v>-2163.4999999999854</v>
      </c>
      <c r="Y11" s="60">
        <f>'P-Budget'!Z57</f>
        <v>-2668.5000000000437</v>
      </c>
      <c r="Z11" s="60">
        <f>'P-Budget'!AA57</f>
        <v>-3173.4999999999709</v>
      </c>
      <c r="AA11" s="60">
        <f>'P-Budget'!AB57</f>
        <v>-3678.5000000000291</v>
      </c>
      <c r="AB11" s="60">
        <f>'P-Budget'!AC57</f>
        <v>0</v>
      </c>
      <c r="AC11" s="60">
        <f>'P-Budget'!AD57</f>
        <v>-4688.5000000000291</v>
      </c>
      <c r="AD11" s="60">
        <f>'P-Budget'!AE57</f>
        <v>-5193.4999999999563</v>
      </c>
      <c r="AE11" s="60">
        <f>'P-Budget'!AF57</f>
        <v>-67040.653846153873</v>
      </c>
      <c r="AF11" s="60">
        <f t="shared" si="0"/>
        <v>4183.4999999999563</v>
      </c>
      <c r="AG11" s="61">
        <f>NPV(Asumsi!$D$7,B11:AE11)</f>
        <v>51268.800225459046</v>
      </c>
    </row>
    <row r="12" spans="1:33" ht="13.5" thickBot="1">
      <c r="A12" s="62" t="s">
        <v>39</v>
      </c>
      <c r="B12" s="63">
        <f>'P-Budget'!C65</f>
        <v>-7745000</v>
      </c>
      <c r="C12" s="63">
        <f>'P-Budget'!D65</f>
        <v>-3269000</v>
      </c>
      <c r="D12" s="63">
        <f>'P-Budget'!E65</f>
        <v>-2302218.653846154</v>
      </c>
      <c r="E12" s="63">
        <f>'P-Budget'!F65</f>
        <v>-79239.5</v>
      </c>
      <c r="F12" s="63">
        <f>'P-Budget'!G65</f>
        <v>1450449.4999999981</v>
      </c>
      <c r="G12" s="63">
        <f>'P-Budget'!H65</f>
        <v>3234858.5000000019</v>
      </c>
      <c r="H12" s="63">
        <f>'P-Budget'!I65</f>
        <v>5224987.5</v>
      </c>
      <c r="I12" s="63">
        <f>'P-Budget'!J65</f>
        <v>6281836.5</v>
      </c>
      <c r="J12" s="63">
        <f>'P-Budget'!K65</f>
        <v>7413405.5</v>
      </c>
      <c r="K12" s="63">
        <f>'P-Budget'!L65</f>
        <v>8415694.4999999963</v>
      </c>
      <c r="L12" s="63">
        <f>'P-Budget'!M65</f>
        <v>9838703.5</v>
      </c>
      <c r="M12" s="63">
        <f>'P-Budget'!N65</f>
        <v>10232432.499999996</v>
      </c>
      <c r="N12" s="63">
        <f>'P-Budget'!O65</f>
        <v>11446881.499999996</v>
      </c>
      <c r="O12" s="63">
        <f>'P-Budget'!P65</f>
        <v>11882050.5</v>
      </c>
      <c r="P12" s="63">
        <f>'P-Budget'!Q65</f>
        <v>11987939.499999996</v>
      </c>
      <c r="Q12" s="63">
        <f>'P-Budget'!R65</f>
        <v>12714548.5</v>
      </c>
      <c r="R12" s="63">
        <f>'P-Budget'!S65</f>
        <v>13111877.5</v>
      </c>
      <c r="S12" s="63">
        <f>'P-Budget'!T65</f>
        <v>12729926.499999996</v>
      </c>
      <c r="T12" s="63">
        <f>'P-Budget'!U65</f>
        <v>13168695.500000004</v>
      </c>
      <c r="U12" s="63">
        <f>'P-Budget'!V65</f>
        <v>12578184.499999996</v>
      </c>
      <c r="V12" s="63">
        <f>'P-Budget'!W65</f>
        <v>12408393.500000004</v>
      </c>
      <c r="W12" s="63">
        <f>'P-Budget'!X65</f>
        <v>12109322.499999996</v>
      </c>
      <c r="X12" s="63">
        <f>'P-Budget'!Y65</f>
        <v>11730971.5</v>
      </c>
      <c r="Y12" s="63">
        <f>'P-Budget'!Z65</f>
        <v>10573340.499999993</v>
      </c>
      <c r="Z12" s="63">
        <f>'P-Budget'!AA65</f>
        <v>9986429.4999999981</v>
      </c>
      <c r="AA12" s="63">
        <f>'P-Budget'!AB65</f>
        <v>9120238.4999999925</v>
      </c>
      <c r="AB12" s="63">
        <f>'P-Budget'!AC65</f>
        <v>7920584.0000000019</v>
      </c>
      <c r="AC12" s="63">
        <f>'P-Budget'!AD65</f>
        <v>6850016.4999999963</v>
      </c>
      <c r="AD12" s="63">
        <f>'P-Budget'!AE65</f>
        <v>5695985.5000000056</v>
      </c>
      <c r="AE12" s="63">
        <f>'P-Budget'!AF65</f>
        <v>3574016.6538461559</v>
      </c>
      <c r="AF12" s="63">
        <f t="shared" si="0"/>
        <v>228286312.49999997</v>
      </c>
      <c r="AG12" s="61">
        <f>NPV(Asumsi!$D$7,B12:AE12)</f>
        <v>57416035.881318815</v>
      </c>
    </row>
    <row r="13" spans="1:33" s="53" customFormat="1" ht="11.25"/>
    <row r="14" spans="1:33" s="53" customFormat="1" ht="11.25"/>
    <row r="15" spans="1:33" s="53" customFormat="1">
      <c r="A15" s="54" t="s">
        <v>45</v>
      </c>
    </row>
    <row r="16" spans="1:33" s="53" customFormat="1" ht="11.25"/>
    <row r="17" spans="1:5" s="53" customFormat="1">
      <c r="A17" s="64" t="s">
        <v>127</v>
      </c>
      <c r="B17" s="53">
        <f>NPV(Asumsi!D7,B8:C8)</f>
        <v>9997650.7722333316</v>
      </c>
      <c r="C17" s="3"/>
    </row>
    <row r="18" spans="1:5">
      <c r="A18" s="64" t="s">
        <v>128</v>
      </c>
      <c r="B18" s="65">
        <f>COUNTIF(B12:Z12,"&lt;=0")+1</f>
        <v>5</v>
      </c>
      <c r="C18" s="3"/>
    </row>
    <row r="19" spans="1:5">
      <c r="A19" s="64" t="s">
        <v>129</v>
      </c>
      <c r="B19" s="53">
        <f>SUM(B8:C8)</f>
        <v>11014000</v>
      </c>
      <c r="C19" s="53" t="s">
        <v>30</v>
      </c>
      <c r="E19" s="42" t="s">
        <v>146</v>
      </c>
    </row>
    <row r="20" spans="1:5">
      <c r="A20" s="64" t="s">
        <v>130</v>
      </c>
      <c r="B20" s="53">
        <f>AVERAGE(B8:C8)</f>
        <v>5507000</v>
      </c>
      <c r="C20" s="53" t="s">
        <v>131</v>
      </c>
    </row>
    <row r="21" spans="1:5">
      <c r="A21" s="66" t="s">
        <v>132</v>
      </c>
      <c r="B21" s="53">
        <f>SUM('I-O'!C64:E64)</f>
        <v>152.33333333333334</v>
      </c>
      <c r="C21" s="67" t="s">
        <v>125</v>
      </c>
    </row>
    <row r="22" spans="1:5">
      <c r="A22" s="66" t="s">
        <v>133</v>
      </c>
      <c r="B22" s="53">
        <f>AVERAGE('I-O'!F64:AF64)</f>
        <v>88.296296296296291</v>
      </c>
      <c r="C22" s="67" t="s">
        <v>118</v>
      </c>
    </row>
    <row r="23" spans="1:5">
      <c r="A23" s="64" t="s">
        <v>134</v>
      </c>
      <c r="B23" s="53">
        <f>SUM('I-O'!C64:AF64)</f>
        <v>2536.3333333333335</v>
      </c>
      <c r="C23" s="67" t="s">
        <v>118</v>
      </c>
    </row>
    <row r="25" spans="1:5">
      <c r="A25" s="64" t="s">
        <v>141</v>
      </c>
      <c r="B25" s="68">
        <f>IRR(B12:Z12,Asumsi!D7)</f>
        <v>0.25776307389267766</v>
      </c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2:AB25"/>
  <sheetViews>
    <sheetView workbookViewId="0">
      <selection activeCell="W17" sqref="W17"/>
    </sheetView>
  </sheetViews>
  <sheetFormatPr defaultRowHeight="12.75"/>
  <cols>
    <col min="1" max="1" width="26.85546875" style="42" bestFit="1" customWidth="1"/>
    <col min="2" max="2" width="12" style="42" customWidth="1"/>
    <col min="3" max="3" width="12" style="42" bestFit="1" customWidth="1"/>
    <col min="4" max="4" width="12" style="42" customWidth="1"/>
    <col min="5" max="5" width="11.42578125" style="42" bestFit="1" customWidth="1"/>
    <col min="6" max="8" width="12" style="42" bestFit="1" customWidth="1"/>
    <col min="9" max="9" width="14.85546875" style="42" customWidth="1"/>
    <col min="10" max="10" width="16" style="42" customWidth="1"/>
    <col min="11" max="15" width="12.42578125" style="42" bestFit="1" customWidth="1"/>
    <col min="16" max="25" width="12.28515625" style="42" bestFit="1" customWidth="1"/>
    <col min="26" max="26" width="12.42578125" style="42" bestFit="1" customWidth="1"/>
    <col min="27" max="27" width="14" style="42" bestFit="1" customWidth="1"/>
    <col min="28" max="28" width="12.42578125" style="42" bestFit="1" customWidth="1"/>
    <col min="29" max="29" width="12.28515625" style="42" bestFit="1" customWidth="1"/>
    <col min="30" max="16384" width="9.140625" style="42"/>
  </cols>
  <sheetData>
    <row r="2" spans="1:28" ht="18.75">
      <c r="A2" s="51" t="s">
        <v>41</v>
      </c>
    </row>
    <row r="3" spans="1:28">
      <c r="A3" s="52" t="s">
        <v>42</v>
      </c>
      <c r="B3" s="52"/>
    </row>
    <row r="4" spans="1:28">
      <c r="A4" s="52"/>
      <c r="B4" s="53"/>
    </row>
    <row r="5" spans="1:28" ht="13.5" thickBot="1">
      <c r="A5" s="54" t="s">
        <v>46</v>
      </c>
    </row>
    <row r="6" spans="1:28" s="58" customFormat="1">
      <c r="A6" s="55"/>
      <c r="B6" s="56" t="s">
        <v>0</v>
      </c>
      <c r="C6" s="56" t="s">
        <v>1</v>
      </c>
      <c r="D6" s="56" t="s">
        <v>2</v>
      </c>
      <c r="E6" s="56" t="s">
        <v>3</v>
      </c>
      <c r="F6" s="56" t="s">
        <v>4</v>
      </c>
      <c r="G6" s="56" t="s">
        <v>5</v>
      </c>
      <c r="H6" s="56" t="s">
        <v>6</v>
      </c>
      <c r="I6" s="56" t="s">
        <v>7</v>
      </c>
      <c r="J6" s="56" t="s">
        <v>8</v>
      </c>
      <c r="K6" s="56" t="s">
        <v>9</v>
      </c>
      <c r="L6" s="56" t="s">
        <v>10</v>
      </c>
      <c r="M6" s="56" t="s">
        <v>11</v>
      </c>
      <c r="N6" s="56" t="s">
        <v>12</v>
      </c>
      <c r="O6" s="56" t="s">
        <v>13</v>
      </c>
      <c r="P6" s="56" t="s">
        <v>14</v>
      </c>
      <c r="Q6" s="56" t="s">
        <v>15</v>
      </c>
      <c r="R6" s="56" t="s">
        <v>16</v>
      </c>
      <c r="S6" s="56" t="s">
        <v>17</v>
      </c>
      <c r="T6" s="56" t="s">
        <v>18</v>
      </c>
      <c r="U6" s="56" t="s">
        <v>19</v>
      </c>
      <c r="V6" s="56" t="s">
        <v>20</v>
      </c>
      <c r="W6" s="56" t="s">
        <v>21</v>
      </c>
      <c r="X6" s="56" t="s">
        <v>22</v>
      </c>
      <c r="Y6" s="56" t="s">
        <v>23</v>
      </c>
      <c r="Z6" s="56" t="s">
        <v>24</v>
      </c>
      <c r="AA6" s="56" t="s">
        <v>44</v>
      </c>
      <c r="AB6" s="57" t="s">
        <v>40</v>
      </c>
    </row>
    <row r="7" spans="1:28">
      <c r="A7" s="59" t="s">
        <v>110</v>
      </c>
      <c r="B7" s="60">
        <f>'S-Budget'!C63</f>
        <v>0</v>
      </c>
      <c r="C7" s="60">
        <f>'S-Budget'!D63</f>
        <v>0</v>
      </c>
      <c r="D7" s="60">
        <f>'S-Budget'!E63</f>
        <v>2617565.9179936191</v>
      </c>
      <c r="E7" s="60">
        <f>'S-Budget'!F63</f>
        <v>4755079.3644602513</v>
      </c>
      <c r="F7" s="60">
        <f>'S-Budget'!G63</f>
        <v>6747340.265617637</v>
      </c>
      <c r="G7" s="60">
        <f>'S-Budget'!H63</f>
        <v>8594348.6214657817</v>
      </c>
      <c r="H7" s="60">
        <f>'S-Budget'!I63</f>
        <v>10296104.432004679</v>
      </c>
      <c r="I7" s="60">
        <f>'S-Budget'!J63</f>
        <v>11852607.697234334</v>
      </c>
      <c r="J7" s="60">
        <f>'S-Budget'!K63</f>
        <v>13263858.417154742</v>
      </c>
      <c r="K7" s="60">
        <f>'S-Budget'!L63</f>
        <v>14529856.591765905</v>
      </c>
      <c r="L7" s="60">
        <f>'S-Budget'!M63</f>
        <v>15650602.221067831</v>
      </c>
      <c r="M7" s="60">
        <f>'S-Budget'!N63</f>
        <v>16626095.305060502</v>
      </c>
      <c r="N7" s="60">
        <f>'S-Budget'!O63</f>
        <v>17456335.843743939</v>
      </c>
      <c r="O7" s="60">
        <f>'S-Budget'!P63</f>
        <v>18141323.83711813</v>
      </c>
      <c r="P7" s="60">
        <f>'S-Budget'!Q63</f>
        <v>18681059.285183072</v>
      </c>
      <c r="Q7" s="60">
        <f>'S-Budget'!R63</f>
        <v>19075542.187938772</v>
      </c>
      <c r="R7" s="60">
        <f>'S-Budget'!S63</f>
        <v>19324772.54538523</v>
      </c>
      <c r="S7" s="60">
        <f>'S-Budget'!T63</f>
        <v>19428750.357522435</v>
      </c>
      <c r="T7" s="60">
        <f>'S-Budget'!U63</f>
        <v>19387475.624350414</v>
      </c>
      <c r="U7" s="60">
        <f>'S-Budget'!V63</f>
        <v>19200948.345869128</v>
      </c>
      <c r="V7" s="60">
        <f>'S-Budget'!W63</f>
        <v>18869168.522078618</v>
      </c>
      <c r="W7" s="60">
        <f>'S-Budget'!X63</f>
        <v>18392136.152978841</v>
      </c>
      <c r="X7" s="60">
        <f>'S-Budget'!Y63</f>
        <v>17769851.238569837</v>
      </c>
      <c r="Y7" s="60">
        <f>'S-Budget'!Z63</f>
        <v>17002313.778851572</v>
      </c>
      <c r="Z7" s="60">
        <f>'S-Budget'!AA63</f>
        <v>16089523.773824081</v>
      </c>
      <c r="AA7" s="60">
        <f t="shared" ref="AA7:AA12" si="0">SUM(B7:Z7)</f>
        <v>343752660.32723939</v>
      </c>
      <c r="AB7" s="61">
        <f>NPV(Asumsi!$D$8,B7:Z7)</f>
        <v>225053222.50523996</v>
      </c>
    </row>
    <row r="8" spans="1:28">
      <c r="A8" s="59" t="s">
        <v>35</v>
      </c>
      <c r="B8" s="60">
        <f>'S-Budget'!C64</f>
        <v>5380000</v>
      </c>
      <c r="C8" s="60">
        <f>'S-Budget'!D64</f>
        <v>2704000</v>
      </c>
      <c r="D8" s="60">
        <f>'S-Budget'!E64</f>
        <v>4285358.653846154</v>
      </c>
      <c r="E8" s="60">
        <f>'S-Budget'!F64</f>
        <v>4213199.5</v>
      </c>
      <c r="F8" s="60">
        <f>'S-Budget'!G64</f>
        <v>4587930.5</v>
      </c>
      <c r="G8" s="60">
        <f>'S-Budget'!H64</f>
        <v>4636541.5</v>
      </c>
      <c r="H8" s="60">
        <f>'S-Budget'!I64</f>
        <v>4303032.5</v>
      </c>
      <c r="I8" s="60">
        <f>'S-Budget'!J64</f>
        <v>4796403.5</v>
      </c>
      <c r="J8" s="60">
        <f>'S-Budget'!K64</f>
        <v>5038654.5</v>
      </c>
      <c r="K8" s="60">
        <f>'S-Budget'!L64</f>
        <v>5268785.5</v>
      </c>
      <c r="L8" s="60">
        <f>'S-Budget'!M64</f>
        <v>4936796.5</v>
      </c>
      <c r="M8" s="60">
        <f>'S-Budget'!N64</f>
        <v>5492687.5</v>
      </c>
      <c r="N8" s="60">
        <f>'S-Budget'!O64</f>
        <v>5086458.5</v>
      </c>
      <c r="O8" s="60">
        <f>'S-Budget'!P64</f>
        <v>5318109.5</v>
      </c>
      <c r="P8" s="60">
        <f>'S-Budget'!Q64</f>
        <v>5737640.5</v>
      </c>
      <c r="Q8" s="60">
        <f>'S-Budget'!R64</f>
        <v>5395051.5</v>
      </c>
      <c r="R8" s="60">
        <f>'S-Budget'!S64</f>
        <v>5240342.5</v>
      </c>
      <c r="S8" s="60">
        <f>'S-Budget'!T64</f>
        <v>5723513.5</v>
      </c>
      <c r="T8" s="60">
        <f>'S-Budget'!U64</f>
        <v>5244564.5</v>
      </c>
      <c r="U8" s="60">
        <f>'S-Budget'!V64</f>
        <v>5653495.5</v>
      </c>
      <c r="V8" s="60">
        <f>'S-Budget'!W64</f>
        <v>5500306.5</v>
      </c>
      <c r="W8" s="60">
        <f>'S-Budget'!X64</f>
        <v>5334997.5</v>
      </c>
      <c r="X8" s="60">
        <f>'S-Budget'!Y64</f>
        <v>5107568.5</v>
      </c>
      <c r="Y8" s="60">
        <f>'S-Budget'!Z64</f>
        <v>5518019.4999999991</v>
      </c>
      <c r="Z8" s="60">
        <f>'S-Budget'!AA64</f>
        <v>5216350.5</v>
      </c>
      <c r="AA8" s="60">
        <f t="shared" si="0"/>
        <v>125719808.65384614</v>
      </c>
      <c r="AB8" s="61">
        <f>NPV(Asumsi!$D$8,B8:Z8)</f>
        <v>88033769.822553486</v>
      </c>
    </row>
    <row r="9" spans="1:28">
      <c r="A9" s="59" t="s">
        <v>36</v>
      </c>
      <c r="B9" s="60">
        <f>'S-Budget'!C25</f>
        <v>3105000</v>
      </c>
      <c r="C9" s="60">
        <f>'S-Budget'!D25</f>
        <v>1054000</v>
      </c>
      <c r="D9" s="60">
        <f>'S-Budget'!E25</f>
        <v>1329000</v>
      </c>
      <c r="E9" s="60">
        <f>'S-Budget'!F25</f>
        <v>1109000</v>
      </c>
      <c r="F9" s="60">
        <f>'S-Budget'!G25</f>
        <v>1468000</v>
      </c>
      <c r="G9" s="60">
        <f>'S-Budget'!H25</f>
        <v>1363000</v>
      </c>
      <c r="H9" s="60">
        <f>'S-Budget'!I25</f>
        <v>888000</v>
      </c>
      <c r="I9" s="60">
        <f>'S-Budget'!J25</f>
        <v>1252000</v>
      </c>
      <c r="J9" s="60">
        <f>'S-Budget'!K25</f>
        <v>1377000</v>
      </c>
      <c r="K9" s="60">
        <f>'S-Budget'!L25</f>
        <v>1502000</v>
      </c>
      <c r="L9" s="60">
        <f>'S-Budget'!M25</f>
        <v>1077000</v>
      </c>
      <c r="M9" s="60">
        <f>'S-Budget'!N25</f>
        <v>1552000</v>
      </c>
      <c r="N9" s="60">
        <f>'S-Budget'!O25</f>
        <v>1077000</v>
      </c>
      <c r="O9" s="60">
        <f>'S-Budget'!P25</f>
        <v>1252000</v>
      </c>
      <c r="P9" s="60">
        <f>'S-Budget'!Q25</f>
        <v>1627000</v>
      </c>
      <c r="Q9" s="60">
        <f>'S-Budget'!R25</f>
        <v>1252000</v>
      </c>
      <c r="R9" s="60">
        <f>'S-Budget'!S25</f>
        <v>1077000</v>
      </c>
      <c r="S9" s="60">
        <f>'S-Budget'!T25</f>
        <v>1552000</v>
      </c>
      <c r="T9" s="60">
        <f>'S-Budget'!U25</f>
        <v>1077000</v>
      </c>
      <c r="U9" s="60">
        <f>'S-Budget'!V25</f>
        <v>1502000</v>
      </c>
      <c r="V9" s="60">
        <f>'S-Budget'!W25</f>
        <v>1377000</v>
      </c>
      <c r="W9" s="60">
        <f>'S-Budget'!X25</f>
        <v>1252000</v>
      </c>
      <c r="X9" s="60">
        <f>'S-Budget'!Y25</f>
        <v>1077000</v>
      </c>
      <c r="Y9" s="60">
        <f>'S-Budget'!Z25</f>
        <v>1552000</v>
      </c>
      <c r="Z9" s="60">
        <f>'S-Budget'!AA25</f>
        <v>1327000</v>
      </c>
      <c r="AA9" s="60">
        <f t="shared" si="0"/>
        <v>34077000</v>
      </c>
      <c r="AB9" s="61">
        <f>NPV(Asumsi!$D$8,B9:Z9)</f>
        <v>24617250.303989653</v>
      </c>
    </row>
    <row r="10" spans="1:28">
      <c r="A10" s="59" t="s">
        <v>37</v>
      </c>
      <c r="B10" s="60">
        <f>'S-Budget'!C55</f>
        <v>2275000</v>
      </c>
      <c r="C10" s="60">
        <f>'S-Budget'!D55</f>
        <v>1650000</v>
      </c>
      <c r="D10" s="60">
        <f>'S-Budget'!E55</f>
        <v>2918412</v>
      </c>
      <c r="E10" s="60">
        <f>'S-Budget'!F55</f>
        <v>3096768</v>
      </c>
      <c r="F10" s="60">
        <f>'S-Budget'!G55</f>
        <v>3113004</v>
      </c>
      <c r="G10" s="60">
        <f>'S-Budget'!H55</f>
        <v>3267120</v>
      </c>
      <c r="H10" s="60">
        <f>'S-Budget'!I55</f>
        <v>3409116</v>
      </c>
      <c r="I10" s="60">
        <f>'S-Budget'!J55</f>
        <v>3538992</v>
      </c>
      <c r="J10" s="60">
        <f>'S-Budget'!K55</f>
        <v>3656748</v>
      </c>
      <c r="K10" s="60">
        <f>'S-Budget'!L55</f>
        <v>3762384</v>
      </c>
      <c r="L10" s="60">
        <f>'S-Budget'!M55</f>
        <v>3855900</v>
      </c>
      <c r="M10" s="60">
        <f>'S-Budget'!N55</f>
        <v>3937295.9999999995</v>
      </c>
      <c r="N10" s="60">
        <f>'S-Budget'!O55</f>
        <v>4006572</v>
      </c>
      <c r="O10" s="60">
        <f>'S-Budget'!P55</f>
        <v>4063728</v>
      </c>
      <c r="P10" s="60">
        <f>'S-Budget'!Q55</f>
        <v>4108764</v>
      </c>
      <c r="Q10" s="60">
        <f>'S-Budget'!R55</f>
        <v>4141680</v>
      </c>
      <c r="R10" s="60">
        <f>'S-Budget'!S55</f>
        <v>4162476</v>
      </c>
      <c r="S10" s="60">
        <f>'S-Budget'!T55</f>
        <v>4171151.9999999995</v>
      </c>
      <c r="T10" s="60">
        <f>'S-Budget'!U55</f>
        <v>4167708</v>
      </c>
      <c r="U10" s="60">
        <f>'S-Budget'!V55</f>
        <v>4152144</v>
      </c>
      <c r="V10" s="60">
        <f>'S-Budget'!W55</f>
        <v>4124460.0000000005</v>
      </c>
      <c r="W10" s="60">
        <f>'S-Budget'!X55</f>
        <v>4084656</v>
      </c>
      <c r="X10" s="60">
        <f>'S-Budget'!Y55</f>
        <v>4032732</v>
      </c>
      <c r="Y10" s="60">
        <f>'S-Budget'!Z55</f>
        <v>3968687.9999999991</v>
      </c>
      <c r="Z10" s="60">
        <f>'S-Budget'!AA55</f>
        <v>3892524</v>
      </c>
      <c r="AA10" s="60">
        <f t="shared" si="0"/>
        <v>91558024</v>
      </c>
      <c r="AB10" s="61">
        <f>NPV(Asumsi!$D$8,B10:Z10)</f>
        <v>63341372.284892313</v>
      </c>
    </row>
    <row r="11" spans="1:28">
      <c r="A11" s="59" t="s">
        <v>38</v>
      </c>
      <c r="B11" s="60">
        <f>'S-Budget'!C57</f>
        <v>0</v>
      </c>
      <c r="C11" s="60">
        <f>'S-Budget'!D57</f>
        <v>0</v>
      </c>
      <c r="D11" s="60">
        <f>'S-Budget'!E57</f>
        <v>37946.653846153844</v>
      </c>
      <c r="E11" s="60">
        <f>'S-Budget'!F57</f>
        <v>7431.5</v>
      </c>
      <c r="F11" s="60">
        <f>'S-Budget'!G57</f>
        <v>6926.5</v>
      </c>
      <c r="G11" s="60">
        <f>'S-Budget'!H57</f>
        <v>6421.5000000000073</v>
      </c>
      <c r="H11" s="60">
        <f>'S-Budget'!I57</f>
        <v>5916.4999999999927</v>
      </c>
      <c r="I11" s="60">
        <f>'S-Budget'!J57</f>
        <v>5411.5</v>
      </c>
      <c r="J11" s="60">
        <f>'S-Budget'!K57</f>
        <v>4906.5</v>
      </c>
      <c r="K11" s="60">
        <f>'S-Budget'!L57</f>
        <v>4401.5</v>
      </c>
      <c r="L11" s="60">
        <f>'S-Budget'!M57</f>
        <v>3896.5</v>
      </c>
      <c r="M11" s="60">
        <f>'S-Budget'!N57</f>
        <v>3391.4999999999854</v>
      </c>
      <c r="N11" s="60">
        <f>'S-Budget'!O57</f>
        <v>2886.5000000000146</v>
      </c>
      <c r="O11" s="60">
        <f>'S-Budget'!P57</f>
        <v>2381.5</v>
      </c>
      <c r="P11" s="60">
        <f>'S-Budget'!Q57</f>
        <v>1876.5</v>
      </c>
      <c r="Q11" s="60">
        <f>'S-Budget'!R57</f>
        <v>1371.5</v>
      </c>
      <c r="R11" s="60">
        <f>'S-Budget'!S57</f>
        <v>866.5</v>
      </c>
      <c r="S11" s="60">
        <f>'S-Budget'!T57</f>
        <v>361.49999999998545</v>
      </c>
      <c r="T11" s="60">
        <f>'S-Budget'!U57</f>
        <v>-143.4999999999709</v>
      </c>
      <c r="U11" s="60">
        <f>'S-Budget'!V57</f>
        <v>-648.5000000000291</v>
      </c>
      <c r="V11" s="60">
        <f>'S-Budget'!W57</f>
        <v>-1153.4999999999709</v>
      </c>
      <c r="W11" s="60">
        <f>'S-Budget'!X57</f>
        <v>-1658.5000000000146</v>
      </c>
      <c r="X11" s="60">
        <f>'S-Budget'!Y57</f>
        <v>-2163.4999999999854</v>
      </c>
      <c r="Y11" s="60">
        <f>'S-Budget'!Z57</f>
        <v>-2668.5000000000437</v>
      </c>
      <c r="Z11" s="60">
        <f>'S-Budget'!AA57</f>
        <v>-3173.4999999999709</v>
      </c>
      <c r="AA11" s="60">
        <f t="shared" si="0"/>
        <v>84784.653846153844</v>
      </c>
      <c r="AB11" s="61">
        <f>NPV(Asumsi!$D$8,B11:Z11)</f>
        <v>75147.233671549664</v>
      </c>
    </row>
    <row r="12" spans="1:28" ht="13.5" thickBot="1">
      <c r="A12" s="62" t="s">
        <v>39</v>
      </c>
      <c r="B12" s="63">
        <f>'S-Budget'!C65</f>
        <v>-5380000</v>
      </c>
      <c r="C12" s="63">
        <f>'S-Budget'!D65</f>
        <v>-2704000</v>
      </c>
      <c r="D12" s="63">
        <f>'S-Budget'!E65</f>
        <v>-1667792.7358525349</v>
      </c>
      <c r="E12" s="63">
        <f>'S-Budget'!F65</f>
        <v>541879.86446025129</v>
      </c>
      <c r="F12" s="63">
        <f>'S-Budget'!G65</f>
        <v>2159409.765617637</v>
      </c>
      <c r="G12" s="63">
        <f>'S-Budget'!H65</f>
        <v>3957807.1214657817</v>
      </c>
      <c r="H12" s="63">
        <f>'S-Budget'!I65</f>
        <v>5993071.932004679</v>
      </c>
      <c r="I12" s="63">
        <f>'S-Budget'!J65</f>
        <v>7056204.1972343344</v>
      </c>
      <c r="J12" s="63">
        <f>'S-Budget'!K65</f>
        <v>8225203.9171547424</v>
      </c>
      <c r="K12" s="63">
        <f>'S-Budget'!L65</f>
        <v>9261071.0917659048</v>
      </c>
      <c r="L12" s="63">
        <f>'S-Budget'!M65</f>
        <v>10713805.721067831</v>
      </c>
      <c r="M12" s="63">
        <f>'S-Budget'!N65</f>
        <v>11133407.805060502</v>
      </c>
      <c r="N12" s="63">
        <f>'S-Budget'!O65</f>
        <v>12369877.343743939</v>
      </c>
      <c r="O12" s="63">
        <f>'S-Budget'!P65</f>
        <v>12823214.33711813</v>
      </c>
      <c r="P12" s="63">
        <f>'S-Budget'!Q65</f>
        <v>12943418.785183072</v>
      </c>
      <c r="Q12" s="63">
        <f>'S-Budget'!R65</f>
        <v>13680490.687938772</v>
      </c>
      <c r="R12" s="63">
        <f>'S-Budget'!S65</f>
        <v>14084430.04538523</v>
      </c>
      <c r="S12" s="63">
        <f>'S-Budget'!T65</f>
        <v>13705236.857522435</v>
      </c>
      <c r="T12" s="63">
        <f>'S-Budget'!U65</f>
        <v>14142911.124350414</v>
      </c>
      <c r="U12" s="63">
        <f>'S-Budget'!V65</f>
        <v>13547452.845869128</v>
      </c>
      <c r="V12" s="63">
        <f>'S-Budget'!W65</f>
        <v>13368862.022078618</v>
      </c>
      <c r="W12" s="63">
        <f>'S-Budget'!X65</f>
        <v>13057138.652978841</v>
      </c>
      <c r="X12" s="63">
        <f>'S-Budget'!Y65</f>
        <v>12662282.738569837</v>
      </c>
      <c r="Y12" s="63">
        <f>'S-Budget'!Z65</f>
        <v>11484294.278851572</v>
      </c>
      <c r="Z12" s="63">
        <f>'S-Budget'!AA65</f>
        <v>10873173.273824081</v>
      </c>
      <c r="AA12" s="63">
        <f t="shared" si="0"/>
        <v>218032851.67339319</v>
      </c>
      <c r="AB12" s="61">
        <f>NPV(Asumsi!$D$8,B12:Z12)</f>
        <v>137019452.68268645</v>
      </c>
    </row>
    <row r="13" spans="1:28" s="53" customFormat="1" ht="11.25"/>
    <row r="14" spans="1:28" s="53" customFormat="1" ht="11.25"/>
    <row r="15" spans="1:28" s="53" customFormat="1">
      <c r="A15" s="54" t="s">
        <v>45</v>
      </c>
    </row>
    <row r="16" spans="1:28" s="53" customFormat="1" ht="11.25"/>
    <row r="17" spans="1:3" s="53" customFormat="1">
      <c r="A17" s="64" t="s">
        <v>127</v>
      </c>
      <c r="B17" s="53">
        <f>NPV(Asumsi!D8,B8:C8)</f>
        <v>7792169.4499538224</v>
      </c>
      <c r="C17" s="3"/>
    </row>
    <row r="18" spans="1:3" s="53" customFormat="1">
      <c r="A18" s="64" t="s">
        <v>128</v>
      </c>
      <c r="B18" s="65">
        <f>COUNTIF(B12:Z12,"&lt;=0")+1</f>
        <v>4</v>
      </c>
      <c r="C18" s="3"/>
    </row>
    <row r="19" spans="1:3">
      <c r="A19" s="64" t="s">
        <v>129</v>
      </c>
      <c r="B19" s="53">
        <f>SUM(B8:C8)</f>
        <v>8084000</v>
      </c>
      <c r="C19" s="53" t="s">
        <v>30</v>
      </c>
    </row>
    <row r="20" spans="1:3">
      <c r="A20" s="64" t="s">
        <v>130</v>
      </c>
      <c r="B20" s="53">
        <f>AVERAGE(B8:C8)</f>
        <v>4042000</v>
      </c>
      <c r="C20" s="53" t="s">
        <v>131</v>
      </c>
    </row>
    <row r="21" spans="1:3">
      <c r="A21" s="66" t="s">
        <v>132</v>
      </c>
      <c r="B21" s="53">
        <f>SUM('I-O'!C64:E64)</f>
        <v>152.33333333333334</v>
      </c>
      <c r="C21" s="67" t="s">
        <v>125</v>
      </c>
    </row>
    <row r="22" spans="1:3">
      <c r="A22" s="66" t="s">
        <v>133</v>
      </c>
      <c r="B22" s="53">
        <f>AVERAGE('I-O'!F64:AF64)</f>
        <v>88.296296296296291</v>
      </c>
      <c r="C22" s="67" t="s">
        <v>118</v>
      </c>
    </row>
    <row r="23" spans="1:3">
      <c r="A23" s="64" t="s">
        <v>134</v>
      </c>
      <c r="B23" s="53">
        <f>SUM('I-O'!C64:AF64)</f>
        <v>2536.3333333333335</v>
      </c>
      <c r="C23" s="67" t="s">
        <v>118</v>
      </c>
    </row>
    <row r="25" spans="1:3">
      <c r="A25" s="64" t="s">
        <v>142</v>
      </c>
      <c r="B25" s="68">
        <f>IRR(B12:Z12,Asumsi!D8)</f>
        <v>0.32772011091172593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69"/>
  <sheetViews>
    <sheetView topLeftCell="A40" zoomScaleNormal="100" workbookViewId="0">
      <selection activeCell="G65" sqref="G65"/>
    </sheetView>
  </sheetViews>
  <sheetFormatPr defaultRowHeight="12.75"/>
  <cols>
    <col min="1" max="1" width="24.140625" style="169" customWidth="1"/>
    <col min="2" max="2" width="11.85546875" style="2" bestFit="1" customWidth="1"/>
    <col min="3" max="3" width="14.85546875" style="168" customWidth="1"/>
    <col min="4" max="4" width="15.7109375" style="168" customWidth="1"/>
    <col min="5" max="5" width="9.140625" style="3"/>
    <col min="6" max="6" width="9.85546875" style="3" customWidth="1"/>
    <col min="7" max="16384" width="9.140625" style="3"/>
  </cols>
  <sheetData>
    <row r="1" spans="1:5" ht="15.75">
      <c r="A1" s="167" t="s">
        <v>244</v>
      </c>
    </row>
    <row r="2" spans="1:5" ht="13.5" thickBot="1"/>
    <row r="3" spans="1:5" s="47" customFormat="1" ht="13.5" thickBot="1">
      <c r="A3" s="170" t="s">
        <v>245</v>
      </c>
      <c r="B3" s="171" t="s">
        <v>32</v>
      </c>
      <c r="C3" s="172" t="s">
        <v>246</v>
      </c>
      <c r="D3" s="173" t="s">
        <v>247</v>
      </c>
    </row>
    <row r="4" spans="1:5" ht="13.5" thickBot="1">
      <c r="A4" s="174" t="s">
        <v>248</v>
      </c>
      <c r="B4" s="309"/>
      <c r="C4" s="310"/>
      <c r="D4" s="311"/>
    </row>
    <row r="5" spans="1:5">
      <c r="A5" s="184" t="s">
        <v>25</v>
      </c>
      <c r="B5" s="185"/>
      <c r="C5" s="186"/>
      <c r="D5" s="187"/>
    </row>
    <row r="6" spans="1:5">
      <c r="A6" s="188"/>
      <c r="B6" s="189"/>
      <c r="C6" s="190"/>
      <c r="D6" s="191"/>
    </row>
    <row r="7" spans="1:5">
      <c r="A7" s="192" t="s">
        <v>252</v>
      </c>
      <c r="B7" s="193"/>
      <c r="C7" s="190"/>
      <c r="D7" s="191"/>
    </row>
    <row r="8" spans="1:5">
      <c r="A8" s="13" t="s">
        <v>27</v>
      </c>
      <c r="B8" s="194" t="s">
        <v>249</v>
      </c>
      <c r="C8" s="204">
        <v>1500</v>
      </c>
      <c r="D8" s="176">
        <v>2000</v>
      </c>
    </row>
    <row r="9" spans="1:5">
      <c r="A9" s="13" t="s">
        <v>174</v>
      </c>
      <c r="B9" s="194" t="s">
        <v>249</v>
      </c>
      <c r="C9" s="204">
        <v>3000</v>
      </c>
      <c r="D9" s="176">
        <v>4000</v>
      </c>
    </row>
    <row r="10" spans="1:5">
      <c r="A10" s="13" t="s">
        <v>301</v>
      </c>
      <c r="B10" s="194" t="s">
        <v>249</v>
      </c>
      <c r="C10" s="205">
        <v>350</v>
      </c>
      <c r="D10" s="206">
        <f>+C10</f>
        <v>350</v>
      </c>
    </row>
    <row r="11" spans="1:5">
      <c r="A11" s="195"/>
      <c r="B11" s="194"/>
      <c r="C11" s="175"/>
      <c r="D11" s="176"/>
    </row>
    <row r="12" spans="1:5">
      <c r="A12" s="9" t="s">
        <v>166</v>
      </c>
      <c r="B12" s="193"/>
      <c r="C12" s="175"/>
      <c r="D12" s="176"/>
    </row>
    <row r="13" spans="1:5">
      <c r="A13" s="13" t="s">
        <v>88</v>
      </c>
      <c r="B13" s="194" t="s">
        <v>250</v>
      </c>
      <c r="C13" s="175">
        <v>80000</v>
      </c>
      <c r="D13" s="176">
        <v>80000</v>
      </c>
    </row>
    <row r="14" spans="1:5">
      <c r="A14" s="195"/>
      <c r="B14" s="194"/>
      <c r="C14" s="190"/>
      <c r="D14" s="191"/>
    </row>
    <row r="15" spans="1:5">
      <c r="A15" s="9" t="s">
        <v>167</v>
      </c>
      <c r="B15" s="193"/>
      <c r="C15" s="175"/>
      <c r="D15" s="176"/>
    </row>
    <row r="16" spans="1:5">
      <c r="A16" s="11" t="s">
        <v>275</v>
      </c>
      <c r="B16" s="194" t="s">
        <v>249</v>
      </c>
      <c r="C16" s="175">
        <v>0</v>
      </c>
      <c r="D16" s="176">
        <v>0</v>
      </c>
      <c r="E16" s="199"/>
    </row>
    <row r="17" spans="1:6">
      <c r="A17" s="11" t="s">
        <v>175</v>
      </c>
      <c r="B17" s="194" t="s">
        <v>253</v>
      </c>
      <c r="C17" s="175">
        <v>15000</v>
      </c>
      <c r="D17" s="176">
        <v>15000</v>
      </c>
    </row>
    <row r="18" spans="1:6">
      <c r="A18" s="11"/>
      <c r="B18" s="194"/>
      <c r="C18" s="175"/>
      <c r="D18" s="176"/>
    </row>
    <row r="19" spans="1:6">
      <c r="A19" s="9" t="s">
        <v>168</v>
      </c>
      <c r="B19" s="193"/>
      <c r="C19" s="175"/>
      <c r="D19" s="176"/>
    </row>
    <row r="20" spans="1:6">
      <c r="A20" s="11" t="s">
        <v>229</v>
      </c>
      <c r="B20" s="194" t="s">
        <v>251</v>
      </c>
      <c r="C20" s="175">
        <v>150000</v>
      </c>
      <c r="D20" s="176">
        <v>150000</v>
      </c>
    </row>
    <row r="21" spans="1:6">
      <c r="A21" s="11" t="s">
        <v>230</v>
      </c>
      <c r="B21" s="194" t="s">
        <v>251</v>
      </c>
      <c r="C21" s="175">
        <v>225000</v>
      </c>
      <c r="D21" s="176">
        <v>225000</v>
      </c>
    </row>
    <row r="22" spans="1:6">
      <c r="A22" s="11" t="s">
        <v>228</v>
      </c>
      <c r="B22" s="194" t="s">
        <v>251</v>
      </c>
      <c r="C22" s="175">
        <v>300000</v>
      </c>
      <c r="D22" s="176">
        <v>300000</v>
      </c>
    </row>
    <row r="23" spans="1:6">
      <c r="A23" s="11" t="s">
        <v>92</v>
      </c>
      <c r="B23" s="194" t="s">
        <v>251</v>
      </c>
      <c r="C23" s="175">
        <v>250000</v>
      </c>
      <c r="D23" s="176">
        <v>250000</v>
      </c>
    </row>
    <row r="24" spans="1:6">
      <c r="A24" s="11" t="s">
        <v>257</v>
      </c>
      <c r="B24" s="194" t="s">
        <v>251</v>
      </c>
      <c r="C24" s="175">
        <v>50000</v>
      </c>
      <c r="D24" s="176">
        <v>50000</v>
      </c>
    </row>
    <row r="25" spans="1:6">
      <c r="A25" s="11" t="s">
        <v>316</v>
      </c>
      <c r="B25" s="194" t="s">
        <v>251</v>
      </c>
      <c r="C25" s="175"/>
      <c r="D25" s="176"/>
    </row>
    <row r="26" spans="1:6">
      <c r="A26" s="192" t="s">
        <v>91</v>
      </c>
      <c r="B26" s="193"/>
      <c r="C26" s="175"/>
      <c r="D26" s="176"/>
    </row>
    <row r="27" spans="1:6">
      <c r="A27" s="15" t="s">
        <v>169</v>
      </c>
      <c r="B27" s="189"/>
      <c r="C27" s="175"/>
      <c r="D27" s="176"/>
    </row>
    <row r="28" spans="1:6">
      <c r="A28" s="7" t="s">
        <v>170</v>
      </c>
      <c r="B28" s="194"/>
      <c r="C28" s="175"/>
      <c r="D28" s="176"/>
    </row>
    <row r="29" spans="1:6">
      <c r="A29" s="16" t="s">
        <v>224</v>
      </c>
      <c r="B29" s="194" t="s">
        <v>162</v>
      </c>
      <c r="C29" s="175">
        <f>Asumsi!$D$11</f>
        <v>75000</v>
      </c>
      <c r="D29" s="176">
        <f>Asumsi!$D$12</f>
        <v>75000</v>
      </c>
    </row>
    <row r="30" spans="1:6">
      <c r="A30" s="16" t="s">
        <v>225</v>
      </c>
      <c r="B30" s="194" t="s">
        <v>162</v>
      </c>
      <c r="C30" s="175">
        <v>0</v>
      </c>
      <c r="D30" s="176">
        <v>0</v>
      </c>
      <c r="F30" s="207">
        <f>750000/2/2</f>
        <v>187500</v>
      </c>
    </row>
    <row r="31" spans="1:6">
      <c r="A31" s="16" t="s">
        <v>226</v>
      </c>
      <c r="B31" s="194" t="s">
        <v>162</v>
      </c>
      <c r="C31" s="175">
        <v>0</v>
      </c>
      <c r="D31" s="176">
        <v>0</v>
      </c>
    </row>
    <row r="32" spans="1:6">
      <c r="A32" s="16" t="s">
        <v>227</v>
      </c>
      <c r="B32" s="194" t="s">
        <v>162</v>
      </c>
      <c r="C32" s="175">
        <v>0</v>
      </c>
      <c r="D32" s="176">
        <v>0</v>
      </c>
    </row>
    <row r="33" spans="1:6">
      <c r="A33" s="7" t="s">
        <v>271</v>
      </c>
      <c r="B33" s="194"/>
      <c r="C33" s="175"/>
      <c r="D33" s="176"/>
    </row>
    <row r="34" spans="1:6">
      <c r="A34" s="16" t="s">
        <v>272</v>
      </c>
      <c r="B34" s="194" t="s">
        <v>162</v>
      </c>
      <c r="C34" s="175">
        <f>F34</f>
        <v>100000</v>
      </c>
      <c r="D34" s="176">
        <f>F34</f>
        <v>100000</v>
      </c>
      <c r="F34" s="176">
        <v>100000</v>
      </c>
    </row>
    <row r="35" spans="1:6">
      <c r="A35" s="16" t="s">
        <v>273</v>
      </c>
      <c r="B35" s="194" t="s">
        <v>162</v>
      </c>
      <c r="C35" s="175">
        <f>F34</f>
        <v>100000</v>
      </c>
      <c r="D35" s="176">
        <f>F34</f>
        <v>100000</v>
      </c>
    </row>
    <row r="36" spans="1:6">
      <c r="A36" s="165" t="s">
        <v>236</v>
      </c>
      <c r="B36" s="194"/>
      <c r="C36" s="175"/>
      <c r="D36" s="176"/>
    </row>
    <row r="37" spans="1:6">
      <c r="A37" s="166" t="s">
        <v>231</v>
      </c>
      <c r="B37" s="194"/>
      <c r="C37" s="175"/>
      <c r="D37" s="176"/>
    </row>
    <row r="38" spans="1:6">
      <c r="A38" s="16" t="s">
        <v>270</v>
      </c>
      <c r="B38" s="194" t="s">
        <v>162</v>
      </c>
      <c r="C38" s="175">
        <v>0</v>
      </c>
      <c r="D38" s="176">
        <v>0</v>
      </c>
    </row>
    <row r="39" spans="1:6">
      <c r="A39" s="166" t="s">
        <v>240</v>
      </c>
      <c r="B39" s="189"/>
      <c r="C39" s="175"/>
      <c r="D39" s="176"/>
    </row>
    <row r="40" spans="1:6">
      <c r="A40" s="16" t="s">
        <v>237</v>
      </c>
      <c r="B40" s="194" t="s">
        <v>162</v>
      </c>
      <c r="C40" s="175">
        <v>0</v>
      </c>
      <c r="D40" s="176">
        <v>0</v>
      </c>
    </row>
    <row r="41" spans="1:6">
      <c r="A41" s="166" t="s">
        <v>235</v>
      </c>
      <c r="B41" s="194"/>
      <c r="C41" s="175"/>
      <c r="D41" s="176"/>
    </row>
    <row r="42" spans="1:6">
      <c r="A42" s="16" t="s">
        <v>241</v>
      </c>
      <c r="B42" s="194" t="s">
        <v>162</v>
      </c>
      <c r="C42" s="175">
        <v>0</v>
      </c>
      <c r="D42" s="176">
        <v>0</v>
      </c>
    </row>
    <row r="43" spans="1:6">
      <c r="A43" s="16" t="s">
        <v>303</v>
      </c>
      <c r="B43" s="194" t="s">
        <v>162</v>
      </c>
      <c r="C43" s="175">
        <v>0</v>
      </c>
      <c r="D43" s="176">
        <v>0</v>
      </c>
    </row>
    <row r="44" spans="1:6">
      <c r="A44" s="16"/>
      <c r="B44" s="196"/>
      <c r="C44" s="177"/>
      <c r="D44" s="178"/>
    </row>
    <row r="45" spans="1:6">
      <c r="A45" s="165" t="s">
        <v>242</v>
      </c>
      <c r="B45" s="196"/>
      <c r="C45" s="177"/>
      <c r="D45" s="178"/>
    </row>
    <row r="46" spans="1:6">
      <c r="A46" s="166" t="s">
        <v>231</v>
      </c>
      <c r="B46" s="196"/>
      <c r="C46" s="177"/>
      <c r="D46" s="178"/>
    </row>
    <row r="47" spans="1:6">
      <c r="A47" s="16" t="s">
        <v>300</v>
      </c>
      <c r="B47" s="194" t="s">
        <v>162</v>
      </c>
      <c r="C47" s="175">
        <f>Asumsi!$D$11</f>
        <v>75000</v>
      </c>
      <c r="D47" s="176">
        <f>Asumsi!$D$12</f>
        <v>75000</v>
      </c>
    </row>
    <row r="48" spans="1:6">
      <c r="A48" s="166" t="s">
        <v>171</v>
      </c>
      <c r="B48" s="196"/>
      <c r="C48" s="177"/>
      <c r="D48" s="178"/>
    </row>
    <row r="49" spans="1:6">
      <c r="A49" s="16" t="s">
        <v>274</v>
      </c>
      <c r="B49" s="194" t="s">
        <v>162</v>
      </c>
      <c r="C49" s="175">
        <f>Asumsi!$D$11</f>
        <v>75000</v>
      </c>
      <c r="D49" s="176">
        <f>Asumsi!$D$12</f>
        <v>75000</v>
      </c>
    </row>
    <row r="50" spans="1:6">
      <c r="A50" s="16" t="s">
        <v>232</v>
      </c>
      <c r="B50" s="194" t="s">
        <v>162</v>
      </c>
      <c r="C50" s="175">
        <f>Asumsi!$D$11</f>
        <v>75000</v>
      </c>
      <c r="D50" s="176">
        <f>Asumsi!$D$12</f>
        <v>75000</v>
      </c>
    </row>
    <row r="51" spans="1:6">
      <c r="A51" s="16" t="s">
        <v>143</v>
      </c>
      <c r="B51" s="194" t="s">
        <v>162</v>
      </c>
      <c r="C51" s="175">
        <f>Asumsi!$D$11</f>
        <v>75000</v>
      </c>
      <c r="D51" s="176">
        <f>Asumsi!$D$12</f>
        <v>75000</v>
      </c>
    </row>
    <row r="52" spans="1:6">
      <c r="A52" s="16" t="s">
        <v>233</v>
      </c>
      <c r="B52" s="194" t="s">
        <v>162</v>
      </c>
      <c r="C52" s="175">
        <f>Asumsi!$D$11</f>
        <v>75000</v>
      </c>
      <c r="D52" s="176">
        <f>Asumsi!$D$12</f>
        <v>75000</v>
      </c>
    </row>
    <row r="53" spans="1:6">
      <c r="A53" s="16" t="s">
        <v>234</v>
      </c>
      <c r="B53" s="194" t="s">
        <v>162</v>
      </c>
      <c r="C53" s="175">
        <f>Asumsi!$D$11</f>
        <v>75000</v>
      </c>
      <c r="D53" s="176">
        <f>Asumsi!$D$12</f>
        <v>75000</v>
      </c>
    </row>
    <row r="54" spans="1:6">
      <c r="A54" s="166" t="s">
        <v>239</v>
      </c>
      <c r="B54" s="194" t="s">
        <v>254</v>
      </c>
      <c r="C54" s="175">
        <f>F54</f>
        <v>120000</v>
      </c>
      <c r="D54" s="176">
        <f>F54</f>
        <v>120000</v>
      </c>
      <c r="F54" s="176">
        <v>120000</v>
      </c>
    </row>
    <row r="55" spans="1:6" ht="13.5" thickBot="1">
      <c r="A55" s="200"/>
      <c r="B55" s="201"/>
      <c r="C55" s="182"/>
      <c r="D55" s="183"/>
    </row>
    <row r="56" spans="1:6" ht="13.5" thickBot="1">
      <c r="A56" s="174" t="s">
        <v>172</v>
      </c>
      <c r="B56" s="312"/>
      <c r="C56" s="313"/>
      <c r="D56" s="314"/>
    </row>
    <row r="57" spans="1:6">
      <c r="A57" s="197" t="s">
        <v>176</v>
      </c>
      <c r="B57" s="198" t="s">
        <v>249</v>
      </c>
      <c r="C57" s="179">
        <v>0</v>
      </c>
      <c r="D57" s="180">
        <v>0</v>
      </c>
    </row>
    <row r="58" spans="1:6" ht="13.5" thickBot="1">
      <c r="A58" s="181" t="s">
        <v>33</v>
      </c>
      <c r="B58" s="201" t="s">
        <v>254</v>
      </c>
      <c r="C58" s="182">
        <v>1400</v>
      </c>
      <c r="D58" s="280">
        <v>1438.1440129628147</v>
      </c>
    </row>
    <row r="60" spans="1:6">
      <c r="A60" s="3"/>
      <c r="B60" s="3"/>
      <c r="C60" s="3"/>
      <c r="D60" s="3"/>
    </row>
    <row r="61" spans="1:6">
      <c r="A61" s="3"/>
      <c r="B61" s="3"/>
      <c r="C61" s="3"/>
      <c r="D61" s="3"/>
    </row>
    <row r="62" spans="1:6">
      <c r="A62" s="3"/>
      <c r="B62" s="3"/>
      <c r="C62" s="3"/>
      <c r="D62" s="3"/>
    </row>
    <row r="63" spans="1:6">
      <c r="A63" s="3"/>
      <c r="B63" s="3"/>
      <c r="C63" s="3"/>
      <c r="D63" s="3"/>
    </row>
    <row r="64" spans="1:6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</sheetData>
  <mergeCells count="2">
    <mergeCell ref="B4:D4"/>
    <mergeCell ref="B56:D5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F76"/>
  <sheetViews>
    <sheetView zoomScaleNormal="10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G30" sqref="G30"/>
    </sheetView>
  </sheetViews>
  <sheetFormatPr defaultRowHeight="12.75"/>
  <cols>
    <col min="1" max="1" width="27" style="3" customWidth="1"/>
    <col min="2" max="2" width="12.5703125" style="2" customWidth="1"/>
    <col min="3" max="3" width="7.28515625" style="2" customWidth="1"/>
    <col min="4" max="4" width="6.85546875" style="2" customWidth="1"/>
    <col min="5" max="10" width="5.85546875" style="2" bestFit="1" customWidth="1"/>
    <col min="11" max="11" width="6.28515625" style="2" bestFit="1" customWidth="1"/>
    <col min="12" max="23" width="6.85546875" style="2" bestFit="1" customWidth="1"/>
    <col min="24" max="27" width="7" style="2" bestFit="1" customWidth="1"/>
    <col min="28" max="32" width="7" style="3" bestFit="1" customWidth="1"/>
    <col min="33" max="16384" width="9.140625" style="3"/>
  </cols>
  <sheetData>
    <row r="1" spans="1:32" ht="18.75">
      <c r="A1" s="1" t="s">
        <v>59</v>
      </c>
    </row>
    <row r="2" spans="1:32">
      <c r="A2" s="4" t="s">
        <v>60</v>
      </c>
    </row>
    <row r="3" spans="1:32" ht="13.5" thickBot="1"/>
    <row r="4" spans="1:32" ht="18" customHeight="1" thickBot="1">
      <c r="A4" s="111" t="s">
        <v>173</v>
      </c>
      <c r="B4" s="5" t="s">
        <v>95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178</v>
      </c>
      <c r="AC4" s="5" t="s">
        <v>179</v>
      </c>
      <c r="AD4" s="5" t="s">
        <v>180</v>
      </c>
      <c r="AE4" s="5" t="s">
        <v>181</v>
      </c>
      <c r="AF4" s="6" t="s">
        <v>182</v>
      </c>
    </row>
    <row r="5" spans="1:32" ht="15.75">
      <c r="A5" s="238" t="s">
        <v>25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6"/>
      <c r="AB5" s="237"/>
      <c r="AC5" s="237"/>
      <c r="AD5" s="237"/>
      <c r="AE5" s="237"/>
      <c r="AF5" s="237"/>
    </row>
    <row r="6" spans="1:32">
      <c r="A6" s="7" t="s">
        <v>86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13"/>
      <c r="AB6" s="8"/>
      <c r="AC6" s="8"/>
      <c r="AD6" s="8"/>
      <c r="AE6" s="8"/>
      <c r="AF6" s="8"/>
    </row>
    <row r="7" spans="1:32">
      <c r="A7" s="9" t="s">
        <v>165</v>
      </c>
      <c r="B7" s="8"/>
      <c r="C7" s="8"/>
      <c r="D7" s="8"/>
      <c r="E7" s="8"/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13"/>
      <c r="AB7" s="8"/>
      <c r="AC7" s="8"/>
      <c r="AD7" s="8"/>
      <c r="AE7" s="8"/>
      <c r="AF7" s="8"/>
    </row>
    <row r="8" spans="1:32">
      <c r="A8" s="11" t="s">
        <v>27</v>
      </c>
      <c r="B8" s="8" t="s">
        <v>87</v>
      </c>
      <c r="C8" s="10">
        <f>Pupuk!D28</f>
        <v>70</v>
      </c>
      <c r="D8" s="10">
        <f>Pupuk!E28</f>
        <v>70</v>
      </c>
      <c r="E8" s="10">
        <f>Pupuk!F28</f>
        <v>70</v>
      </c>
      <c r="F8" s="10">
        <f>Pupuk!G28</f>
        <v>70</v>
      </c>
      <c r="G8" s="10">
        <f>Pupuk!H28</f>
        <v>0</v>
      </c>
      <c r="H8" s="10">
        <f>Pupuk!I28</f>
        <v>0</v>
      </c>
      <c r="I8" s="10">
        <f>Pupuk!J28</f>
        <v>0</v>
      </c>
      <c r="J8" s="10">
        <f>Pupuk!K28</f>
        <v>0</v>
      </c>
      <c r="K8" s="10">
        <f>Pupuk!L28</f>
        <v>0</v>
      </c>
      <c r="L8" s="10">
        <f>Pupuk!M28</f>
        <v>0</v>
      </c>
      <c r="M8" s="10">
        <f>Pupuk!N28</f>
        <v>0</v>
      </c>
      <c r="N8" s="10">
        <f>Pupuk!O28</f>
        <v>0</v>
      </c>
      <c r="O8" s="10">
        <f>Pupuk!P28</f>
        <v>0</v>
      </c>
      <c r="P8" s="10">
        <f>Pupuk!Q28</f>
        <v>0</v>
      </c>
      <c r="Q8" s="10">
        <f>Pupuk!R28</f>
        <v>0</v>
      </c>
      <c r="R8" s="10">
        <f>Pupuk!S28</f>
        <v>0</v>
      </c>
      <c r="S8" s="10">
        <f>Pupuk!T28</f>
        <v>0</v>
      </c>
      <c r="T8" s="10">
        <f>Pupuk!U28</f>
        <v>0</v>
      </c>
      <c r="U8" s="10">
        <f>Pupuk!V28</f>
        <v>0</v>
      </c>
      <c r="V8" s="10">
        <f>Pupuk!W28</f>
        <v>0</v>
      </c>
      <c r="W8" s="10">
        <f>Pupuk!X28</f>
        <v>0</v>
      </c>
      <c r="X8" s="10">
        <f>Pupuk!Y28</f>
        <v>0</v>
      </c>
      <c r="Y8" s="10">
        <f>Pupuk!Z28</f>
        <v>0</v>
      </c>
      <c r="Z8" s="10">
        <f>Pupuk!AA28</f>
        <v>0</v>
      </c>
      <c r="AA8" s="10">
        <f>Pupuk!AB28</f>
        <v>0</v>
      </c>
      <c r="AB8" s="10">
        <f>Pupuk!AC28</f>
        <v>0</v>
      </c>
      <c r="AC8" s="10">
        <f>Pupuk!AD28</f>
        <v>0</v>
      </c>
      <c r="AD8" s="10">
        <f>Pupuk!AE28</f>
        <v>0</v>
      </c>
      <c r="AE8" s="10">
        <f>Pupuk!AF28</f>
        <v>0</v>
      </c>
      <c r="AF8" s="10">
        <f>Pupuk!AG28</f>
        <v>0</v>
      </c>
    </row>
    <row r="9" spans="1:32">
      <c r="A9" s="11" t="s">
        <v>174</v>
      </c>
      <c r="B9" s="8" t="s">
        <v>87</v>
      </c>
      <c r="C9" s="10">
        <f>Pupuk!D29</f>
        <v>0</v>
      </c>
      <c r="D9" s="10">
        <f>Pupuk!E29</f>
        <v>0</v>
      </c>
      <c r="E9" s="10">
        <f>Pupuk!F29</f>
        <v>0</v>
      </c>
      <c r="F9" s="10">
        <f>Pupuk!G29</f>
        <v>70</v>
      </c>
      <c r="G9" s="10">
        <f>Pupuk!H29</f>
        <v>70</v>
      </c>
      <c r="H9" s="10">
        <f>Pupuk!I29</f>
        <v>105</v>
      </c>
      <c r="I9" s="10">
        <f>Pupuk!J29</f>
        <v>105</v>
      </c>
      <c r="J9" s="10">
        <f>Pupuk!K29</f>
        <v>140</v>
      </c>
      <c r="K9" s="10">
        <f>Pupuk!L29</f>
        <v>140</v>
      </c>
      <c r="L9" s="10">
        <f>Pupuk!M29</f>
        <v>140</v>
      </c>
      <c r="M9" s="10">
        <f>Pupuk!N29</f>
        <v>140</v>
      </c>
      <c r="N9" s="10">
        <f>Pupuk!O29</f>
        <v>140</v>
      </c>
      <c r="O9" s="10">
        <f>Pupuk!P29</f>
        <v>140</v>
      </c>
      <c r="P9" s="10">
        <f>Pupuk!Q29</f>
        <v>140</v>
      </c>
      <c r="Q9" s="10">
        <f>Pupuk!R29</f>
        <v>140</v>
      </c>
      <c r="R9" s="10">
        <f>Pupuk!S29</f>
        <v>140</v>
      </c>
      <c r="S9" s="10">
        <f>Pupuk!T29</f>
        <v>140</v>
      </c>
      <c r="T9" s="10">
        <f>Pupuk!U29</f>
        <v>140</v>
      </c>
      <c r="U9" s="10">
        <f>Pupuk!V29</f>
        <v>140</v>
      </c>
      <c r="V9" s="10">
        <f>Pupuk!W29</f>
        <v>140</v>
      </c>
      <c r="W9" s="10">
        <f>Pupuk!X29</f>
        <v>140</v>
      </c>
      <c r="X9" s="10">
        <f>Pupuk!Y29</f>
        <v>140</v>
      </c>
      <c r="Y9" s="10">
        <f>Pupuk!Z29</f>
        <v>140</v>
      </c>
      <c r="Z9" s="10">
        <f>Pupuk!AA29</f>
        <v>140</v>
      </c>
      <c r="AA9" s="10">
        <f>Pupuk!AB29</f>
        <v>140</v>
      </c>
      <c r="AB9" s="10">
        <f>Pupuk!AC29</f>
        <v>140</v>
      </c>
      <c r="AC9" s="10">
        <f>Pupuk!AD29</f>
        <v>140</v>
      </c>
      <c r="AD9" s="10">
        <f>Pupuk!AE29</f>
        <v>140</v>
      </c>
      <c r="AE9" s="10">
        <f>Pupuk!AF29</f>
        <v>140</v>
      </c>
      <c r="AF9" s="10">
        <f>Pupuk!AG29</f>
        <v>140</v>
      </c>
    </row>
    <row r="10" spans="1:32">
      <c r="A10" s="11" t="s">
        <v>301</v>
      </c>
      <c r="B10" s="8" t="s">
        <v>87</v>
      </c>
      <c r="C10" s="10">
        <f>Pupuk!D30</f>
        <v>0</v>
      </c>
      <c r="D10" s="10">
        <f>Pupuk!E30</f>
        <v>140</v>
      </c>
      <c r="E10" s="10">
        <f>Pupuk!F30</f>
        <v>140</v>
      </c>
      <c r="F10" s="10">
        <f>Pupuk!G30</f>
        <v>140</v>
      </c>
      <c r="G10" s="10">
        <f>Pupuk!H30</f>
        <v>280</v>
      </c>
      <c r="H10" s="10">
        <f>Pupuk!I30</f>
        <v>280</v>
      </c>
      <c r="I10" s="10">
        <f>Pupuk!J30</f>
        <v>280</v>
      </c>
      <c r="J10" s="10">
        <f>Pupuk!K30</f>
        <v>420</v>
      </c>
      <c r="K10" s="10">
        <f>Pupuk!L30</f>
        <v>420</v>
      </c>
      <c r="L10" s="10">
        <f>Pupuk!M30</f>
        <v>420</v>
      </c>
      <c r="M10" s="10">
        <f>Pupuk!N30</f>
        <v>420</v>
      </c>
      <c r="N10" s="10">
        <f>Pupuk!O30</f>
        <v>420</v>
      </c>
      <c r="O10" s="10">
        <f>Pupuk!P30</f>
        <v>420</v>
      </c>
      <c r="P10" s="10">
        <f>Pupuk!Q30</f>
        <v>420</v>
      </c>
      <c r="Q10" s="10">
        <f>Pupuk!R30</f>
        <v>420</v>
      </c>
      <c r="R10" s="10">
        <f>Pupuk!S30</f>
        <v>420</v>
      </c>
      <c r="S10" s="10">
        <f>Pupuk!T30</f>
        <v>420</v>
      </c>
      <c r="T10" s="10">
        <f>Pupuk!U30</f>
        <v>420</v>
      </c>
      <c r="U10" s="10">
        <f>Pupuk!V30</f>
        <v>420</v>
      </c>
      <c r="V10" s="10">
        <f>Pupuk!W30</f>
        <v>420</v>
      </c>
      <c r="W10" s="10">
        <f>Pupuk!X30</f>
        <v>420</v>
      </c>
      <c r="X10" s="10">
        <f>Pupuk!Y30</f>
        <v>420</v>
      </c>
      <c r="Y10" s="10">
        <f>Pupuk!Z30</f>
        <v>420</v>
      </c>
      <c r="Z10" s="10">
        <f>Pupuk!AA30</f>
        <v>420</v>
      </c>
      <c r="AA10" s="10">
        <f>Pupuk!AB30</f>
        <v>420</v>
      </c>
      <c r="AB10" s="10">
        <f>Pupuk!AC30</f>
        <v>420</v>
      </c>
      <c r="AC10" s="10">
        <f>Pupuk!AD30</f>
        <v>420</v>
      </c>
      <c r="AD10" s="10">
        <f>Pupuk!AE30</f>
        <v>420</v>
      </c>
      <c r="AE10" s="10">
        <f>Pupuk!AF30</f>
        <v>420</v>
      </c>
      <c r="AF10" s="10">
        <f>Pupuk!AG30</f>
        <v>420</v>
      </c>
    </row>
    <row r="11" spans="1:32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13"/>
      <c r="AB11" s="8"/>
      <c r="AC11" s="8"/>
      <c r="AD11" s="8"/>
      <c r="AE11" s="8"/>
      <c r="AF11" s="8"/>
    </row>
    <row r="12" spans="1:32">
      <c r="A12" s="9" t="s">
        <v>166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13"/>
      <c r="AB12" s="8"/>
      <c r="AC12" s="8"/>
      <c r="AD12" s="8"/>
      <c r="AE12" s="8"/>
      <c r="AF12" s="8"/>
    </row>
    <row r="13" spans="1:32">
      <c r="A13" s="11" t="s">
        <v>88</v>
      </c>
      <c r="B13" s="8" t="s">
        <v>89</v>
      </c>
      <c r="C13" s="8">
        <v>8</v>
      </c>
      <c r="D13" s="8">
        <v>8</v>
      </c>
      <c r="E13" s="8">
        <v>8</v>
      </c>
      <c r="F13" s="8">
        <v>8</v>
      </c>
      <c r="G13" s="8">
        <v>8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4</v>
      </c>
      <c r="O13" s="8">
        <v>4</v>
      </c>
      <c r="P13" s="8">
        <v>4</v>
      </c>
      <c r="Q13" s="8">
        <v>4</v>
      </c>
      <c r="R13" s="8">
        <v>4</v>
      </c>
      <c r="S13" s="8">
        <v>4</v>
      </c>
      <c r="T13" s="8">
        <v>4</v>
      </c>
      <c r="U13" s="8">
        <v>4</v>
      </c>
      <c r="V13" s="8">
        <v>4</v>
      </c>
      <c r="W13" s="8">
        <v>4</v>
      </c>
      <c r="X13" s="8">
        <v>4</v>
      </c>
      <c r="Y13" s="8">
        <v>4</v>
      </c>
      <c r="Z13" s="8">
        <v>4</v>
      </c>
      <c r="AA13" s="8">
        <v>4</v>
      </c>
      <c r="AB13" s="8">
        <v>4</v>
      </c>
      <c r="AC13" s="8">
        <v>4</v>
      </c>
      <c r="AD13" s="8">
        <v>4</v>
      </c>
      <c r="AE13" s="8">
        <v>4</v>
      </c>
      <c r="AF13" s="8">
        <v>4</v>
      </c>
    </row>
    <row r="14" spans="1:32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13"/>
      <c r="AB14" s="8"/>
      <c r="AC14" s="8"/>
      <c r="AD14" s="8"/>
      <c r="AE14" s="8"/>
      <c r="AF14" s="8"/>
    </row>
    <row r="15" spans="1:32">
      <c r="A15" s="9" t="s">
        <v>167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13"/>
      <c r="AB15" s="8"/>
      <c r="AC15" s="8"/>
      <c r="AD15" s="8"/>
      <c r="AE15" s="8"/>
      <c r="AF15" s="8"/>
    </row>
    <row r="16" spans="1:32">
      <c r="A16" s="11" t="s">
        <v>275</v>
      </c>
      <c r="B16" s="8" t="s">
        <v>87</v>
      </c>
      <c r="C16" s="8">
        <v>70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13"/>
      <c r="AB16" s="8"/>
      <c r="AC16" s="8"/>
      <c r="AD16" s="8"/>
      <c r="AE16" s="8"/>
      <c r="AF16" s="8"/>
    </row>
    <row r="17" spans="1:32">
      <c r="A17" s="11" t="s">
        <v>175</v>
      </c>
      <c r="B17" s="8" t="s">
        <v>90</v>
      </c>
      <c r="C17" s="8">
        <v>135</v>
      </c>
      <c r="D17" s="8">
        <v>15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13"/>
      <c r="AB17" s="8"/>
      <c r="AC17" s="8"/>
      <c r="AD17" s="8"/>
      <c r="AE17" s="8"/>
      <c r="AF17" s="8"/>
    </row>
    <row r="18" spans="1:32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13"/>
      <c r="AB18" s="8"/>
      <c r="AC18" s="8"/>
      <c r="AD18" s="8"/>
      <c r="AE18" s="8"/>
      <c r="AF18" s="8"/>
    </row>
    <row r="19" spans="1:32">
      <c r="A19" s="9" t="s">
        <v>168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13"/>
      <c r="AB19" s="8"/>
      <c r="AC19" s="8"/>
      <c r="AD19" s="8"/>
      <c r="AE19" s="8"/>
      <c r="AF19" s="8"/>
    </row>
    <row r="20" spans="1:32">
      <c r="A20" s="11" t="s">
        <v>229</v>
      </c>
      <c r="B20" s="8" t="s">
        <v>93</v>
      </c>
      <c r="C20" s="8"/>
      <c r="D20" s="8"/>
      <c r="E20" s="8">
        <v>1</v>
      </c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13"/>
      <c r="AB20" s="8"/>
      <c r="AC20" s="8"/>
      <c r="AD20" s="8"/>
      <c r="AE20" s="8"/>
      <c r="AF20" s="8"/>
    </row>
    <row r="21" spans="1:32">
      <c r="A21" s="11" t="s">
        <v>230</v>
      </c>
      <c r="B21" s="8" t="s">
        <v>93</v>
      </c>
      <c r="C21" s="8"/>
      <c r="D21" s="8"/>
      <c r="E21" s="8"/>
      <c r="F21" s="8"/>
      <c r="G21" s="8"/>
      <c r="H21" s="8">
        <v>1</v>
      </c>
      <c r="I21" s="8"/>
      <c r="J21" s="8">
        <v>1</v>
      </c>
      <c r="K21" s="8"/>
      <c r="L21" s="8">
        <v>1</v>
      </c>
      <c r="M21" s="8"/>
      <c r="N21" s="8">
        <v>1</v>
      </c>
      <c r="O21" s="8"/>
      <c r="P21" s="8">
        <v>1</v>
      </c>
      <c r="Q21" s="8"/>
      <c r="R21" s="8">
        <v>1</v>
      </c>
      <c r="S21" s="8"/>
      <c r="T21" s="8">
        <v>1</v>
      </c>
      <c r="U21" s="8"/>
      <c r="V21" s="8">
        <v>1</v>
      </c>
      <c r="W21" s="8"/>
      <c r="X21" s="8">
        <v>1</v>
      </c>
      <c r="Y21" s="8"/>
      <c r="Z21" s="8">
        <v>1</v>
      </c>
      <c r="AA21" s="113"/>
      <c r="AB21" s="8">
        <v>1</v>
      </c>
      <c r="AC21" s="8"/>
      <c r="AD21" s="8">
        <v>1</v>
      </c>
      <c r="AE21" s="8"/>
      <c r="AF21" s="8">
        <v>1</v>
      </c>
    </row>
    <row r="22" spans="1:32">
      <c r="A22" s="11" t="s">
        <v>228</v>
      </c>
      <c r="B22" s="8" t="s">
        <v>93</v>
      </c>
      <c r="C22" s="8"/>
      <c r="D22" s="8"/>
      <c r="E22" s="8">
        <v>1</v>
      </c>
      <c r="F22" s="8"/>
      <c r="G22" s="8"/>
      <c r="H22" s="8">
        <v>1</v>
      </c>
      <c r="I22" s="8"/>
      <c r="J22" s="8"/>
      <c r="K22" s="8">
        <v>1</v>
      </c>
      <c r="L22" s="8"/>
      <c r="M22" s="8"/>
      <c r="N22" s="8">
        <v>1</v>
      </c>
      <c r="O22" s="8"/>
      <c r="P22" s="8"/>
      <c r="Q22" s="8">
        <v>1</v>
      </c>
      <c r="R22" s="8"/>
      <c r="S22" s="8"/>
      <c r="T22" s="8">
        <v>1</v>
      </c>
      <c r="U22" s="8"/>
      <c r="V22" s="8"/>
      <c r="W22" s="8">
        <v>1</v>
      </c>
      <c r="X22" s="8"/>
      <c r="Y22" s="8"/>
      <c r="Z22" s="8">
        <v>1</v>
      </c>
      <c r="AA22" s="113"/>
      <c r="AB22" s="8"/>
      <c r="AC22" s="8">
        <v>1</v>
      </c>
      <c r="AD22" s="8"/>
      <c r="AE22" s="8"/>
      <c r="AF22" s="8">
        <v>1</v>
      </c>
    </row>
    <row r="23" spans="1:32">
      <c r="A23" s="11" t="s">
        <v>92</v>
      </c>
      <c r="B23" s="8" t="s">
        <v>93</v>
      </c>
      <c r="C23" s="8">
        <v>1</v>
      </c>
      <c r="D23" s="8"/>
      <c r="E23" s="8"/>
      <c r="F23" s="8"/>
      <c r="G23" s="8">
        <v>1</v>
      </c>
      <c r="H23" s="8"/>
      <c r="I23" s="8"/>
      <c r="J23" s="8"/>
      <c r="K23" s="8"/>
      <c r="L23" s="8">
        <v>1</v>
      </c>
      <c r="M23" s="8"/>
      <c r="N23" s="8"/>
      <c r="O23" s="8"/>
      <c r="P23" s="8"/>
      <c r="Q23" s="8">
        <v>1</v>
      </c>
      <c r="R23" s="8"/>
      <c r="S23" s="8"/>
      <c r="T23" s="8"/>
      <c r="U23" s="8"/>
      <c r="V23" s="8">
        <v>1</v>
      </c>
      <c r="W23" s="8"/>
      <c r="X23" s="8"/>
      <c r="Y23" s="8"/>
      <c r="Z23" s="8"/>
      <c r="AA23" s="113">
        <v>1</v>
      </c>
      <c r="AB23" s="8"/>
      <c r="AC23" s="8"/>
      <c r="AD23" s="8"/>
      <c r="AE23" s="8"/>
      <c r="AF23" s="8">
        <v>1</v>
      </c>
    </row>
    <row r="24" spans="1:32">
      <c r="A24" s="11" t="s">
        <v>257</v>
      </c>
      <c r="B24" s="8" t="s">
        <v>93</v>
      </c>
      <c r="C24" s="8">
        <v>1</v>
      </c>
      <c r="D24" s="8"/>
      <c r="E24" s="8">
        <v>1</v>
      </c>
      <c r="F24" s="8"/>
      <c r="G24" s="8">
        <v>1</v>
      </c>
      <c r="H24" s="8"/>
      <c r="I24" s="8">
        <v>1</v>
      </c>
      <c r="J24" s="8"/>
      <c r="K24" s="8">
        <v>1</v>
      </c>
      <c r="L24" s="8"/>
      <c r="M24" s="8">
        <v>1</v>
      </c>
      <c r="N24" s="8"/>
      <c r="O24" s="8">
        <v>1</v>
      </c>
      <c r="P24" s="8"/>
      <c r="Q24" s="8">
        <v>1</v>
      </c>
      <c r="R24" s="8"/>
      <c r="S24" s="8">
        <v>1</v>
      </c>
      <c r="T24" s="8"/>
      <c r="U24" s="8">
        <v>1</v>
      </c>
      <c r="V24" s="8"/>
      <c r="W24" s="8">
        <v>1</v>
      </c>
      <c r="X24" s="8"/>
      <c r="Y24" s="8">
        <v>1</v>
      </c>
      <c r="Z24" s="8"/>
      <c r="AA24" s="113">
        <v>1</v>
      </c>
      <c r="AB24" s="8"/>
      <c r="AC24" s="8">
        <v>1</v>
      </c>
      <c r="AD24" s="8"/>
      <c r="AE24" s="8">
        <v>1</v>
      </c>
      <c r="AF24" s="8"/>
    </row>
    <row r="25" spans="1:32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13"/>
      <c r="AB25" s="8"/>
      <c r="AC25" s="8"/>
      <c r="AD25" s="8"/>
      <c r="AE25" s="8"/>
      <c r="AF25" s="8"/>
    </row>
    <row r="26" spans="1:32" ht="15.75">
      <c r="A26" s="14" t="s">
        <v>91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40"/>
      <c r="AB26" s="239"/>
      <c r="AC26" s="239"/>
      <c r="AD26" s="239"/>
      <c r="AE26" s="239"/>
      <c r="AF26" s="239"/>
    </row>
    <row r="27" spans="1:32">
      <c r="A27" s="15" t="s">
        <v>169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13"/>
      <c r="AB27" s="8"/>
      <c r="AC27" s="8"/>
      <c r="AD27" s="8"/>
      <c r="AE27" s="8"/>
      <c r="AF27" s="8"/>
    </row>
    <row r="28" spans="1:32">
      <c r="A28" s="7" t="s">
        <v>170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113"/>
      <c r="AB28" s="8"/>
      <c r="AC28" s="8"/>
      <c r="AD28" s="8"/>
      <c r="AE28" s="8"/>
      <c r="AF28" s="8"/>
    </row>
    <row r="29" spans="1:32">
      <c r="A29" s="16" t="s">
        <v>224</v>
      </c>
      <c r="B29" s="8" t="s">
        <v>177</v>
      </c>
      <c r="C29" s="308">
        <f>1000000/75000</f>
        <v>13.333333333333334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13"/>
      <c r="AB29" s="8"/>
      <c r="AC29" s="8"/>
      <c r="AD29" s="8"/>
      <c r="AE29" s="8"/>
      <c r="AF29" s="8"/>
    </row>
    <row r="30" spans="1:32">
      <c r="A30" s="16" t="s">
        <v>225</v>
      </c>
      <c r="B30" s="8" t="s">
        <v>177</v>
      </c>
      <c r="C30" s="8"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13"/>
      <c r="AB30" s="8"/>
      <c r="AC30" s="8"/>
      <c r="AD30" s="8"/>
      <c r="AE30" s="8"/>
      <c r="AF30" s="8"/>
    </row>
    <row r="31" spans="1:32">
      <c r="A31" s="16" t="s">
        <v>226</v>
      </c>
      <c r="B31" s="8" t="s">
        <v>177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13"/>
      <c r="AB31" s="8"/>
      <c r="AC31" s="8"/>
      <c r="AD31" s="8"/>
      <c r="AE31" s="8"/>
      <c r="AF31" s="8"/>
    </row>
    <row r="32" spans="1:32">
      <c r="A32" s="16" t="s">
        <v>227</v>
      </c>
      <c r="B32" s="8" t="s">
        <v>177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13"/>
      <c r="AB32" s="8"/>
      <c r="AC32" s="8"/>
      <c r="AD32" s="8"/>
      <c r="AE32" s="8"/>
      <c r="AF32" s="8"/>
    </row>
    <row r="33" spans="1:32">
      <c r="A33" s="7" t="s">
        <v>271</v>
      </c>
      <c r="B33" s="194"/>
      <c r="C33" s="175"/>
      <c r="D33" s="17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13"/>
      <c r="AB33" s="8"/>
      <c r="AC33" s="8"/>
      <c r="AD33" s="8"/>
      <c r="AE33" s="8"/>
      <c r="AF33" s="8"/>
    </row>
    <row r="34" spans="1:32">
      <c r="A34" s="16" t="s">
        <v>272</v>
      </c>
      <c r="B34" s="194" t="s">
        <v>177</v>
      </c>
      <c r="C34" s="8">
        <v>9</v>
      </c>
      <c r="D34" s="17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13"/>
      <c r="AB34" s="8"/>
      <c r="AC34" s="8"/>
      <c r="AD34" s="8"/>
      <c r="AE34" s="8"/>
      <c r="AF34" s="8"/>
    </row>
    <row r="35" spans="1:32">
      <c r="A35" s="16" t="s">
        <v>273</v>
      </c>
      <c r="B35" s="194" t="s">
        <v>177</v>
      </c>
      <c r="C35" s="8">
        <v>15</v>
      </c>
      <c r="D35" s="17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13"/>
      <c r="AB35" s="8"/>
      <c r="AC35" s="8"/>
      <c r="AD35" s="8"/>
      <c r="AE35" s="8"/>
      <c r="AF35" s="8"/>
    </row>
    <row r="36" spans="1:32">
      <c r="A36" s="165" t="s">
        <v>275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13"/>
      <c r="AB36" s="8"/>
      <c r="AC36" s="8"/>
      <c r="AD36" s="8"/>
      <c r="AE36" s="8"/>
      <c r="AF36" s="8"/>
    </row>
    <row r="37" spans="1:32">
      <c r="A37" s="166" t="s">
        <v>231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13"/>
      <c r="AB37" s="8"/>
      <c r="AC37" s="8"/>
      <c r="AD37" s="8"/>
      <c r="AE37" s="8"/>
      <c r="AF37" s="8"/>
    </row>
    <row r="38" spans="1:32">
      <c r="A38" s="16" t="s">
        <v>302</v>
      </c>
      <c r="B38" s="8" t="s">
        <v>177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13"/>
      <c r="AB38" s="8"/>
      <c r="AC38" s="8"/>
      <c r="AD38" s="8"/>
      <c r="AE38" s="8"/>
      <c r="AF38" s="8"/>
    </row>
    <row r="39" spans="1:32">
      <c r="A39" s="166" t="s">
        <v>240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13"/>
      <c r="AB39" s="8"/>
      <c r="AC39" s="8"/>
      <c r="AD39" s="8"/>
      <c r="AE39" s="8"/>
      <c r="AF39" s="8"/>
    </row>
    <row r="40" spans="1:32">
      <c r="A40" s="16" t="s">
        <v>318</v>
      </c>
      <c r="B40" s="8" t="s">
        <v>177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13"/>
      <c r="AB40" s="8"/>
      <c r="AC40" s="8"/>
      <c r="AD40" s="8"/>
      <c r="AE40" s="8"/>
      <c r="AF40" s="8"/>
    </row>
    <row r="41" spans="1:32">
      <c r="A41" s="166" t="s">
        <v>235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13"/>
      <c r="AB41" s="8"/>
      <c r="AC41" s="8"/>
      <c r="AD41" s="8"/>
      <c r="AE41" s="8"/>
      <c r="AF41" s="8"/>
    </row>
    <row r="42" spans="1:32">
      <c r="A42" s="16" t="s">
        <v>241</v>
      </c>
      <c r="B42" s="8" t="s">
        <v>177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13"/>
      <c r="AB42" s="8"/>
      <c r="AC42" s="8"/>
      <c r="AD42" s="8"/>
      <c r="AE42" s="8"/>
      <c r="AF42" s="8"/>
    </row>
    <row r="43" spans="1:32">
      <c r="A43" s="16" t="s">
        <v>317</v>
      </c>
      <c r="B43" s="8" t="s">
        <v>177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13"/>
      <c r="AB43" s="8"/>
      <c r="AC43" s="8"/>
      <c r="AD43" s="8"/>
      <c r="AE43" s="8"/>
      <c r="AF43" s="8"/>
    </row>
    <row r="44" spans="1:32">
      <c r="A44" s="165" t="s">
        <v>242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13"/>
      <c r="AB44" s="8"/>
      <c r="AC44" s="8"/>
      <c r="AD44" s="8"/>
      <c r="AE44" s="8"/>
      <c r="AF44" s="8"/>
    </row>
    <row r="45" spans="1:32">
      <c r="A45" s="166" t="s">
        <v>231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13"/>
      <c r="AB45" s="8"/>
      <c r="AC45" s="8"/>
      <c r="AD45" s="8"/>
      <c r="AE45" s="8"/>
      <c r="AF45" s="8"/>
    </row>
    <row r="46" spans="1:32">
      <c r="A46" s="16" t="s">
        <v>307</v>
      </c>
      <c r="B46" s="8" t="s">
        <v>177</v>
      </c>
      <c r="C46" s="8">
        <v>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13"/>
      <c r="AB46" s="8"/>
      <c r="AC46" s="8"/>
      <c r="AD46" s="8"/>
      <c r="AE46" s="8"/>
      <c r="AF46" s="8"/>
    </row>
    <row r="47" spans="1:32">
      <c r="A47" s="16"/>
      <c r="B47" s="8"/>
      <c r="C47" s="20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13"/>
      <c r="AB47" s="8"/>
      <c r="AC47" s="8"/>
      <c r="AD47" s="8"/>
      <c r="AE47" s="8"/>
      <c r="AF47" s="8"/>
    </row>
    <row r="48" spans="1:32">
      <c r="A48" s="166" t="s">
        <v>171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13"/>
      <c r="AB48" s="8"/>
      <c r="AC48" s="8"/>
      <c r="AD48" s="8"/>
      <c r="AE48" s="8"/>
      <c r="AF48" s="8"/>
    </row>
    <row r="49" spans="1:32">
      <c r="A49" s="16" t="s">
        <v>274</v>
      </c>
      <c r="B49" s="8" t="s">
        <v>177</v>
      </c>
      <c r="C49" s="8"/>
      <c r="D49" s="8">
        <f>2*4</f>
        <v>8</v>
      </c>
      <c r="E49" s="8">
        <f t="shared" ref="E49:AF49" si="0">2*4</f>
        <v>8</v>
      </c>
      <c r="F49" s="8">
        <f t="shared" si="0"/>
        <v>8</v>
      </c>
      <c r="G49" s="8">
        <f t="shared" si="0"/>
        <v>8</v>
      </c>
      <c r="H49" s="8">
        <f t="shared" si="0"/>
        <v>8</v>
      </c>
      <c r="I49" s="8">
        <f t="shared" si="0"/>
        <v>8</v>
      </c>
      <c r="J49" s="8">
        <f t="shared" si="0"/>
        <v>8</v>
      </c>
      <c r="K49" s="8">
        <f t="shared" si="0"/>
        <v>8</v>
      </c>
      <c r="L49" s="8">
        <f t="shared" si="0"/>
        <v>8</v>
      </c>
      <c r="M49" s="8">
        <f t="shared" si="0"/>
        <v>8</v>
      </c>
      <c r="N49" s="8">
        <f t="shared" si="0"/>
        <v>8</v>
      </c>
      <c r="O49" s="8">
        <f t="shared" si="0"/>
        <v>8</v>
      </c>
      <c r="P49" s="8">
        <f t="shared" si="0"/>
        <v>8</v>
      </c>
      <c r="Q49" s="8">
        <f t="shared" si="0"/>
        <v>8</v>
      </c>
      <c r="R49" s="8">
        <f t="shared" si="0"/>
        <v>8</v>
      </c>
      <c r="S49" s="8">
        <f t="shared" si="0"/>
        <v>8</v>
      </c>
      <c r="T49" s="8">
        <f t="shared" si="0"/>
        <v>8</v>
      </c>
      <c r="U49" s="8">
        <f t="shared" si="0"/>
        <v>8</v>
      </c>
      <c r="V49" s="8">
        <f t="shared" si="0"/>
        <v>8</v>
      </c>
      <c r="W49" s="8">
        <f t="shared" si="0"/>
        <v>8</v>
      </c>
      <c r="X49" s="8">
        <f t="shared" si="0"/>
        <v>8</v>
      </c>
      <c r="Y49" s="8">
        <f t="shared" si="0"/>
        <v>8</v>
      </c>
      <c r="Z49" s="8">
        <f t="shared" si="0"/>
        <v>8</v>
      </c>
      <c r="AA49" s="8">
        <f t="shared" si="0"/>
        <v>8</v>
      </c>
      <c r="AB49" s="8">
        <f t="shared" si="0"/>
        <v>8</v>
      </c>
      <c r="AC49" s="8">
        <f t="shared" si="0"/>
        <v>8</v>
      </c>
      <c r="AD49" s="8">
        <f t="shared" si="0"/>
        <v>8</v>
      </c>
      <c r="AE49" s="8">
        <f t="shared" si="0"/>
        <v>8</v>
      </c>
      <c r="AF49" s="8">
        <f t="shared" si="0"/>
        <v>8</v>
      </c>
    </row>
    <row r="50" spans="1:32">
      <c r="A50" s="16" t="s">
        <v>232</v>
      </c>
      <c r="B50" s="8" t="s">
        <v>177</v>
      </c>
      <c r="C50" s="8"/>
      <c r="D50" s="8">
        <v>12</v>
      </c>
      <c r="E50" s="8">
        <v>12</v>
      </c>
      <c r="F50" s="8">
        <v>12</v>
      </c>
      <c r="G50" s="8">
        <v>12</v>
      </c>
      <c r="H50" s="8">
        <v>12</v>
      </c>
      <c r="I50" s="8">
        <v>12</v>
      </c>
      <c r="J50" s="8">
        <v>12</v>
      </c>
      <c r="K50" s="8">
        <v>12</v>
      </c>
      <c r="L50" s="8">
        <v>12</v>
      </c>
      <c r="M50" s="8">
        <v>12</v>
      </c>
      <c r="N50" s="8">
        <v>12</v>
      </c>
      <c r="O50" s="8">
        <v>12</v>
      </c>
      <c r="P50" s="8">
        <v>12</v>
      </c>
      <c r="Q50" s="8">
        <v>12</v>
      </c>
      <c r="R50" s="8">
        <v>12</v>
      </c>
      <c r="S50" s="8">
        <v>12</v>
      </c>
      <c r="T50" s="8">
        <v>12</v>
      </c>
      <c r="U50" s="8">
        <v>12</v>
      </c>
      <c r="V50" s="8">
        <v>12</v>
      </c>
      <c r="W50" s="8">
        <v>12</v>
      </c>
      <c r="X50" s="8">
        <v>12</v>
      </c>
      <c r="Y50" s="8">
        <v>12</v>
      </c>
      <c r="Z50" s="8">
        <v>12</v>
      </c>
      <c r="AA50" s="8">
        <v>12</v>
      </c>
      <c r="AB50" s="8">
        <v>12</v>
      </c>
      <c r="AC50" s="8">
        <v>12</v>
      </c>
      <c r="AD50" s="8">
        <v>12</v>
      </c>
      <c r="AE50" s="8">
        <v>12</v>
      </c>
      <c r="AF50" s="8">
        <v>12</v>
      </c>
    </row>
    <row r="51" spans="1:32">
      <c r="A51" s="16" t="s">
        <v>143</v>
      </c>
      <c r="B51" s="8" t="s">
        <v>177</v>
      </c>
      <c r="C51" s="8"/>
      <c r="D51" s="8"/>
      <c r="E51" s="8">
        <v>14</v>
      </c>
      <c r="F51" s="8">
        <v>14</v>
      </c>
      <c r="G51" s="8">
        <v>14</v>
      </c>
      <c r="H51" s="8">
        <v>14</v>
      </c>
      <c r="I51" s="8">
        <v>14</v>
      </c>
      <c r="J51" s="8">
        <v>14</v>
      </c>
      <c r="K51" s="8">
        <v>14</v>
      </c>
      <c r="L51" s="8">
        <v>14</v>
      </c>
      <c r="M51" s="8">
        <v>14</v>
      </c>
      <c r="N51" s="8">
        <v>14</v>
      </c>
      <c r="O51" s="8">
        <v>14</v>
      </c>
      <c r="P51" s="8">
        <v>14</v>
      </c>
      <c r="Q51" s="8">
        <v>14</v>
      </c>
      <c r="R51" s="8">
        <v>14</v>
      </c>
      <c r="S51" s="8">
        <v>14</v>
      </c>
      <c r="T51" s="8">
        <v>14</v>
      </c>
      <c r="U51" s="8">
        <v>14</v>
      </c>
      <c r="V51" s="8">
        <v>14</v>
      </c>
      <c r="W51" s="8">
        <v>14</v>
      </c>
      <c r="X51" s="8">
        <v>14</v>
      </c>
      <c r="Y51" s="8">
        <v>14</v>
      </c>
      <c r="Z51" s="8">
        <v>14</v>
      </c>
      <c r="AA51" s="8">
        <v>14</v>
      </c>
      <c r="AB51" s="8">
        <v>14</v>
      </c>
      <c r="AC51" s="8">
        <v>14</v>
      </c>
      <c r="AD51" s="8">
        <v>14</v>
      </c>
      <c r="AE51" s="8">
        <v>14</v>
      </c>
      <c r="AF51" s="8">
        <v>14</v>
      </c>
    </row>
    <row r="52" spans="1:32">
      <c r="A52" s="16" t="s">
        <v>233</v>
      </c>
      <c r="B52" s="8" t="s">
        <v>177</v>
      </c>
      <c r="C52" s="8">
        <v>4</v>
      </c>
      <c r="D52" s="8">
        <v>4</v>
      </c>
      <c r="E52" s="8">
        <v>4</v>
      </c>
      <c r="F52" s="8">
        <v>4</v>
      </c>
      <c r="G52" s="8">
        <v>2</v>
      </c>
      <c r="H52" s="8">
        <v>2</v>
      </c>
      <c r="I52" s="8">
        <v>2</v>
      </c>
      <c r="J52" s="8">
        <v>2</v>
      </c>
      <c r="K52" s="8">
        <v>2</v>
      </c>
      <c r="L52" s="8">
        <v>2</v>
      </c>
      <c r="M52" s="8">
        <v>2</v>
      </c>
      <c r="N52" s="8">
        <v>2</v>
      </c>
      <c r="O52" s="8">
        <v>2</v>
      </c>
      <c r="P52" s="8">
        <v>2</v>
      </c>
      <c r="Q52" s="8">
        <v>2</v>
      </c>
      <c r="R52" s="8">
        <v>2</v>
      </c>
      <c r="S52" s="8">
        <v>2</v>
      </c>
      <c r="T52" s="8">
        <v>2</v>
      </c>
      <c r="U52" s="8">
        <v>2</v>
      </c>
      <c r="V52" s="8">
        <v>2</v>
      </c>
      <c r="W52" s="8">
        <v>2</v>
      </c>
      <c r="X52" s="8">
        <v>2</v>
      </c>
      <c r="Y52" s="8">
        <v>2</v>
      </c>
      <c r="Z52" s="8">
        <v>2</v>
      </c>
      <c r="AA52" s="8">
        <v>2</v>
      </c>
      <c r="AB52" s="8">
        <v>2</v>
      </c>
      <c r="AC52" s="8">
        <v>2</v>
      </c>
      <c r="AD52" s="8">
        <v>2</v>
      </c>
      <c r="AE52" s="8">
        <v>2</v>
      </c>
      <c r="AF52" s="8">
        <v>2</v>
      </c>
    </row>
    <row r="53" spans="1:32">
      <c r="A53" s="16" t="s">
        <v>234</v>
      </c>
      <c r="B53" s="8" t="s">
        <v>177</v>
      </c>
      <c r="C53" s="8">
        <v>6</v>
      </c>
      <c r="D53" s="8">
        <v>6</v>
      </c>
      <c r="E53" s="8">
        <v>6</v>
      </c>
      <c r="F53" s="8">
        <v>6</v>
      </c>
      <c r="G53" s="8">
        <v>6</v>
      </c>
      <c r="H53" s="8">
        <v>6</v>
      </c>
      <c r="I53" s="8">
        <v>6</v>
      </c>
      <c r="J53" s="8">
        <v>6</v>
      </c>
      <c r="K53" s="8">
        <v>6</v>
      </c>
      <c r="L53" s="8">
        <v>6</v>
      </c>
      <c r="M53" s="8">
        <v>6</v>
      </c>
      <c r="N53" s="8">
        <v>6</v>
      </c>
      <c r="O53" s="8">
        <v>6</v>
      </c>
      <c r="P53" s="8">
        <v>6</v>
      </c>
      <c r="Q53" s="8">
        <v>6</v>
      </c>
      <c r="R53" s="8">
        <v>6</v>
      </c>
      <c r="S53" s="8">
        <v>6</v>
      </c>
      <c r="T53" s="8">
        <v>6</v>
      </c>
      <c r="U53" s="8">
        <v>6</v>
      </c>
      <c r="V53" s="8">
        <v>6</v>
      </c>
      <c r="W53" s="8">
        <v>6</v>
      </c>
      <c r="X53" s="8">
        <v>6</v>
      </c>
      <c r="Y53" s="8">
        <v>6</v>
      </c>
      <c r="Z53" s="8">
        <v>6</v>
      </c>
      <c r="AA53" s="8">
        <v>6</v>
      </c>
      <c r="AB53" s="8">
        <v>6</v>
      </c>
      <c r="AC53" s="8">
        <v>6</v>
      </c>
      <c r="AD53" s="8">
        <v>6</v>
      </c>
      <c r="AE53" s="8">
        <v>6</v>
      </c>
      <c r="AF53" s="8">
        <v>6</v>
      </c>
    </row>
    <row r="54" spans="1:32">
      <c r="A54" s="166" t="s">
        <v>239</v>
      </c>
      <c r="B54" s="8" t="s">
        <v>177</v>
      </c>
      <c r="C54" s="8"/>
      <c r="D54" s="8"/>
      <c r="E54" s="8">
        <v>24</v>
      </c>
      <c r="F54" s="8">
        <v>24</v>
      </c>
      <c r="G54" s="8">
        <v>24</v>
      </c>
      <c r="H54" s="8">
        <v>48</v>
      </c>
      <c r="I54" s="8">
        <v>48</v>
      </c>
      <c r="J54" s="8">
        <v>48</v>
      </c>
      <c r="K54" s="8">
        <v>48</v>
      </c>
      <c r="L54" s="8">
        <v>48</v>
      </c>
      <c r="M54" s="8">
        <v>48</v>
      </c>
      <c r="N54" s="8">
        <v>48</v>
      </c>
      <c r="O54" s="8">
        <v>48</v>
      </c>
      <c r="P54" s="8">
        <v>48</v>
      </c>
      <c r="Q54" s="8">
        <v>48</v>
      </c>
      <c r="R54" s="8">
        <v>48</v>
      </c>
      <c r="S54" s="8">
        <v>48</v>
      </c>
      <c r="T54" s="8">
        <v>48</v>
      </c>
      <c r="U54" s="8">
        <v>48</v>
      </c>
      <c r="V54" s="8">
        <v>48</v>
      </c>
      <c r="W54" s="8">
        <v>48</v>
      </c>
      <c r="X54" s="8">
        <v>48</v>
      </c>
      <c r="Y54" s="8">
        <v>48</v>
      </c>
      <c r="Z54" s="8">
        <v>48</v>
      </c>
      <c r="AA54" s="8">
        <v>48</v>
      </c>
      <c r="AB54" s="8">
        <v>48</v>
      </c>
      <c r="AC54" s="8">
        <v>48</v>
      </c>
      <c r="AD54" s="8">
        <v>48</v>
      </c>
      <c r="AE54" s="8">
        <v>48</v>
      </c>
      <c r="AF54" s="8">
        <v>48</v>
      </c>
    </row>
    <row r="55" spans="1:32">
      <c r="A55" s="16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113"/>
      <c r="AB55" s="8"/>
      <c r="AC55" s="8"/>
      <c r="AD55" s="8"/>
      <c r="AE55" s="8"/>
      <c r="AF55" s="8"/>
    </row>
    <row r="56" spans="1:32">
      <c r="A56" s="9" t="s">
        <v>113</v>
      </c>
      <c r="B56" s="8" t="s">
        <v>177</v>
      </c>
      <c r="C56" s="8">
        <f t="shared" ref="C56:AA56" si="1">SUM(C29:C54)</f>
        <v>54.333333333333336</v>
      </c>
      <c r="D56" s="8">
        <f t="shared" si="1"/>
        <v>30</v>
      </c>
      <c r="E56" s="8">
        <f t="shared" si="1"/>
        <v>68</v>
      </c>
      <c r="F56" s="8">
        <f t="shared" si="1"/>
        <v>68</v>
      </c>
      <c r="G56" s="8">
        <f t="shared" si="1"/>
        <v>66</v>
      </c>
      <c r="H56" s="8">
        <f t="shared" si="1"/>
        <v>90</v>
      </c>
      <c r="I56" s="8">
        <f t="shared" si="1"/>
        <v>90</v>
      </c>
      <c r="J56" s="8">
        <f t="shared" si="1"/>
        <v>90</v>
      </c>
      <c r="K56" s="8">
        <f t="shared" si="1"/>
        <v>90</v>
      </c>
      <c r="L56" s="8">
        <f t="shared" si="1"/>
        <v>90</v>
      </c>
      <c r="M56" s="8">
        <f t="shared" si="1"/>
        <v>90</v>
      </c>
      <c r="N56" s="8">
        <f t="shared" si="1"/>
        <v>90</v>
      </c>
      <c r="O56" s="8">
        <f t="shared" si="1"/>
        <v>90</v>
      </c>
      <c r="P56" s="8">
        <f t="shared" si="1"/>
        <v>90</v>
      </c>
      <c r="Q56" s="8">
        <f t="shared" si="1"/>
        <v>90</v>
      </c>
      <c r="R56" s="8">
        <f t="shared" si="1"/>
        <v>90</v>
      </c>
      <c r="S56" s="8">
        <f t="shared" si="1"/>
        <v>90</v>
      </c>
      <c r="T56" s="8">
        <f t="shared" si="1"/>
        <v>90</v>
      </c>
      <c r="U56" s="8">
        <f t="shared" si="1"/>
        <v>90</v>
      </c>
      <c r="V56" s="8">
        <f t="shared" si="1"/>
        <v>90</v>
      </c>
      <c r="W56" s="8">
        <f t="shared" si="1"/>
        <v>90</v>
      </c>
      <c r="X56" s="8">
        <f t="shared" si="1"/>
        <v>90</v>
      </c>
      <c r="Y56" s="8">
        <f t="shared" si="1"/>
        <v>90</v>
      </c>
      <c r="Z56" s="8">
        <f t="shared" si="1"/>
        <v>90</v>
      </c>
      <c r="AA56" s="113">
        <f t="shared" si="1"/>
        <v>90</v>
      </c>
      <c r="AB56" s="8">
        <f>SUM(AB29:AB54)</f>
        <v>90</v>
      </c>
      <c r="AC56" s="8">
        <f>SUM(AC29:AC54)</f>
        <v>90</v>
      </c>
      <c r="AD56" s="8">
        <f>SUM(AD29:AD54)</f>
        <v>90</v>
      </c>
      <c r="AE56" s="8">
        <f>SUM(AE29:AE54)</f>
        <v>90</v>
      </c>
      <c r="AF56" s="8">
        <f>SUM(AF29:AF54)</f>
        <v>90</v>
      </c>
    </row>
    <row r="57" spans="1:32">
      <c r="A57" s="1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13"/>
      <c r="AB57" s="8"/>
      <c r="AC57" s="8"/>
      <c r="AD57" s="8"/>
      <c r="AE57" s="8"/>
      <c r="AF57" s="8"/>
    </row>
    <row r="58" spans="1:32" ht="15.75">
      <c r="A58" s="14" t="s">
        <v>172</v>
      </c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40"/>
      <c r="AB58" s="239"/>
      <c r="AC58" s="239"/>
      <c r="AD58" s="239"/>
      <c r="AE58" s="239"/>
      <c r="AF58" s="239"/>
    </row>
    <row r="59" spans="1:32">
      <c r="A59" s="16" t="s">
        <v>275</v>
      </c>
      <c r="B59" s="8" t="s">
        <v>87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113"/>
      <c r="AB59" s="8"/>
      <c r="AC59" s="8"/>
      <c r="AD59" s="8"/>
      <c r="AE59" s="8"/>
      <c r="AF59" s="8"/>
    </row>
    <row r="60" spans="1:32">
      <c r="A60" s="16" t="s">
        <v>243</v>
      </c>
      <c r="B60" s="8" t="s">
        <v>94</v>
      </c>
      <c r="C60" s="125">
        <v>0</v>
      </c>
      <c r="D60" s="125">
        <v>0</v>
      </c>
      <c r="E60" s="126">
        <v>1.8201000000000001</v>
      </c>
      <c r="F60" s="126">
        <v>3.3064</v>
      </c>
      <c r="G60" s="125">
        <v>4.6916999999999991</v>
      </c>
      <c r="H60" s="125">
        <v>5.9760000000000009</v>
      </c>
      <c r="I60" s="125">
        <v>7.1593</v>
      </c>
      <c r="J60" s="125">
        <v>8.2416</v>
      </c>
      <c r="K60" s="125">
        <v>9.2228999999999992</v>
      </c>
      <c r="L60" s="125">
        <v>10.103199999999998</v>
      </c>
      <c r="M60" s="125">
        <v>10.8825</v>
      </c>
      <c r="N60" s="125">
        <v>11.560799999999997</v>
      </c>
      <c r="O60" s="125">
        <v>12.138099999999998</v>
      </c>
      <c r="P60" s="125">
        <v>12.6144</v>
      </c>
      <c r="Q60" s="125">
        <v>12.989699999999999</v>
      </c>
      <c r="R60" s="125">
        <v>13.263999999999999</v>
      </c>
      <c r="S60" s="125">
        <v>13.4373</v>
      </c>
      <c r="T60" s="125">
        <v>13.509599999999995</v>
      </c>
      <c r="U60" s="125">
        <v>13.480900000000002</v>
      </c>
      <c r="V60" s="127">
        <v>13.351199999999999</v>
      </c>
      <c r="W60" s="127">
        <v>13.120500000000003</v>
      </c>
      <c r="X60" s="127">
        <v>12.788799999999998</v>
      </c>
      <c r="Y60" s="127">
        <v>12.356100000000001</v>
      </c>
      <c r="Z60" s="127">
        <v>11.822399999999995</v>
      </c>
      <c r="AA60" s="127">
        <v>11.1877</v>
      </c>
      <c r="AB60" s="114">
        <v>10.451999999999995</v>
      </c>
      <c r="AC60" s="114">
        <v>9.6153000000000013</v>
      </c>
      <c r="AD60" s="114">
        <v>8.6775999999999964</v>
      </c>
      <c r="AE60" s="114">
        <v>7.6389000000000049</v>
      </c>
      <c r="AF60" s="114">
        <v>6.4992000000000001</v>
      </c>
    </row>
    <row r="61" spans="1:32" ht="13.5" thickBot="1">
      <c r="A61" s="17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15"/>
      <c r="AB61" s="116"/>
      <c r="AC61" s="116"/>
      <c r="AD61" s="116"/>
      <c r="AE61" s="116"/>
      <c r="AF61" s="116"/>
    </row>
    <row r="64" spans="1:32">
      <c r="C64" s="2">
        <f>C56</f>
        <v>54.333333333333336</v>
      </c>
      <c r="D64" s="2">
        <f t="shared" ref="D64:AF64" si="2">D56</f>
        <v>30</v>
      </c>
      <c r="E64" s="2">
        <f t="shared" si="2"/>
        <v>68</v>
      </c>
      <c r="F64" s="2">
        <f t="shared" si="2"/>
        <v>68</v>
      </c>
      <c r="G64" s="2">
        <f t="shared" si="2"/>
        <v>66</v>
      </c>
      <c r="H64" s="2">
        <f t="shared" si="2"/>
        <v>90</v>
      </c>
      <c r="I64" s="2">
        <f t="shared" si="2"/>
        <v>90</v>
      </c>
      <c r="J64" s="2">
        <f t="shared" si="2"/>
        <v>90</v>
      </c>
      <c r="K64" s="2">
        <f t="shared" si="2"/>
        <v>90</v>
      </c>
      <c r="L64" s="2">
        <f t="shared" si="2"/>
        <v>90</v>
      </c>
      <c r="M64" s="2">
        <f t="shared" si="2"/>
        <v>90</v>
      </c>
      <c r="N64" s="2">
        <f t="shared" si="2"/>
        <v>90</v>
      </c>
      <c r="O64" s="2">
        <f t="shared" si="2"/>
        <v>90</v>
      </c>
      <c r="P64" s="2">
        <f t="shared" si="2"/>
        <v>90</v>
      </c>
      <c r="Q64" s="2">
        <f t="shared" si="2"/>
        <v>90</v>
      </c>
      <c r="R64" s="2">
        <f t="shared" si="2"/>
        <v>90</v>
      </c>
      <c r="S64" s="2">
        <f t="shared" si="2"/>
        <v>90</v>
      </c>
      <c r="T64" s="2">
        <f t="shared" si="2"/>
        <v>90</v>
      </c>
      <c r="U64" s="2">
        <f t="shared" si="2"/>
        <v>90</v>
      </c>
      <c r="V64" s="2">
        <f t="shared" si="2"/>
        <v>90</v>
      </c>
      <c r="W64" s="2">
        <f t="shared" si="2"/>
        <v>90</v>
      </c>
      <c r="X64" s="2">
        <f t="shared" si="2"/>
        <v>90</v>
      </c>
      <c r="Y64" s="2">
        <f t="shared" si="2"/>
        <v>90</v>
      </c>
      <c r="Z64" s="2">
        <f t="shared" si="2"/>
        <v>90</v>
      </c>
      <c r="AA64" s="2">
        <f t="shared" si="2"/>
        <v>90</v>
      </c>
      <c r="AB64" s="2">
        <f t="shared" si="2"/>
        <v>90</v>
      </c>
      <c r="AC64" s="2">
        <f t="shared" si="2"/>
        <v>90</v>
      </c>
      <c r="AD64" s="2">
        <f t="shared" si="2"/>
        <v>90</v>
      </c>
      <c r="AE64" s="2">
        <f t="shared" si="2"/>
        <v>90</v>
      </c>
      <c r="AF64" s="2">
        <f t="shared" si="2"/>
        <v>90</v>
      </c>
    </row>
    <row r="66" spans="1:4">
      <c r="B66" s="20" t="s">
        <v>48</v>
      </c>
      <c r="C66" s="20">
        <f>SUM(C64:D64)</f>
        <v>84.333333333333343</v>
      </c>
      <c r="D66" s="21" t="s">
        <v>117</v>
      </c>
    </row>
    <row r="67" spans="1:4">
      <c r="B67" s="20" t="s">
        <v>123</v>
      </c>
      <c r="C67" s="22">
        <f>AVERAGE(C64:D64)</f>
        <v>42.166666666666671</v>
      </c>
      <c r="D67" s="21" t="s">
        <v>124</v>
      </c>
    </row>
    <row r="68" spans="1:4">
      <c r="B68" s="20" t="s">
        <v>116</v>
      </c>
      <c r="C68" s="22">
        <f>AVERAGE(E64:AF64)</f>
        <v>87.571428571428569</v>
      </c>
      <c r="D68" s="21" t="s">
        <v>118</v>
      </c>
    </row>
    <row r="69" spans="1:4">
      <c r="B69" s="20"/>
      <c r="C69" s="22"/>
      <c r="D69" s="21"/>
    </row>
    <row r="70" spans="1:4">
      <c r="B70" s="20" t="s">
        <v>122</v>
      </c>
      <c r="C70" s="22">
        <f>SUM(C64:AF64)</f>
        <v>2536.3333333333335</v>
      </c>
      <c r="D70" s="21" t="s">
        <v>125</v>
      </c>
    </row>
    <row r="71" spans="1:4">
      <c r="B71" s="20" t="s">
        <v>121</v>
      </c>
      <c r="C71" s="22">
        <f>AVERAGE(C64:AF64)</f>
        <v>84.544444444444451</v>
      </c>
      <c r="D71" s="21" t="s">
        <v>118</v>
      </c>
    </row>
    <row r="72" spans="1:4">
      <c r="A72" s="136" t="s">
        <v>335</v>
      </c>
      <c r="C72" s="2">
        <f>C64</f>
        <v>54.333333333333336</v>
      </c>
      <c r="D72" s="21" t="s">
        <v>125</v>
      </c>
    </row>
    <row r="73" spans="1:4">
      <c r="A73" s="3" t="s">
        <v>336</v>
      </c>
      <c r="C73" s="46">
        <f>SUM(C60:AF60)</f>
        <v>281.90819999999991</v>
      </c>
      <c r="D73" s="2" t="s">
        <v>337</v>
      </c>
    </row>
    <row r="74" spans="1:4">
      <c r="A74" s="3" t="s">
        <v>340</v>
      </c>
      <c r="C74" s="46">
        <f>AVERAGE(C60:AF60)</f>
        <v>9.3969399999999972</v>
      </c>
    </row>
    <row r="75" spans="1:4">
      <c r="A75" s="293" t="s">
        <v>338</v>
      </c>
    </row>
    <row r="76" spans="1:4">
      <c r="A76" s="306" t="s">
        <v>326</v>
      </c>
      <c r="C76" s="307">
        <f>C73/C70</f>
        <v>0.11114793008279665</v>
      </c>
      <c r="D76" s="21" t="s">
        <v>339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G88"/>
  <sheetViews>
    <sheetView zoomScaleNormal="100" workbookViewId="0">
      <pane xSplit="2" ySplit="4" topLeftCell="C44" activePane="bottomRight" state="frozen"/>
      <selection pane="topRight" activeCell="C1" sqref="C1"/>
      <selection pane="bottomLeft" activeCell="A4" sqref="A4"/>
      <selection pane="bottomRight" activeCell="C29" sqref="C29"/>
    </sheetView>
  </sheetViews>
  <sheetFormatPr defaultRowHeight="12.75"/>
  <cols>
    <col min="1" max="1" width="25.140625" style="25" customWidth="1"/>
    <col min="2" max="2" width="11.140625" style="2" customWidth="1"/>
    <col min="3" max="3" width="11.140625" style="24" customWidth="1"/>
    <col min="4" max="4" width="10" style="3" bestFit="1" customWidth="1"/>
    <col min="5" max="5" width="10.7109375" style="3" customWidth="1"/>
    <col min="6" max="6" width="11.5703125" style="3" customWidth="1"/>
    <col min="7" max="11" width="11" style="3" bestFit="1" customWidth="1"/>
    <col min="12" max="12" width="14.28515625" style="3" bestFit="1" customWidth="1"/>
    <col min="13" max="28" width="11" style="3" bestFit="1" customWidth="1"/>
    <col min="29" max="29" width="12.5703125" style="3" customWidth="1"/>
    <col min="30" max="30" width="11" style="3" bestFit="1" customWidth="1"/>
    <col min="31" max="31" width="12" style="3" customWidth="1"/>
    <col min="32" max="32" width="11" style="3" bestFit="1" customWidth="1"/>
    <col min="33" max="33" width="11.42578125" style="3" bestFit="1" customWidth="1"/>
    <col min="34" max="16384" width="9.140625" style="3"/>
  </cols>
  <sheetData>
    <row r="1" spans="1:32" ht="15.75">
      <c r="A1" s="23" t="s">
        <v>98</v>
      </c>
    </row>
    <row r="2" spans="1:32" ht="15.75">
      <c r="A2" s="23"/>
    </row>
    <row r="3" spans="1:32" ht="13.5" thickBot="1"/>
    <row r="4" spans="1:32" s="30" customFormat="1" ht="24" customHeight="1" thickBot="1">
      <c r="A4" s="26" t="s">
        <v>31</v>
      </c>
      <c r="B4" s="27" t="s">
        <v>32</v>
      </c>
      <c r="C4" s="28" t="s">
        <v>61</v>
      </c>
      <c r="D4" s="27" t="s">
        <v>62</v>
      </c>
      <c r="E4" s="27" t="s">
        <v>63</v>
      </c>
      <c r="F4" s="27" t="s">
        <v>64</v>
      </c>
      <c r="G4" s="27" t="s">
        <v>65</v>
      </c>
      <c r="H4" s="27" t="s">
        <v>66</v>
      </c>
      <c r="I4" s="27" t="s">
        <v>67</v>
      </c>
      <c r="J4" s="27" t="s">
        <v>68</v>
      </c>
      <c r="K4" s="27" t="s">
        <v>99</v>
      </c>
      <c r="L4" s="27" t="s">
        <v>70</v>
      </c>
      <c r="M4" s="27" t="s">
        <v>71</v>
      </c>
      <c r="N4" s="27" t="s">
        <v>72</v>
      </c>
      <c r="O4" s="27" t="s">
        <v>73</v>
      </c>
      <c r="P4" s="27" t="s">
        <v>74</v>
      </c>
      <c r="Q4" s="27" t="s">
        <v>75</v>
      </c>
      <c r="R4" s="27" t="s">
        <v>76</v>
      </c>
      <c r="S4" s="27" t="s">
        <v>77</v>
      </c>
      <c r="T4" s="27" t="s">
        <v>78</v>
      </c>
      <c r="U4" s="27" t="s">
        <v>79</v>
      </c>
      <c r="V4" s="27" t="s">
        <v>80</v>
      </c>
      <c r="W4" s="27" t="s">
        <v>81</v>
      </c>
      <c r="X4" s="27" t="s">
        <v>82</v>
      </c>
      <c r="Y4" s="27" t="s">
        <v>83</v>
      </c>
      <c r="Z4" s="27" t="s">
        <v>84</v>
      </c>
      <c r="AA4" s="29" t="s">
        <v>85</v>
      </c>
      <c r="AB4" s="29" t="s">
        <v>178</v>
      </c>
      <c r="AC4" s="29" t="s">
        <v>179</v>
      </c>
      <c r="AD4" s="29" t="s">
        <v>180</v>
      </c>
      <c r="AE4" s="29" t="s">
        <v>181</v>
      </c>
      <c r="AF4" s="29" t="s">
        <v>182</v>
      </c>
    </row>
    <row r="5" spans="1:32" ht="15.75">
      <c r="A5" s="31" t="s">
        <v>25</v>
      </c>
      <c r="B5" s="239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2"/>
      <c r="AB5" s="242"/>
      <c r="AC5" s="242"/>
      <c r="AD5" s="242"/>
      <c r="AE5" s="242"/>
      <c r="AF5" s="242"/>
    </row>
    <row r="6" spans="1:32">
      <c r="A6" s="33" t="s">
        <v>86</v>
      </c>
      <c r="B6" s="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52"/>
      <c r="AB6" s="32"/>
      <c r="AC6" s="32"/>
      <c r="AD6" s="32"/>
      <c r="AE6" s="32"/>
      <c r="AF6" s="32"/>
    </row>
    <row r="7" spans="1:32">
      <c r="A7" s="9" t="s">
        <v>165</v>
      </c>
      <c r="B7" s="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52"/>
      <c r="AB7" s="32"/>
      <c r="AC7" s="32"/>
      <c r="AD7" s="32"/>
      <c r="AE7" s="32"/>
      <c r="AF7" s="32"/>
    </row>
    <row r="8" spans="1:32">
      <c r="A8" s="11" t="s">
        <v>27</v>
      </c>
      <c r="B8" s="8" t="s">
        <v>30</v>
      </c>
      <c r="C8" s="36">
        <f>'I-O'!C8*Harga!$C$8</f>
        <v>105000</v>
      </c>
      <c r="D8" s="36">
        <f>'I-O'!D8*Harga!$C$8</f>
        <v>105000</v>
      </c>
      <c r="E8" s="36">
        <f>'I-O'!E8*Harga!$C$8</f>
        <v>105000</v>
      </c>
      <c r="F8" s="36">
        <f>'I-O'!F8*Harga!$C$8</f>
        <v>105000</v>
      </c>
      <c r="G8" s="36">
        <f>'I-O'!G8*Harga!$C$8</f>
        <v>0</v>
      </c>
      <c r="H8" s="36">
        <f>'I-O'!H8*Harga!$C$8</f>
        <v>0</v>
      </c>
      <c r="I8" s="36">
        <f>'I-O'!I8*Harga!$C$8</f>
        <v>0</v>
      </c>
      <c r="J8" s="36">
        <f>'I-O'!J8*Harga!$C$8</f>
        <v>0</v>
      </c>
      <c r="K8" s="36">
        <f>'I-O'!K8*Harga!$C$8</f>
        <v>0</v>
      </c>
      <c r="L8" s="36">
        <f>'I-O'!L8*Harga!$C$8</f>
        <v>0</v>
      </c>
      <c r="M8" s="36">
        <f>'I-O'!M8*Harga!$C$8</f>
        <v>0</v>
      </c>
      <c r="N8" s="36">
        <f>'I-O'!N8*Harga!$C$8</f>
        <v>0</v>
      </c>
      <c r="O8" s="36">
        <f>'I-O'!O8*Harga!$C$8</f>
        <v>0</v>
      </c>
      <c r="P8" s="36">
        <f>'I-O'!P8*Harga!$C$8</f>
        <v>0</v>
      </c>
      <c r="Q8" s="36">
        <f>'I-O'!Q8*Harga!$C$8</f>
        <v>0</v>
      </c>
      <c r="R8" s="36">
        <f>'I-O'!R8*Harga!$C$8</f>
        <v>0</v>
      </c>
      <c r="S8" s="36">
        <f>'I-O'!S8*Harga!$C$8</f>
        <v>0</v>
      </c>
      <c r="T8" s="36">
        <f>'I-O'!T8*Harga!$C$8</f>
        <v>0</v>
      </c>
      <c r="U8" s="36">
        <f>'I-O'!U8*Harga!$C$8</f>
        <v>0</v>
      </c>
      <c r="V8" s="36">
        <f>'I-O'!V8*Harga!$C$8</f>
        <v>0</v>
      </c>
      <c r="W8" s="36">
        <f>'I-O'!W8*Harga!$C$8</f>
        <v>0</v>
      </c>
      <c r="X8" s="36">
        <f>'I-O'!X8*Harga!$C$8</f>
        <v>0</v>
      </c>
      <c r="Y8" s="36">
        <f>'I-O'!Y8*Harga!$C$8</f>
        <v>0</v>
      </c>
      <c r="Z8" s="36">
        <f>'I-O'!Z8*Harga!$C$8</f>
        <v>0</v>
      </c>
      <c r="AA8" s="202">
        <f>'I-O'!AA8*Harga!$C$8</f>
        <v>0</v>
      </c>
      <c r="AB8" s="36">
        <f>'I-O'!AB8*Harga!$C$8</f>
        <v>0</v>
      </c>
      <c r="AC8" s="36">
        <f>'I-O'!AC8*Harga!$C$8</f>
        <v>0</v>
      </c>
      <c r="AD8" s="36">
        <f>'I-O'!AD8*Harga!$C$8</f>
        <v>0</v>
      </c>
      <c r="AE8" s="36">
        <f>'I-O'!AE8*Harga!$C$8</f>
        <v>0</v>
      </c>
      <c r="AF8" s="36">
        <f>'I-O'!AF8*Harga!$C$8</f>
        <v>0</v>
      </c>
    </row>
    <row r="9" spans="1:32">
      <c r="A9" s="11" t="s">
        <v>174</v>
      </c>
      <c r="B9" s="8" t="s">
        <v>30</v>
      </c>
      <c r="C9" s="36">
        <f>'I-O'!C9*Harga!$C$9</f>
        <v>0</v>
      </c>
      <c r="D9" s="36">
        <f>'I-O'!D9*Harga!$C$9</f>
        <v>0</v>
      </c>
      <c r="E9" s="36">
        <f>'I-O'!E9*Harga!$C$9</f>
        <v>0</v>
      </c>
      <c r="F9" s="36">
        <f>'I-O'!F9*Harga!$C$9</f>
        <v>210000</v>
      </c>
      <c r="G9" s="36">
        <f>'I-O'!G9*Harga!$C$9</f>
        <v>210000</v>
      </c>
      <c r="H9" s="36">
        <f>'I-O'!H9*Harga!$C$9</f>
        <v>315000</v>
      </c>
      <c r="I9" s="36">
        <f>'I-O'!I9*Harga!$C$9</f>
        <v>315000</v>
      </c>
      <c r="J9" s="36">
        <f>'I-O'!J9*Harga!$C$9</f>
        <v>420000</v>
      </c>
      <c r="K9" s="36">
        <f>'I-O'!K9*Harga!$C$9</f>
        <v>420000</v>
      </c>
      <c r="L9" s="36">
        <f>'I-O'!L9*Harga!$C$9</f>
        <v>420000</v>
      </c>
      <c r="M9" s="36">
        <f>'I-O'!M9*Harga!$C$9</f>
        <v>420000</v>
      </c>
      <c r="N9" s="36">
        <f>'I-O'!N9*Harga!$C$9</f>
        <v>420000</v>
      </c>
      <c r="O9" s="36">
        <f>'I-O'!O9*Harga!$C$9</f>
        <v>420000</v>
      </c>
      <c r="P9" s="36">
        <f>'I-O'!P9*Harga!$C$9</f>
        <v>420000</v>
      </c>
      <c r="Q9" s="36">
        <f>'I-O'!Q9*Harga!$C$9</f>
        <v>420000</v>
      </c>
      <c r="R9" s="36">
        <f>'I-O'!R9*Harga!$C$9</f>
        <v>420000</v>
      </c>
      <c r="S9" s="36">
        <f>'I-O'!S9*Harga!$C$9</f>
        <v>420000</v>
      </c>
      <c r="T9" s="36">
        <f>'I-O'!T9*Harga!$C$9</f>
        <v>420000</v>
      </c>
      <c r="U9" s="36">
        <f>'I-O'!U9*Harga!$C$9</f>
        <v>420000</v>
      </c>
      <c r="V9" s="36">
        <f>'I-O'!V9*Harga!$C$9</f>
        <v>420000</v>
      </c>
      <c r="W9" s="36">
        <f>'I-O'!W9*Harga!$C$9</f>
        <v>420000</v>
      </c>
      <c r="X9" s="36">
        <f>'I-O'!X9*Harga!$C$9</f>
        <v>420000</v>
      </c>
      <c r="Y9" s="36">
        <f>'I-O'!Y9*Harga!$C$9</f>
        <v>420000</v>
      </c>
      <c r="Z9" s="36">
        <f>'I-O'!Z9*Harga!$C$9</f>
        <v>420000</v>
      </c>
      <c r="AA9" s="202">
        <f>'I-O'!AA9*Harga!$C$9</f>
        <v>420000</v>
      </c>
      <c r="AB9" s="36">
        <f>'I-O'!AB9*Harga!$C$9</f>
        <v>420000</v>
      </c>
      <c r="AC9" s="36">
        <f>'I-O'!AC9*Harga!$C$9</f>
        <v>420000</v>
      </c>
      <c r="AD9" s="36">
        <f>'I-O'!AD9*Harga!$C$9</f>
        <v>420000</v>
      </c>
      <c r="AE9" s="36">
        <f>'I-O'!AE9*Harga!$C$9</f>
        <v>420000</v>
      </c>
      <c r="AF9" s="36">
        <f>'I-O'!AF9*Harga!$C$9</f>
        <v>420000</v>
      </c>
    </row>
    <row r="10" spans="1:32">
      <c r="A10" s="11" t="s">
        <v>301</v>
      </c>
      <c r="B10" s="8" t="s">
        <v>30</v>
      </c>
      <c r="C10" s="36">
        <f>'I-O'!C10*Harga!$C$10</f>
        <v>0</v>
      </c>
      <c r="D10" s="36">
        <f>'I-O'!D10*Harga!$C$10</f>
        <v>49000</v>
      </c>
      <c r="E10" s="36">
        <f>'I-O'!E10*Harga!$C$10</f>
        <v>49000</v>
      </c>
      <c r="F10" s="36">
        <f>'I-O'!F10*Harga!$C$10</f>
        <v>49000</v>
      </c>
      <c r="G10" s="36">
        <f>'I-O'!G10*Harga!$C$10</f>
        <v>98000</v>
      </c>
      <c r="H10" s="36">
        <f>'I-O'!H10*Harga!$C$10</f>
        <v>98000</v>
      </c>
      <c r="I10" s="36">
        <f>'I-O'!I10*Harga!$C$10</f>
        <v>98000</v>
      </c>
      <c r="J10" s="36">
        <f>'I-O'!J10*Harga!$C$10</f>
        <v>147000</v>
      </c>
      <c r="K10" s="36">
        <f>'I-O'!K10*Harga!$C$10</f>
        <v>147000</v>
      </c>
      <c r="L10" s="36">
        <f>'I-O'!L10*Harga!$C$10</f>
        <v>147000</v>
      </c>
      <c r="M10" s="36">
        <f>'I-O'!M10*Harga!$C$10</f>
        <v>147000</v>
      </c>
      <c r="N10" s="36">
        <f>'I-O'!N10*Harga!$C$10</f>
        <v>147000</v>
      </c>
      <c r="O10" s="36">
        <f>'I-O'!O10*Harga!$C$10</f>
        <v>147000</v>
      </c>
      <c r="P10" s="36">
        <f>'I-O'!P10*Harga!$C$10</f>
        <v>147000</v>
      </c>
      <c r="Q10" s="36">
        <f>'I-O'!Q10*Harga!$C$10</f>
        <v>147000</v>
      </c>
      <c r="R10" s="36">
        <f>'I-O'!R10*Harga!$C$10</f>
        <v>147000</v>
      </c>
      <c r="S10" s="36">
        <f>'I-O'!S10*Harga!$C$10</f>
        <v>147000</v>
      </c>
      <c r="T10" s="36">
        <f>'I-O'!T10*Harga!$C$10</f>
        <v>147000</v>
      </c>
      <c r="U10" s="36">
        <f>'I-O'!U10*Harga!$C$10</f>
        <v>147000</v>
      </c>
      <c r="V10" s="36">
        <f>'I-O'!V10*Harga!$C$10</f>
        <v>147000</v>
      </c>
      <c r="W10" s="36">
        <f>'I-O'!W10*Harga!$C$10</f>
        <v>147000</v>
      </c>
      <c r="X10" s="36">
        <f>'I-O'!X10*Harga!$C$10</f>
        <v>147000</v>
      </c>
      <c r="Y10" s="36">
        <f>'I-O'!Y10*Harga!$C$10</f>
        <v>147000</v>
      </c>
      <c r="Z10" s="36">
        <f>'I-O'!Z10*Harga!$C$10</f>
        <v>147000</v>
      </c>
      <c r="AA10" s="202">
        <f>'I-O'!AA10*Harga!$C$10</f>
        <v>147000</v>
      </c>
      <c r="AB10" s="36">
        <f>'I-O'!AB10*Harga!$C$10</f>
        <v>147000</v>
      </c>
      <c r="AC10" s="36">
        <f>'I-O'!AC10*Harga!$C$10</f>
        <v>147000</v>
      </c>
      <c r="AD10" s="36">
        <f>'I-O'!AD10*Harga!$C$10</f>
        <v>147000</v>
      </c>
      <c r="AE10" s="36">
        <f>'I-O'!AE10*Harga!$C$10</f>
        <v>147000</v>
      </c>
      <c r="AF10" s="36">
        <f>'I-O'!AF10*Harga!$C$10</f>
        <v>147000</v>
      </c>
    </row>
    <row r="11" spans="1:32">
      <c r="A11" s="37"/>
      <c r="B11" s="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52"/>
      <c r="AB11" s="32"/>
      <c r="AC11" s="32"/>
      <c r="AD11" s="32"/>
      <c r="AE11" s="32"/>
      <c r="AF11" s="32"/>
    </row>
    <row r="12" spans="1:32">
      <c r="A12" s="9" t="s">
        <v>166</v>
      </c>
      <c r="B12" s="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252"/>
      <c r="AB12" s="32"/>
      <c r="AC12" s="32"/>
      <c r="AD12" s="32"/>
      <c r="AE12" s="32"/>
      <c r="AF12" s="32"/>
    </row>
    <row r="13" spans="1:32">
      <c r="A13" s="11" t="s">
        <v>88</v>
      </c>
      <c r="B13" s="8" t="s">
        <v>30</v>
      </c>
      <c r="C13" s="36">
        <f>'I-O'!C13*Harga!$C$13</f>
        <v>640000</v>
      </c>
      <c r="D13" s="36">
        <f>'I-O'!D13*Harga!$C$13</f>
        <v>640000</v>
      </c>
      <c r="E13" s="36">
        <f>'I-O'!E13*Harga!$C$13</f>
        <v>640000</v>
      </c>
      <c r="F13" s="36">
        <f>'I-O'!F13*Harga!$C$13</f>
        <v>640000</v>
      </c>
      <c r="G13" s="36">
        <f>'I-O'!G13*Harga!$C$13</f>
        <v>640000</v>
      </c>
      <c r="H13" s="36">
        <f>'I-O'!H13*Harga!$C$13</f>
        <v>320000</v>
      </c>
      <c r="I13" s="36">
        <f>'I-O'!I13*Harga!$C$13</f>
        <v>320000</v>
      </c>
      <c r="J13" s="36">
        <f>'I-O'!J13*Harga!$C$13</f>
        <v>320000</v>
      </c>
      <c r="K13" s="36">
        <f>'I-O'!K13*Harga!$C$13</f>
        <v>320000</v>
      </c>
      <c r="L13" s="36">
        <f>'I-O'!L13*Harga!$C$13</f>
        <v>320000</v>
      </c>
      <c r="M13" s="36">
        <f>'I-O'!M13*Harga!$C$13</f>
        <v>320000</v>
      </c>
      <c r="N13" s="36">
        <f>'I-O'!N13*Harga!$C$13</f>
        <v>320000</v>
      </c>
      <c r="O13" s="36">
        <f>'I-O'!O13*Harga!$C$13</f>
        <v>320000</v>
      </c>
      <c r="P13" s="36">
        <f>'I-O'!P13*Harga!$C$13</f>
        <v>320000</v>
      </c>
      <c r="Q13" s="36">
        <f>'I-O'!Q13*Harga!$C$13</f>
        <v>320000</v>
      </c>
      <c r="R13" s="36">
        <f>'I-O'!R13*Harga!$C$13</f>
        <v>320000</v>
      </c>
      <c r="S13" s="36">
        <f>'I-O'!S13*Harga!$C$13</f>
        <v>320000</v>
      </c>
      <c r="T13" s="36">
        <f>'I-O'!T13*Harga!$C$13</f>
        <v>320000</v>
      </c>
      <c r="U13" s="36">
        <f>'I-O'!U13*Harga!$C$13</f>
        <v>320000</v>
      </c>
      <c r="V13" s="36">
        <f>'I-O'!V13*Harga!$C$13</f>
        <v>320000</v>
      </c>
      <c r="W13" s="36">
        <f>'I-O'!W13*Harga!$C$13</f>
        <v>320000</v>
      </c>
      <c r="X13" s="36">
        <f>'I-O'!X13*Harga!$C$13</f>
        <v>320000</v>
      </c>
      <c r="Y13" s="36">
        <f>'I-O'!Y13*Harga!$C$13</f>
        <v>320000</v>
      </c>
      <c r="Z13" s="36">
        <f>'I-O'!Z13*Harga!$C$13</f>
        <v>320000</v>
      </c>
      <c r="AA13" s="202">
        <f>'I-O'!AA13*Harga!$C$13</f>
        <v>320000</v>
      </c>
      <c r="AB13" s="36">
        <f>'I-O'!AB13*Harga!$C$13</f>
        <v>320000</v>
      </c>
      <c r="AC13" s="36">
        <f>'I-O'!AC13*Harga!$C$13</f>
        <v>320000</v>
      </c>
      <c r="AD13" s="36">
        <f>'I-O'!AD13*Harga!$C$13</f>
        <v>320000</v>
      </c>
      <c r="AE13" s="36">
        <f>'I-O'!AE13*Harga!$C$13</f>
        <v>320000</v>
      </c>
      <c r="AF13" s="36">
        <f>'I-O'!AF13*Harga!$C$13</f>
        <v>320000</v>
      </c>
    </row>
    <row r="14" spans="1:32">
      <c r="A14" s="37"/>
      <c r="B14" s="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 spans="1:32">
      <c r="A15" s="9" t="s">
        <v>167</v>
      </c>
      <c r="B15" s="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 spans="1:32">
      <c r="A16" s="11" t="s">
        <v>275</v>
      </c>
      <c r="B16" s="8" t="s">
        <v>30</v>
      </c>
      <c r="C16" s="36">
        <f>'I-O'!C16*Harga!$C$16</f>
        <v>0</v>
      </c>
      <c r="D16" s="36">
        <f>'I-O'!D16*Harga!$C$16</f>
        <v>0</v>
      </c>
      <c r="E16" s="36">
        <f>'I-O'!E16*Harga!$C$16</f>
        <v>0</v>
      </c>
      <c r="F16" s="36">
        <f>'I-O'!F16*Harga!$C$16</f>
        <v>0</v>
      </c>
      <c r="G16" s="36">
        <f>'I-O'!G16*Harga!$C$16</f>
        <v>0</v>
      </c>
      <c r="H16" s="36">
        <f>'I-O'!H16*Harga!$C$16</f>
        <v>0</v>
      </c>
      <c r="I16" s="36">
        <f>'I-O'!I16*Harga!$C$16</f>
        <v>0</v>
      </c>
      <c r="J16" s="36">
        <f>'I-O'!J16*Harga!$C$16</f>
        <v>0</v>
      </c>
      <c r="K16" s="36">
        <f>'I-O'!K16*Harga!$C$16</f>
        <v>0</v>
      </c>
      <c r="L16" s="36">
        <f>'I-O'!L16*Harga!$C$16</f>
        <v>0</v>
      </c>
      <c r="M16" s="36">
        <f>'I-O'!M16*Harga!$C$16</f>
        <v>0</v>
      </c>
      <c r="N16" s="36">
        <f>'I-O'!N16*Harga!$C$16</f>
        <v>0</v>
      </c>
      <c r="O16" s="36">
        <f>'I-O'!O16*Harga!$C$16</f>
        <v>0</v>
      </c>
      <c r="P16" s="36">
        <f>'I-O'!P16*Harga!$C$16</f>
        <v>0</v>
      </c>
      <c r="Q16" s="36">
        <f>'I-O'!Q16*Harga!$C$16</f>
        <v>0</v>
      </c>
      <c r="R16" s="36">
        <f>'I-O'!R16*Harga!$C$16</f>
        <v>0</v>
      </c>
      <c r="S16" s="36">
        <f>'I-O'!S16*Harga!$C$16</f>
        <v>0</v>
      </c>
      <c r="T16" s="36">
        <f>'I-O'!T16*Harga!$C$16</f>
        <v>0</v>
      </c>
      <c r="U16" s="36">
        <f>'I-O'!U16*Harga!$C$16</f>
        <v>0</v>
      </c>
      <c r="V16" s="36">
        <f>'I-O'!V16*Harga!$C$16</f>
        <v>0</v>
      </c>
      <c r="W16" s="36">
        <f>'I-O'!W16*Harga!$C$16</f>
        <v>0</v>
      </c>
      <c r="X16" s="36">
        <f>'I-O'!X16*Harga!$C$16</f>
        <v>0</v>
      </c>
      <c r="Y16" s="36">
        <f>'I-O'!Y16*Harga!$C$16</f>
        <v>0</v>
      </c>
      <c r="Z16" s="36">
        <f>'I-O'!Z16*Harga!$C$16</f>
        <v>0</v>
      </c>
      <c r="AA16" s="36">
        <f>'I-O'!AA16*Harga!$C$16</f>
        <v>0</v>
      </c>
      <c r="AB16" s="36">
        <f>'I-O'!AB16*Harga!$C$16</f>
        <v>0</v>
      </c>
      <c r="AC16" s="36">
        <f>'I-O'!AC16*Harga!$C$16</f>
        <v>0</v>
      </c>
      <c r="AD16" s="36">
        <f>'I-O'!AD16*Harga!$C$16</f>
        <v>0</v>
      </c>
      <c r="AE16" s="36">
        <f>'I-O'!AE16*Harga!$C$16</f>
        <v>0</v>
      </c>
      <c r="AF16" s="36">
        <f>'I-O'!AF16*Harga!$C$16</f>
        <v>0</v>
      </c>
    </row>
    <row r="17" spans="1:32">
      <c r="A17" s="11" t="s">
        <v>175</v>
      </c>
      <c r="B17" s="8" t="s">
        <v>30</v>
      </c>
      <c r="C17" s="36">
        <f>'I-O'!C17*Harga!$C$17</f>
        <v>2025000</v>
      </c>
      <c r="D17" s="36">
        <f>'I-O'!D17*Harga!$C$17</f>
        <v>225000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2">
      <c r="A18" s="11"/>
      <c r="B18" s="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2">
      <c r="A19" s="9" t="s">
        <v>168</v>
      </c>
      <c r="B19" s="8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11" t="s">
        <v>229</v>
      </c>
      <c r="B20" s="8" t="s">
        <v>30</v>
      </c>
      <c r="C20" s="36">
        <f>'I-O'!C20*Harga!$C$20</f>
        <v>0</v>
      </c>
      <c r="D20" s="36">
        <f>'I-O'!D20*Harga!$C$20</f>
        <v>0</v>
      </c>
      <c r="E20" s="36">
        <f>'I-O'!E20*Harga!$C$20</f>
        <v>150000</v>
      </c>
      <c r="F20" s="36">
        <f>'I-O'!F20*Harga!$C$20</f>
        <v>0</v>
      </c>
      <c r="G20" s="36">
        <f>'I-O'!G20*Harga!$C$20</f>
        <v>150000</v>
      </c>
      <c r="H20" s="36">
        <f>'I-O'!H20*Harga!$C$20</f>
        <v>0</v>
      </c>
      <c r="I20" s="36">
        <f>'I-O'!I20*Harga!$C$20</f>
        <v>0</v>
      </c>
      <c r="J20" s="36">
        <f>'I-O'!J20*Harga!$C$20</f>
        <v>0</v>
      </c>
      <c r="K20" s="36">
        <f>'I-O'!K20*Harga!$C$20</f>
        <v>0</v>
      </c>
      <c r="L20" s="36">
        <f>'I-O'!L20*Harga!$C$20</f>
        <v>0</v>
      </c>
      <c r="M20" s="36">
        <f>'I-O'!M20*Harga!$C$20</f>
        <v>0</v>
      </c>
      <c r="N20" s="36">
        <f>'I-O'!N20*Harga!$C$20</f>
        <v>0</v>
      </c>
      <c r="O20" s="36">
        <f>'I-O'!O20*Harga!$C$20</f>
        <v>0</v>
      </c>
      <c r="P20" s="36">
        <f>'I-O'!P20*Harga!$C$20</f>
        <v>0</v>
      </c>
      <c r="Q20" s="36">
        <f>'I-O'!Q20*Harga!$C$20</f>
        <v>0</v>
      </c>
      <c r="R20" s="36">
        <f>'I-O'!R20*Harga!$C$20</f>
        <v>0</v>
      </c>
      <c r="S20" s="36">
        <f>'I-O'!S20*Harga!$C$20</f>
        <v>0</v>
      </c>
      <c r="T20" s="36">
        <f>'I-O'!T20*Harga!$C$20</f>
        <v>0</v>
      </c>
      <c r="U20" s="36">
        <f>'I-O'!U20*Harga!$C$20</f>
        <v>0</v>
      </c>
      <c r="V20" s="36">
        <f>'I-O'!V20*Harga!$C$20</f>
        <v>0</v>
      </c>
      <c r="W20" s="36">
        <f>'I-O'!W20*Harga!$C$20</f>
        <v>0</v>
      </c>
      <c r="X20" s="36">
        <f>'I-O'!X20*Harga!$C$20</f>
        <v>0</v>
      </c>
      <c r="Y20" s="36">
        <f>'I-O'!Y20*Harga!$C$20</f>
        <v>0</v>
      </c>
      <c r="Z20" s="36">
        <f>'I-O'!Z20*Harga!$C$20</f>
        <v>0</v>
      </c>
      <c r="AA20" s="36">
        <f>'I-O'!AA20*Harga!$C$20</f>
        <v>0</v>
      </c>
      <c r="AB20" s="36">
        <f>'I-O'!AB20*Harga!$C$20</f>
        <v>0</v>
      </c>
      <c r="AC20" s="36">
        <f>'I-O'!AC20*Harga!$C$20</f>
        <v>0</v>
      </c>
      <c r="AD20" s="36">
        <f>'I-O'!AD20*Harga!$C$20</f>
        <v>0</v>
      </c>
      <c r="AE20" s="36">
        <f>'I-O'!AE20*Harga!$C$20</f>
        <v>0</v>
      </c>
      <c r="AF20" s="36">
        <f>'I-O'!AF20*Harga!$C$20</f>
        <v>0</v>
      </c>
    </row>
    <row r="21" spans="1:32">
      <c r="A21" s="11" t="s">
        <v>230</v>
      </c>
      <c r="B21" s="8" t="s">
        <v>30</v>
      </c>
      <c r="C21" s="32">
        <f>'I-O'!C21*Harga!$C$21</f>
        <v>0</v>
      </c>
      <c r="D21" s="32">
        <f>'I-O'!D21*Harga!$C$21</f>
        <v>0</v>
      </c>
      <c r="E21" s="32">
        <f>'I-O'!E21*Harga!$C$21</f>
        <v>0</v>
      </c>
      <c r="F21" s="32">
        <f>'I-O'!F21*Harga!$C$21</f>
        <v>0</v>
      </c>
      <c r="G21" s="32">
        <f>'I-O'!G21*Harga!$C$21</f>
        <v>0</v>
      </c>
      <c r="H21" s="32">
        <f>'I-O'!H21*Harga!$C$21</f>
        <v>225000</v>
      </c>
      <c r="I21" s="32">
        <f>'I-O'!I21*Harga!$C$21</f>
        <v>0</v>
      </c>
      <c r="J21" s="32">
        <f>'I-O'!J21*Harga!$C$21</f>
        <v>225000</v>
      </c>
      <c r="K21" s="32">
        <f>'I-O'!K21*Harga!$C$21</f>
        <v>0</v>
      </c>
      <c r="L21" s="32">
        <f>'I-O'!L21*Harga!$C$21</f>
        <v>225000</v>
      </c>
      <c r="M21" s="32">
        <f>'I-O'!M21*Harga!$C$21</f>
        <v>0</v>
      </c>
      <c r="N21" s="32">
        <f>'I-O'!N21*Harga!$C$21</f>
        <v>225000</v>
      </c>
      <c r="O21" s="32">
        <f>'I-O'!O21*Harga!$C$21</f>
        <v>0</v>
      </c>
      <c r="P21" s="32">
        <f>'I-O'!P21*Harga!$C$21</f>
        <v>225000</v>
      </c>
      <c r="Q21" s="32">
        <f>'I-O'!Q21*Harga!$C$21</f>
        <v>0</v>
      </c>
      <c r="R21" s="32">
        <f>'I-O'!R21*Harga!$C$21</f>
        <v>225000</v>
      </c>
      <c r="S21" s="32">
        <f>'I-O'!S21*Harga!$C$21</f>
        <v>0</v>
      </c>
      <c r="T21" s="32">
        <f>'I-O'!T21*Harga!$C$21</f>
        <v>225000</v>
      </c>
      <c r="U21" s="32">
        <f>'I-O'!U21*Harga!$C$21</f>
        <v>0</v>
      </c>
      <c r="V21" s="32">
        <f>'I-O'!V21*Harga!$C$21</f>
        <v>225000</v>
      </c>
      <c r="W21" s="32">
        <f>'I-O'!W21*Harga!$C$21</f>
        <v>0</v>
      </c>
      <c r="X21" s="32">
        <f>'I-O'!X21*Harga!$C$21</f>
        <v>225000</v>
      </c>
      <c r="Y21" s="32">
        <f>'I-O'!Y21*Harga!$C$21</f>
        <v>0</v>
      </c>
      <c r="Z21" s="32">
        <f>'I-O'!Z21*Harga!$C$21</f>
        <v>225000</v>
      </c>
      <c r="AA21" s="32">
        <f>'I-O'!AA21*Harga!$C$21</f>
        <v>0</v>
      </c>
      <c r="AB21" s="32">
        <f>'I-O'!AB21*Harga!$C$21</f>
        <v>225000</v>
      </c>
      <c r="AC21" s="32">
        <f>'I-O'!AC21*Harga!$C$21</f>
        <v>0</v>
      </c>
      <c r="AD21" s="32">
        <f>'I-O'!AD21*Harga!$C$21</f>
        <v>225000</v>
      </c>
      <c r="AE21" s="32">
        <f>'I-O'!AE21*Harga!$C$21</f>
        <v>0</v>
      </c>
      <c r="AF21" s="32">
        <f>'I-O'!AF21*Harga!$C$21</f>
        <v>225000</v>
      </c>
    </row>
    <row r="22" spans="1:32">
      <c r="A22" s="11" t="s">
        <v>228</v>
      </c>
      <c r="B22" s="8" t="s">
        <v>30</v>
      </c>
      <c r="C22" s="32">
        <f>'I-O'!C22*Harga!$C$22</f>
        <v>0</v>
      </c>
      <c r="D22" s="32">
        <f>'I-O'!D22*Harga!$C$22</f>
        <v>0</v>
      </c>
      <c r="E22" s="32">
        <f>'I-O'!E22*Harga!$C$22</f>
        <v>300000</v>
      </c>
      <c r="F22" s="32">
        <f>'I-O'!F22*Harga!$C$22</f>
        <v>0</v>
      </c>
      <c r="G22" s="32">
        <f>'I-O'!G22*Harga!$C$22</f>
        <v>0</v>
      </c>
      <c r="H22" s="32">
        <f>'I-O'!H22*Harga!$C$22</f>
        <v>300000</v>
      </c>
      <c r="I22" s="32">
        <f>'I-O'!I22*Harga!$C$22</f>
        <v>0</v>
      </c>
      <c r="J22" s="32">
        <f>'I-O'!J22*Harga!$C$22</f>
        <v>0</v>
      </c>
      <c r="K22" s="32">
        <f>'I-O'!K22*Harga!$C$22</f>
        <v>300000</v>
      </c>
      <c r="L22" s="32">
        <f>'I-O'!L22*Harga!$C$22</f>
        <v>0</v>
      </c>
      <c r="M22" s="32">
        <f>'I-O'!M22*Harga!$C$22</f>
        <v>0</v>
      </c>
      <c r="N22" s="32">
        <f>'I-O'!N22*Harga!$C$22</f>
        <v>300000</v>
      </c>
      <c r="O22" s="32">
        <f>'I-O'!O22*Harga!$C$22</f>
        <v>0</v>
      </c>
      <c r="P22" s="32">
        <f>'I-O'!P22*Harga!$C$22</f>
        <v>0</v>
      </c>
      <c r="Q22" s="32">
        <f>'I-O'!Q22*Harga!$C$22</f>
        <v>300000</v>
      </c>
      <c r="R22" s="32">
        <f>'I-O'!R22*Harga!$C$22</f>
        <v>0</v>
      </c>
      <c r="S22" s="32">
        <f>'I-O'!S22*Harga!$C$22</f>
        <v>0</v>
      </c>
      <c r="T22" s="32">
        <f>'I-O'!T22*Harga!$C$22</f>
        <v>300000</v>
      </c>
      <c r="U22" s="32">
        <f>'I-O'!U22*Harga!$C$22</f>
        <v>0</v>
      </c>
      <c r="V22" s="32">
        <f>'I-O'!V22*Harga!$C$22</f>
        <v>0</v>
      </c>
      <c r="W22" s="32">
        <f>'I-O'!W22*Harga!$C$22</f>
        <v>300000</v>
      </c>
      <c r="X22" s="32">
        <f>'I-O'!X22*Harga!$C$22</f>
        <v>0</v>
      </c>
      <c r="Y22" s="32">
        <f>'I-O'!Y22*Harga!$C$22</f>
        <v>0</v>
      </c>
      <c r="Z22" s="32">
        <f>'I-O'!Z22*Harga!$C$22</f>
        <v>300000</v>
      </c>
      <c r="AA22" s="32">
        <f>'I-O'!AA22*Harga!$C$22</f>
        <v>0</v>
      </c>
      <c r="AB22" s="32">
        <f>'I-O'!AB22*Harga!$C$22</f>
        <v>0</v>
      </c>
      <c r="AC22" s="32">
        <f>'I-O'!AC22*Harga!$C$22</f>
        <v>300000</v>
      </c>
      <c r="AD22" s="32">
        <f>'I-O'!AD22*Harga!$C$22</f>
        <v>0</v>
      </c>
      <c r="AE22" s="32">
        <f>'I-O'!AE22*Harga!$C$22</f>
        <v>0</v>
      </c>
      <c r="AF22" s="32">
        <f>'I-O'!AF22*Harga!$C$22</f>
        <v>300000</v>
      </c>
    </row>
    <row r="23" spans="1:32">
      <c r="A23" s="11" t="s">
        <v>92</v>
      </c>
      <c r="B23" s="8" t="s">
        <v>30</v>
      </c>
      <c r="C23" s="36">
        <f>'I-O'!C23*Harga!$C$23</f>
        <v>250000</v>
      </c>
      <c r="D23" s="36">
        <f>'I-O'!D23*Harga!$C$23</f>
        <v>0</v>
      </c>
      <c r="E23" s="36">
        <f>'I-O'!E23*Harga!$C$23</f>
        <v>0</v>
      </c>
      <c r="F23" s="36">
        <f>'I-O'!F23*Harga!$C$23</f>
        <v>0</v>
      </c>
      <c r="G23" s="36">
        <f>'I-O'!G23*Harga!$C$23</f>
        <v>250000</v>
      </c>
      <c r="H23" s="36">
        <f>'I-O'!H23*Harga!$C$23</f>
        <v>0</v>
      </c>
      <c r="I23" s="36">
        <f>'I-O'!I23*Harga!$C$23</f>
        <v>0</v>
      </c>
      <c r="J23" s="36">
        <f>'I-O'!J23*Harga!$C$23</f>
        <v>0</v>
      </c>
      <c r="K23" s="36">
        <f>'I-O'!K23*Harga!$C$23</f>
        <v>0</v>
      </c>
      <c r="L23" s="36">
        <f>'I-O'!L23*Harga!$C$23</f>
        <v>250000</v>
      </c>
      <c r="M23" s="36">
        <f>'I-O'!M23*Harga!$C$23</f>
        <v>0</v>
      </c>
      <c r="N23" s="36">
        <f>'I-O'!N23*Harga!$C$23</f>
        <v>0</v>
      </c>
      <c r="O23" s="36">
        <f>'I-O'!O23*Harga!$C$23</f>
        <v>0</v>
      </c>
      <c r="P23" s="36">
        <f>'I-O'!P23*Harga!$C$23</f>
        <v>0</v>
      </c>
      <c r="Q23" s="36">
        <f>'I-O'!Q23*Harga!$C$23</f>
        <v>250000</v>
      </c>
      <c r="R23" s="36">
        <f>'I-O'!R23*Harga!$C$23</f>
        <v>0</v>
      </c>
      <c r="S23" s="36">
        <f>'I-O'!S23*Harga!$C$23</f>
        <v>0</v>
      </c>
      <c r="T23" s="36">
        <f>'I-O'!T23*Harga!$C$23</f>
        <v>0</v>
      </c>
      <c r="U23" s="36">
        <f>'I-O'!U23*Harga!$C$23</f>
        <v>0</v>
      </c>
      <c r="V23" s="36">
        <f>'I-O'!V23*Harga!$C$23</f>
        <v>250000</v>
      </c>
      <c r="W23" s="36">
        <f>'I-O'!W23*Harga!$C$23</f>
        <v>0</v>
      </c>
      <c r="X23" s="36">
        <f>'I-O'!X23*Harga!$C$23</f>
        <v>0</v>
      </c>
      <c r="Y23" s="36">
        <f>'I-O'!Y23*Harga!$C$23</f>
        <v>0</v>
      </c>
      <c r="Z23" s="36">
        <f>'I-O'!Z23*Harga!$C$23</f>
        <v>0</v>
      </c>
      <c r="AA23" s="36">
        <f>'I-O'!AA23*Harga!$C$23</f>
        <v>250000</v>
      </c>
      <c r="AB23" s="36">
        <f>'I-O'!AB23*Harga!$C$23</f>
        <v>0</v>
      </c>
      <c r="AC23" s="36">
        <f>'I-O'!AC23*Harga!$C$23</f>
        <v>0</v>
      </c>
      <c r="AD23" s="36">
        <f>'I-O'!AD23*Harga!$C$23</f>
        <v>0</v>
      </c>
      <c r="AE23" s="36">
        <f>'I-O'!AE23*Harga!$C$23</f>
        <v>0</v>
      </c>
      <c r="AF23" s="36">
        <f>'I-O'!AF23*Harga!$C$23</f>
        <v>250000</v>
      </c>
    </row>
    <row r="24" spans="1:32">
      <c r="A24" s="11" t="s">
        <v>257</v>
      </c>
      <c r="B24" s="8" t="s">
        <v>30</v>
      </c>
      <c r="C24" s="36">
        <f>'I-O'!C24*Harga!$C$24</f>
        <v>50000</v>
      </c>
      <c r="D24" s="36">
        <f>'I-O'!D24*Harga!$C$24</f>
        <v>0</v>
      </c>
      <c r="E24" s="36">
        <f>'I-O'!E24*Harga!$C$24</f>
        <v>50000</v>
      </c>
      <c r="F24" s="36">
        <f>'I-O'!F24*Harga!$C$24</f>
        <v>0</v>
      </c>
      <c r="G24" s="36">
        <f>'I-O'!G24*Harga!$C$24</f>
        <v>50000</v>
      </c>
      <c r="H24" s="36">
        <f>'I-O'!H24*Harga!$C$24</f>
        <v>0</v>
      </c>
      <c r="I24" s="36">
        <f>'I-O'!I24*Harga!$C$24</f>
        <v>50000</v>
      </c>
      <c r="J24" s="36">
        <f>'I-O'!J24*Harga!$C$24</f>
        <v>0</v>
      </c>
      <c r="K24" s="36">
        <f>'I-O'!K24*Harga!$C$24</f>
        <v>50000</v>
      </c>
      <c r="L24" s="36">
        <f>'I-O'!L24*Harga!$C$24</f>
        <v>0</v>
      </c>
      <c r="M24" s="36">
        <f>'I-O'!M24*Harga!$C$24</f>
        <v>50000</v>
      </c>
      <c r="N24" s="36">
        <f>'I-O'!N24*Harga!$C$24</f>
        <v>0</v>
      </c>
      <c r="O24" s="36">
        <f>'I-O'!O24*Harga!$C$24</f>
        <v>50000</v>
      </c>
      <c r="P24" s="36">
        <f>'I-O'!P24*Harga!$C$24</f>
        <v>0</v>
      </c>
      <c r="Q24" s="36">
        <f>'I-O'!Q24*Harga!$C$24</f>
        <v>50000</v>
      </c>
      <c r="R24" s="36">
        <f>'I-O'!R24*Harga!$C$24</f>
        <v>0</v>
      </c>
      <c r="S24" s="36">
        <f>'I-O'!S24*Harga!$C$24</f>
        <v>50000</v>
      </c>
      <c r="T24" s="36">
        <f>'I-O'!T24*Harga!$C$24</f>
        <v>0</v>
      </c>
      <c r="U24" s="36">
        <f>'I-O'!U24*Harga!$C$24</f>
        <v>50000</v>
      </c>
      <c r="V24" s="36">
        <f>'I-O'!V24*Harga!$C$24</f>
        <v>0</v>
      </c>
      <c r="W24" s="36">
        <f>'I-O'!W24*Harga!$C$24</f>
        <v>50000</v>
      </c>
      <c r="X24" s="36">
        <f>'I-O'!X24*Harga!$C$24</f>
        <v>0</v>
      </c>
      <c r="Y24" s="36">
        <f>'I-O'!Y24*Harga!$C$24</f>
        <v>50000</v>
      </c>
      <c r="Z24" s="36">
        <f>'I-O'!Z24*Harga!$C$24</f>
        <v>0</v>
      </c>
      <c r="AA24" s="36">
        <f>'I-O'!AA24*Harga!$C$24</f>
        <v>50000</v>
      </c>
      <c r="AB24" s="36">
        <f>'I-O'!AB24*Harga!$C$24</f>
        <v>0</v>
      </c>
      <c r="AC24" s="36">
        <f>'I-O'!AC24*Harga!$C$24</f>
        <v>50000</v>
      </c>
      <c r="AD24" s="36">
        <f>'I-O'!AD24*Harga!$C$24</f>
        <v>0</v>
      </c>
      <c r="AE24" s="36">
        <f>'I-O'!AE24*Harga!$C$24</f>
        <v>50000</v>
      </c>
      <c r="AF24" s="36">
        <f>'I-O'!AF24*Harga!$C$24</f>
        <v>0</v>
      </c>
    </row>
    <row r="25" spans="1:32">
      <c r="A25" s="38" t="s">
        <v>106</v>
      </c>
      <c r="B25" s="8"/>
      <c r="C25" s="32">
        <f>SUM(C8:C24)</f>
        <v>3070000</v>
      </c>
      <c r="D25" s="32">
        <f t="shared" ref="D25:AF25" si="0">SUM(D8:D24)</f>
        <v>1019000</v>
      </c>
      <c r="E25" s="32">
        <f t="shared" si="0"/>
        <v>1294000</v>
      </c>
      <c r="F25" s="32">
        <f t="shared" si="0"/>
        <v>1004000</v>
      </c>
      <c r="G25" s="32">
        <f t="shared" si="0"/>
        <v>1398000</v>
      </c>
      <c r="H25" s="32">
        <f t="shared" si="0"/>
        <v>1258000</v>
      </c>
      <c r="I25" s="32">
        <f t="shared" si="0"/>
        <v>783000</v>
      </c>
      <c r="J25" s="32">
        <f t="shared" si="0"/>
        <v>1112000</v>
      </c>
      <c r="K25" s="32">
        <f t="shared" si="0"/>
        <v>1237000</v>
      </c>
      <c r="L25" s="32">
        <f t="shared" si="0"/>
        <v>1362000</v>
      </c>
      <c r="M25" s="32">
        <f t="shared" si="0"/>
        <v>937000</v>
      </c>
      <c r="N25" s="32">
        <f t="shared" si="0"/>
        <v>1412000</v>
      </c>
      <c r="O25" s="32">
        <f t="shared" si="0"/>
        <v>937000</v>
      </c>
      <c r="P25" s="32">
        <f t="shared" si="0"/>
        <v>1112000</v>
      </c>
      <c r="Q25" s="32">
        <f t="shared" si="0"/>
        <v>1487000</v>
      </c>
      <c r="R25" s="32">
        <f t="shared" si="0"/>
        <v>1112000</v>
      </c>
      <c r="S25" s="32">
        <f t="shared" si="0"/>
        <v>937000</v>
      </c>
      <c r="T25" s="32">
        <f t="shared" si="0"/>
        <v>1412000</v>
      </c>
      <c r="U25" s="32">
        <f t="shared" si="0"/>
        <v>937000</v>
      </c>
      <c r="V25" s="32">
        <f t="shared" si="0"/>
        <v>1362000</v>
      </c>
      <c r="W25" s="32">
        <f t="shared" si="0"/>
        <v>1237000</v>
      </c>
      <c r="X25" s="32">
        <f t="shared" si="0"/>
        <v>1112000</v>
      </c>
      <c r="Y25" s="32">
        <f t="shared" si="0"/>
        <v>937000</v>
      </c>
      <c r="Z25" s="32">
        <f t="shared" si="0"/>
        <v>1412000</v>
      </c>
      <c r="AA25" s="32">
        <f t="shared" si="0"/>
        <v>1187000</v>
      </c>
      <c r="AB25" s="32">
        <f t="shared" si="0"/>
        <v>1112000</v>
      </c>
      <c r="AC25" s="32">
        <f t="shared" si="0"/>
        <v>1237000</v>
      </c>
      <c r="AD25" s="32">
        <f t="shared" si="0"/>
        <v>1112000</v>
      </c>
      <c r="AE25" s="32">
        <f t="shared" si="0"/>
        <v>937000</v>
      </c>
      <c r="AF25" s="32">
        <f t="shared" si="0"/>
        <v>1662000</v>
      </c>
    </row>
    <row r="26" spans="1:32" ht="15.75">
      <c r="A26" s="31" t="s">
        <v>91</v>
      </c>
      <c r="B26" s="239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2"/>
      <c r="AB26" s="242"/>
      <c r="AC26" s="242"/>
      <c r="AD26" s="242"/>
      <c r="AE26" s="242"/>
      <c r="AF26" s="242"/>
    </row>
    <row r="27" spans="1:32">
      <c r="A27" s="15" t="s">
        <v>169</v>
      </c>
      <c r="B27" s="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252"/>
      <c r="AB27" s="32"/>
      <c r="AC27" s="32"/>
      <c r="AD27" s="32"/>
      <c r="AE27" s="32"/>
      <c r="AF27" s="32"/>
    </row>
    <row r="28" spans="1:32">
      <c r="A28" s="7" t="s">
        <v>170</v>
      </c>
      <c r="B28" s="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252"/>
      <c r="AB28" s="32"/>
      <c r="AC28" s="32"/>
      <c r="AD28" s="32"/>
      <c r="AE28" s="32"/>
      <c r="AF28" s="32"/>
    </row>
    <row r="29" spans="1:32">
      <c r="A29" s="16" t="s">
        <v>224</v>
      </c>
      <c r="B29" s="8" t="s">
        <v>30</v>
      </c>
      <c r="C29" s="36">
        <f>'I-O'!C29*Harga!$C$29</f>
        <v>1000000</v>
      </c>
      <c r="D29" s="36">
        <f>'I-O'!D29*Harga!$C$29</f>
        <v>0</v>
      </c>
      <c r="E29" s="36">
        <f>'I-O'!E29*Harga!$C$29</f>
        <v>0</v>
      </c>
      <c r="F29" s="36">
        <f>'I-O'!F29*Harga!$C$29</f>
        <v>0</v>
      </c>
      <c r="G29" s="36">
        <f>'I-O'!G29*Harga!$C$29</f>
        <v>0</v>
      </c>
      <c r="H29" s="36">
        <f>'I-O'!H29*Harga!$C$29</f>
        <v>0</v>
      </c>
      <c r="I29" s="36">
        <f>'I-O'!I29*Harga!$C$29</f>
        <v>0</v>
      </c>
      <c r="J29" s="36">
        <f>'I-O'!J29*Harga!$C$29</f>
        <v>0</v>
      </c>
      <c r="K29" s="36">
        <f>'I-O'!K29*Harga!$C$29</f>
        <v>0</v>
      </c>
      <c r="L29" s="36">
        <f>'I-O'!L29*Harga!$C$29</f>
        <v>0</v>
      </c>
      <c r="M29" s="36">
        <f>'I-O'!M29*Harga!$C$29</f>
        <v>0</v>
      </c>
      <c r="N29" s="36">
        <f>'I-O'!N29*Harga!$C$29</f>
        <v>0</v>
      </c>
      <c r="O29" s="36">
        <f>'I-O'!O29*Harga!$C$29</f>
        <v>0</v>
      </c>
      <c r="P29" s="36">
        <f>'I-O'!P29*Harga!$C$29</f>
        <v>0</v>
      </c>
      <c r="Q29" s="36">
        <f>'I-O'!Q29*Harga!$C$29</f>
        <v>0</v>
      </c>
      <c r="R29" s="36">
        <f>'I-O'!R29*Harga!$C$29</f>
        <v>0</v>
      </c>
      <c r="S29" s="36">
        <f>'I-O'!S29*Harga!$C$29</f>
        <v>0</v>
      </c>
      <c r="T29" s="36">
        <f>'I-O'!T29*Harga!$C$29</f>
        <v>0</v>
      </c>
      <c r="U29" s="36">
        <f>'I-O'!U29*Harga!$C$29</f>
        <v>0</v>
      </c>
      <c r="V29" s="36">
        <f>'I-O'!V29*Harga!$C$29</f>
        <v>0</v>
      </c>
      <c r="W29" s="36">
        <f>'I-O'!W29*Harga!$C$29</f>
        <v>0</v>
      </c>
      <c r="X29" s="36">
        <f>'I-O'!X29*Harga!$C$29</f>
        <v>0</v>
      </c>
      <c r="Y29" s="36">
        <f>'I-O'!Y29*Harga!$C$29</f>
        <v>0</v>
      </c>
      <c r="Z29" s="36">
        <f>'I-O'!Z29*Harga!$C$29</f>
        <v>0</v>
      </c>
      <c r="AA29" s="36">
        <f>'I-O'!AA29*Harga!$C$29</f>
        <v>0</v>
      </c>
      <c r="AB29" s="36">
        <f>'I-O'!AB29*Harga!$C$29</f>
        <v>0</v>
      </c>
      <c r="AC29" s="36">
        <f>'I-O'!AC29*Harga!$C$29</f>
        <v>0</v>
      </c>
      <c r="AD29" s="36">
        <f>'I-O'!AD29*Harga!$C$29</f>
        <v>0</v>
      </c>
      <c r="AE29" s="36">
        <f>'I-O'!AE29*Harga!$C$29</f>
        <v>0</v>
      </c>
      <c r="AF29" s="36">
        <f>'I-O'!AF29*Harga!$C$29</f>
        <v>0</v>
      </c>
    </row>
    <row r="30" spans="1:32">
      <c r="A30" s="16" t="s">
        <v>225</v>
      </c>
      <c r="B30" s="8" t="s">
        <v>30</v>
      </c>
      <c r="C30" s="36">
        <f>'I-O'!C30*Harga!$C$30</f>
        <v>0</v>
      </c>
      <c r="D30" s="36">
        <f>'I-O'!D30*Harga!$C$30</f>
        <v>0</v>
      </c>
      <c r="E30" s="36">
        <f>'I-O'!E30*Harga!$C$30</f>
        <v>0</v>
      </c>
      <c r="F30" s="36">
        <f>'I-O'!F30*Harga!$C$30</f>
        <v>0</v>
      </c>
      <c r="G30" s="36">
        <f>'I-O'!G30*Harga!$C$30</f>
        <v>0</v>
      </c>
      <c r="H30" s="36">
        <f>'I-O'!H30*Harga!$C$30</f>
        <v>0</v>
      </c>
      <c r="I30" s="36">
        <f>'I-O'!I30*Harga!$C$30</f>
        <v>0</v>
      </c>
      <c r="J30" s="36">
        <f>'I-O'!J30*Harga!$C$30</f>
        <v>0</v>
      </c>
      <c r="K30" s="36">
        <f>'I-O'!K30*Harga!$C$30</f>
        <v>0</v>
      </c>
      <c r="L30" s="36">
        <f>'I-O'!L30*Harga!$C$30</f>
        <v>0</v>
      </c>
      <c r="M30" s="36">
        <f>'I-O'!M30*Harga!$C$30</f>
        <v>0</v>
      </c>
      <c r="N30" s="36">
        <f>'I-O'!N30*Harga!$C$30</f>
        <v>0</v>
      </c>
      <c r="O30" s="36">
        <f>'I-O'!O30*Harga!$C$30</f>
        <v>0</v>
      </c>
      <c r="P30" s="36">
        <f>'I-O'!P30*Harga!$C$30</f>
        <v>0</v>
      </c>
      <c r="Q30" s="36">
        <f>'I-O'!Q30*Harga!$C$30</f>
        <v>0</v>
      </c>
      <c r="R30" s="36">
        <f>'I-O'!R30*Harga!$C$30</f>
        <v>0</v>
      </c>
      <c r="S30" s="36">
        <f>'I-O'!S30*Harga!$C$30</f>
        <v>0</v>
      </c>
      <c r="T30" s="36">
        <f>'I-O'!T30*Harga!$C$30</f>
        <v>0</v>
      </c>
      <c r="U30" s="36">
        <f>'I-O'!U30*Harga!$C$30</f>
        <v>0</v>
      </c>
      <c r="V30" s="36">
        <f>'I-O'!V30*Harga!$C$30</f>
        <v>0</v>
      </c>
      <c r="W30" s="36">
        <f>'I-O'!W30*Harga!$C$30</f>
        <v>0</v>
      </c>
      <c r="X30" s="36">
        <f>'I-O'!X30*Harga!$C$30</f>
        <v>0</v>
      </c>
      <c r="Y30" s="36">
        <f>'I-O'!Y30*Harga!$C$30</f>
        <v>0</v>
      </c>
      <c r="Z30" s="36">
        <f>'I-O'!Z30*Harga!$C$30</f>
        <v>0</v>
      </c>
      <c r="AA30" s="36">
        <f>'I-O'!AA30*Harga!$C$30</f>
        <v>0</v>
      </c>
      <c r="AB30" s="36">
        <f>'I-O'!AB30*Harga!$C$30</f>
        <v>0</v>
      </c>
      <c r="AC30" s="36">
        <f>'I-O'!AC30*Harga!$C$30</f>
        <v>0</v>
      </c>
      <c r="AD30" s="36">
        <f>'I-O'!AD30*Harga!$C$30</f>
        <v>0</v>
      </c>
      <c r="AE30" s="36">
        <f>'I-O'!AE30*Harga!$C$30</f>
        <v>0</v>
      </c>
      <c r="AF30" s="36">
        <f>'I-O'!AF30*Harga!$C$30</f>
        <v>0</v>
      </c>
    </row>
    <row r="31" spans="1:32">
      <c r="A31" s="16" t="s">
        <v>226</v>
      </c>
      <c r="B31" s="8" t="s">
        <v>30</v>
      </c>
      <c r="C31" s="36">
        <f>'I-O'!C31*Harga!$C$32</f>
        <v>0</v>
      </c>
      <c r="D31" s="36">
        <f>'I-O'!D31*Harga!$C$32</f>
        <v>0</v>
      </c>
      <c r="E31" s="36">
        <f>'I-O'!E31*Harga!$C$32</f>
        <v>0</v>
      </c>
      <c r="F31" s="36">
        <f>'I-O'!F31*Harga!$C$32</f>
        <v>0</v>
      </c>
      <c r="G31" s="36">
        <f>'I-O'!G31*Harga!$C$32</f>
        <v>0</v>
      </c>
      <c r="H31" s="36">
        <f>'I-O'!H31*Harga!$C$32</f>
        <v>0</v>
      </c>
      <c r="I31" s="36">
        <f>'I-O'!I31*Harga!$C$32</f>
        <v>0</v>
      </c>
      <c r="J31" s="36">
        <f>'I-O'!J31*Harga!$C$32</f>
        <v>0</v>
      </c>
      <c r="K31" s="36">
        <f>'I-O'!K31*Harga!$C$32</f>
        <v>0</v>
      </c>
      <c r="L31" s="36">
        <f>'I-O'!L31*Harga!$C$32</f>
        <v>0</v>
      </c>
      <c r="M31" s="36">
        <f>'I-O'!M31*Harga!$C$32</f>
        <v>0</v>
      </c>
      <c r="N31" s="36">
        <f>'I-O'!N31*Harga!$C$32</f>
        <v>0</v>
      </c>
      <c r="O31" s="36">
        <f>'I-O'!O31*Harga!$C$32</f>
        <v>0</v>
      </c>
      <c r="P31" s="36">
        <f>'I-O'!P31*Harga!$C$32</f>
        <v>0</v>
      </c>
      <c r="Q31" s="36">
        <f>'I-O'!Q31*Harga!$C$32</f>
        <v>0</v>
      </c>
      <c r="R31" s="36">
        <f>'I-O'!R31*Harga!$C$32</f>
        <v>0</v>
      </c>
      <c r="S31" s="36">
        <f>'I-O'!S31*Harga!$C$32</f>
        <v>0</v>
      </c>
      <c r="T31" s="36">
        <f>'I-O'!T31*Harga!$C$32</f>
        <v>0</v>
      </c>
      <c r="U31" s="36">
        <f>'I-O'!U31*Harga!$C$32</f>
        <v>0</v>
      </c>
      <c r="V31" s="36">
        <f>'I-O'!V31*Harga!$C$32</f>
        <v>0</v>
      </c>
      <c r="W31" s="36">
        <f>'I-O'!W31*Harga!$C$32</f>
        <v>0</v>
      </c>
      <c r="X31" s="36">
        <f>'I-O'!X31*Harga!$C$32</f>
        <v>0</v>
      </c>
      <c r="Y31" s="36">
        <f>'I-O'!Y31*Harga!$C$32</f>
        <v>0</v>
      </c>
      <c r="Z31" s="36">
        <f>'I-O'!Z31*Harga!$C$32</f>
        <v>0</v>
      </c>
      <c r="AA31" s="36">
        <f>'I-O'!AA31*Harga!$C$32</f>
        <v>0</v>
      </c>
      <c r="AB31" s="36">
        <f>'I-O'!AB31*Harga!$C$32</f>
        <v>0</v>
      </c>
      <c r="AC31" s="36">
        <f>'I-O'!AC31*Harga!$C$32</f>
        <v>0</v>
      </c>
      <c r="AD31" s="36">
        <f>'I-O'!AD31*Harga!$C$32</f>
        <v>0</v>
      </c>
      <c r="AE31" s="36">
        <f>'I-O'!AE31*Harga!$C$32</f>
        <v>0</v>
      </c>
      <c r="AF31" s="36">
        <f>'I-O'!AF31*Harga!$C$32</f>
        <v>0</v>
      </c>
    </row>
    <row r="32" spans="1:32">
      <c r="A32" s="16" t="s">
        <v>227</v>
      </c>
      <c r="B32" s="8" t="s">
        <v>30</v>
      </c>
      <c r="C32" s="36">
        <f>'I-O'!C32*Harga!$C$32</f>
        <v>0</v>
      </c>
      <c r="D32" s="36">
        <f>'I-O'!D32*Harga!$C$32</f>
        <v>0</v>
      </c>
      <c r="E32" s="36">
        <f>'I-O'!E32*Harga!$C$32</f>
        <v>0</v>
      </c>
      <c r="F32" s="36">
        <f>'I-O'!F32*Harga!$C$32</f>
        <v>0</v>
      </c>
      <c r="G32" s="36">
        <f>'I-O'!G32*Harga!$C$32</f>
        <v>0</v>
      </c>
      <c r="H32" s="36">
        <f>'I-O'!H32*Harga!$C$32</f>
        <v>0</v>
      </c>
      <c r="I32" s="36">
        <f>'I-O'!I32*Harga!$C$32</f>
        <v>0</v>
      </c>
      <c r="J32" s="36">
        <f>'I-O'!J32*Harga!$C$32</f>
        <v>0</v>
      </c>
      <c r="K32" s="36">
        <f>'I-O'!K32*Harga!$C$32</f>
        <v>0</v>
      </c>
      <c r="L32" s="36">
        <f>'I-O'!L32*Harga!$C$32</f>
        <v>0</v>
      </c>
      <c r="M32" s="36">
        <f>'I-O'!M32*Harga!$C$32</f>
        <v>0</v>
      </c>
      <c r="N32" s="36">
        <f>'I-O'!N32*Harga!$C$32</f>
        <v>0</v>
      </c>
      <c r="O32" s="36">
        <f>'I-O'!O32*Harga!$C$32</f>
        <v>0</v>
      </c>
      <c r="P32" s="36">
        <f>'I-O'!P32*Harga!$C$32</f>
        <v>0</v>
      </c>
      <c r="Q32" s="36">
        <f>'I-O'!Q32*Harga!$C$32</f>
        <v>0</v>
      </c>
      <c r="R32" s="36">
        <f>'I-O'!R32*Harga!$C$32</f>
        <v>0</v>
      </c>
      <c r="S32" s="36">
        <f>'I-O'!S32*Harga!$C$32</f>
        <v>0</v>
      </c>
      <c r="T32" s="36">
        <f>'I-O'!T32*Harga!$C$32</f>
        <v>0</v>
      </c>
      <c r="U32" s="36">
        <f>'I-O'!U32*Harga!$C$32</f>
        <v>0</v>
      </c>
      <c r="V32" s="36">
        <f>'I-O'!V32*Harga!$C$32</f>
        <v>0</v>
      </c>
      <c r="W32" s="36">
        <f>'I-O'!W32*Harga!$C$32</f>
        <v>0</v>
      </c>
      <c r="X32" s="36">
        <f>'I-O'!X32*Harga!$C$32</f>
        <v>0</v>
      </c>
      <c r="Y32" s="36">
        <f>'I-O'!Y32*Harga!$C$32</f>
        <v>0</v>
      </c>
      <c r="Z32" s="36">
        <f>'I-O'!Z32*Harga!$C$32</f>
        <v>0</v>
      </c>
      <c r="AA32" s="36">
        <f>'I-O'!AA32*Harga!$C$32</f>
        <v>0</v>
      </c>
      <c r="AB32" s="36">
        <f>'I-O'!AB32*Harga!$C$32</f>
        <v>0</v>
      </c>
      <c r="AC32" s="36">
        <f>'I-O'!AC32*Harga!$C$32</f>
        <v>0</v>
      </c>
      <c r="AD32" s="36">
        <f>'I-O'!AD32*Harga!$C$32</f>
        <v>0</v>
      </c>
      <c r="AE32" s="36">
        <f>'I-O'!AE32*Harga!$C$32</f>
        <v>0</v>
      </c>
      <c r="AF32" s="36">
        <f>'I-O'!AF32*Harga!$C$32</f>
        <v>0</v>
      </c>
    </row>
    <row r="33" spans="1:32">
      <c r="A33" s="7" t="s">
        <v>271</v>
      </c>
      <c r="B33" s="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</row>
    <row r="34" spans="1:32">
      <c r="A34" s="16" t="s">
        <v>272</v>
      </c>
      <c r="B34" s="8" t="s">
        <v>30</v>
      </c>
      <c r="C34" s="36">
        <f>'I-O'!C34*Harga!$C$34</f>
        <v>900000</v>
      </c>
      <c r="D34" s="36">
        <f>'I-O'!D34*Harga!$C$34</f>
        <v>0</v>
      </c>
      <c r="E34" s="36">
        <f>'I-O'!E34*Harga!$C$34</f>
        <v>0</v>
      </c>
      <c r="F34" s="36">
        <f>'I-O'!F34*Harga!$C$34</f>
        <v>0</v>
      </c>
      <c r="G34" s="36">
        <f>'I-O'!G34*Harga!$C$34</f>
        <v>0</v>
      </c>
      <c r="H34" s="36">
        <f>'I-O'!H34*Harga!$C$34</f>
        <v>0</v>
      </c>
      <c r="I34" s="36">
        <f>'I-O'!I34*Harga!$C$34</f>
        <v>0</v>
      </c>
      <c r="J34" s="36">
        <f>'I-O'!J34*Harga!$C$34</f>
        <v>0</v>
      </c>
      <c r="K34" s="36">
        <f>'I-O'!K34*Harga!$C$34</f>
        <v>0</v>
      </c>
      <c r="L34" s="36">
        <f>'I-O'!L34*Harga!$C$34</f>
        <v>0</v>
      </c>
      <c r="M34" s="36">
        <f>'I-O'!M34*Harga!$C$34</f>
        <v>0</v>
      </c>
      <c r="N34" s="36">
        <f>'I-O'!N34*Harga!$C$34</f>
        <v>0</v>
      </c>
      <c r="O34" s="36">
        <f>'I-O'!O34*Harga!$C$34</f>
        <v>0</v>
      </c>
      <c r="P34" s="36">
        <f>'I-O'!P34*Harga!$C$34</f>
        <v>0</v>
      </c>
      <c r="Q34" s="36">
        <f>'I-O'!Q34*Harga!$C$34</f>
        <v>0</v>
      </c>
      <c r="R34" s="36">
        <f>'I-O'!R34*Harga!$C$34</f>
        <v>0</v>
      </c>
      <c r="S34" s="36">
        <f>'I-O'!S34*Harga!$C$34</f>
        <v>0</v>
      </c>
      <c r="T34" s="36">
        <f>'I-O'!T34*Harga!$C$34</f>
        <v>0</v>
      </c>
      <c r="U34" s="36">
        <f>'I-O'!U34*Harga!$C$34</f>
        <v>0</v>
      </c>
      <c r="V34" s="36">
        <f>'I-O'!V34*Harga!$C$34</f>
        <v>0</v>
      </c>
      <c r="W34" s="36">
        <f>'I-O'!W34*Harga!$C$34</f>
        <v>0</v>
      </c>
      <c r="X34" s="36">
        <f>'I-O'!X34*Harga!$C$34</f>
        <v>0</v>
      </c>
      <c r="Y34" s="36">
        <f>'I-O'!Y34*Harga!$C$34</f>
        <v>0</v>
      </c>
      <c r="Z34" s="36">
        <f>'I-O'!Z34*Harga!$C$34</f>
        <v>0</v>
      </c>
      <c r="AA34" s="36">
        <f>'I-O'!AA34*Harga!$C$34</f>
        <v>0</v>
      </c>
      <c r="AB34" s="36">
        <f>'I-O'!AB34*Harga!$C$34</f>
        <v>0</v>
      </c>
      <c r="AC34" s="36">
        <f>'I-O'!AC34*Harga!$C$34</f>
        <v>0</v>
      </c>
      <c r="AD34" s="36">
        <f>'I-O'!AD34*Harga!$C$34</f>
        <v>0</v>
      </c>
      <c r="AE34" s="36">
        <f>'I-O'!AE34*Harga!$C$34</f>
        <v>0</v>
      </c>
      <c r="AF34" s="36">
        <f>'I-O'!AF34*Harga!$C$34</f>
        <v>0</v>
      </c>
    </row>
    <row r="35" spans="1:32">
      <c r="A35" s="16" t="s">
        <v>273</v>
      </c>
      <c r="B35" s="8" t="s">
        <v>30</v>
      </c>
      <c r="C35" s="36">
        <f>'I-O'!C35*Harga!$C$35</f>
        <v>1500000</v>
      </c>
      <c r="D35" s="36">
        <f>'I-O'!D35*Harga!$C$35</f>
        <v>0</v>
      </c>
      <c r="E35" s="36">
        <f>'I-O'!E35*Harga!$C$35</f>
        <v>0</v>
      </c>
      <c r="F35" s="36">
        <f>'I-O'!F35*Harga!$C$35</f>
        <v>0</v>
      </c>
      <c r="G35" s="36">
        <f>'I-O'!G35*Harga!$C$35</f>
        <v>0</v>
      </c>
      <c r="H35" s="36">
        <f>'I-O'!H35*Harga!$C$35</f>
        <v>0</v>
      </c>
      <c r="I35" s="36">
        <f>'I-O'!I35*Harga!$C$35</f>
        <v>0</v>
      </c>
      <c r="J35" s="36">
        <f>'I-O'!J35*Harga!$C$35</f>
        <v>0</v>
      </c>
      <c r="K35" s="36">
        <f>'I-O'!K35*Harga!$C$35</f>
        <v>0</v>
      </c>
      <c r="L35" s="36">
        <f>'I-O'!L35*Harga!$C$35</f>
        <v>0</v>
      </c>
      <c r="M35" s="36">
        <f>'I-O'!M35*Harga!$C$35</f>
        <v>0</v>
      </c>
      <c r="N35" s="36">
        <f>'I-O'!N35*Harga!$C$35</f>
        <v>0</v>
      </c>
      <c r="O35" s="36">
        <f>'I-O'!O35*Harga!$C$35</f>
        <v>0</v>
      </c>
      <c r="P35" s="36">
        <f>'I-O'!P35*Harga!$C$35</f>
        <v>0</v>
      </c>
      <c r="Q35" s="36">
        <f>'I-O'!Q35*Harga!$C$35</f>
        <v>0</v>
      </c>
      <c r="R35" s="36">
        <f>'I-O'!R35*Harga!$C$35</f>
        <v>0</v>
      </c>
      <c r="S35" s="36">
        <f>'I-O'!S35*Harga!$C$35</f>
        <v>0</v>
      </c>
      <c r="T35" s="36">
        <f>'I-O'!T35*Harga!$C$35</f>
        <v>0</v>
      </c>
      <c r="U35" s="36">
        <f>'I-O'!U35*Harga!$C$35</f>
        <v>0</v>
      </c>
      <c r="V35" s="36">
        <f>'I-O'!V35*Harga!$C$35</f>
        <v>0</v>
      </c>
      <c r="W35" s="36">
        <f>'I-O'!W35*Harga!$C$35</f>
        <v>0</v>
      </c>
      <c r="X35" s="36">
        <f>'I-O'!X35*Harga!$C$35</f>
        <v>0</v>
      </c>
      <c r="Y35" s="36">
        <f>'I-O'!Y35*Harga!$C$35</f>
        <v>0</v>
      </c>
      <c r="Z35" s="36">
        <f>'I-O'!Z35*Harga!$C$35</f>
        <v>0</v>
      </c>
      <c r="AA35" s="36">
        <f>'I-O'!AA35*Harga!$C$35</f>
        <v>0</v>
      </c>
      <c r="AB35" s="36">
        <f>'I-O'!AB35*Harga!$C$35</f>
        <v>0</v>
      </c>
      <c r="AC35" s="36">
        <f>'I-O'!AC35*Harga!$C$35</f>
        <v>0</v>
      </c>
      <c r="AD35" s="36">
        <f>'I-O'!AD35*Harga!$C$35</f>
        <v>0</v>
      </c>
      <c r="AE35" s="36">
        <f>'I-O'!AE35*Harga!$C$35</f>
        <v>0</v>
      </c>
      <c r="AF35" s="36">
        <f>'I-O'!AF35*Harga!$C$35</f>
        <v>0</v>
      </c>
    </row>
    <row r="36" spans="1:32">
      <c r="A36" s="165" t="s">
        <v>275</v>
      </c>
      <c r="B36" s="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166" t="s">
        <v>231</v>
      </c>
      <c r="B37" s="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</row>
    <row r="38" spans="1:32">
      <c r="A38" s="16" t="s">
        <v>302</v>
      </c>
      <c r="B38" s="8" t="s">
        <v>30</v>
      </c>
      <c r="C38" s="32">
        <f>'I-O'!C38*Harga!$C$38</f>
        <v>0</v>
      </c>
      <c r="D38" s="32">
        <f>'I-O'!D38*Harga!$C$38</f>
        <v>0</v>
      </c>
      <c r="E38" s="32">
        <f>'I-O'!E38*Harga!$C$38</f>
        <v>0</v>
      </c>
      <c r="F38" s="32">
        <f>'I-O'!F38*Harga!$C$38</f>
        <v>0</v>
      </c>
      <c r="G38" s="32">
        <f>'I-O'!G38*Harga!$C$38</f>
        <v>0</v>
      </c>
      <c r="H38" s="32">
        <f>'I-O'!H38*Harga!$C$38</f>
        <v>0</v>
      </c>
      <c r="I38" s="32">
        <f>'I-O'!I38*Harga!$C$38</f>
        <v>0</v>
      </c>
      <c r="J38" s="32">
        <f>'I-O'!J38*Harga!$C$38</f>
        <v>0</v>
      </c>
      <c r="K38" s="32">
        <f>'I-O'!K38*Harga!$C$38</f>
        <v>0</v>
      </c>
      <c r="L38" s="32">
        <f>'I-O'!L38*Harga!$C$38</f>
        <v>0</v>
      </c>
      <c r="M38" s="32">
        <f>'I-O'!M38*Harga!$C$38</f>
        <v>0</v>
      </c>
      <c r="N38" s="32">
        <f>'I-O'!N38*Harga!$C$38</f>
        <v>0</v>
      </c>
      <c r="O38" s="32">
        <f>'I-O'!O38*Harga!$C$38</f>
        <v>0</v>
      </c>
      <c r="P38" s="32">
        <f>'I-O'!P38*Harga!$C$38</f>
        <v>0</v>
      </c>
      <c r="Q38" s="32">
        <f>'I-O'!Q38*Harga!$C$38</f>
        <v>0</v>
      </c>
      <c r="R38" s="32">
        <f>'I-O'!R38*Harga!$C$38</f>
        <v>0</v>
      </c>
      <c r="S38" s="32">
        <f>'I-O'!S38*Harga!$C$38</f>
        <v>0</v>
      </c>
      <c r="T38" s="32">
        <f>'I-O'!T38*Harga!$C$38</f>
        <v>0</v>
      </c>
      <c r="U38" s="32">
        <f>'I-O'!U38*Harga!$C$38</f>
        <v>0</v>
      </c>
      <c r="V38" s="32">
        <f>'I-O'!V38*Harga!$C$38</f>
        <v>0</v>
      </c>
      <c r="W38" s="32">
        <f>'I-O'!W38*Harga!$C$38</f>
        <v>0</v>
      </c>
      <c r="X38" s="32">
        <f>'I-O'!X38*Harga!$C$38</f>
        <v>0</v>
      </c>
      <c r="Y38" s="32">
        <f>'I-O'!Y38*Harga!$C$38</f>
        <v>0</v>
      </c>
      <c r="Z38" s="32">
        <f>'I-O'!Z38*Harga!$C$38</f>
        <v>0</v>
      </c>
      <c r="AA38" s="32">
        <f>'I-O'!AA38*Harga!$C$38</f>
        <v>0</v>
      </c>
      <c r="AB38" s="32">
        <f>'I-O'!AB38*Harga!$C$38</f>
        <v>0</v>
      </c>
      <c r="AC38" s="32">
        <f>'I-O'!AC38*Harga!$C$38</f>
        <v>0</v>
      </c>
      <c r="AD38" s="32">
        <f>'I-O'!AD38*Harga!$C$38</f>
        <v>0</v>
      </c>
      <c r="AE38" s="32">
        <f>'I-O'!AE38*Harga!$C$38</f>
        <v>0</v>
      </c>
      <c r="AF38" s="32">
        <f>'I-O'!AF38*Harga!$C$38</f>
        <v>0</v>
      </c>
    </row>
    <row r="39" spans="1:32">
      <c r="A39" s="166" t="s">
        <v>240</v>
      </c>
      <c r="B39" s="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02"/>
      <c r="AB39" s="36"/>
      <c r="AC39" s="36"/>
      <c r="AD39" s="36"/>
      <c r="AE39" s="36"/>
      <c r="AF39" s="36"/>
    </row>
    <row r="40" spans="1:32">
      <c r="A40" s="16" t="s">
        <v>237</v>
      </c>
      <c r="B40" s="8" t="s">
        <v>30</v>
      </c>
      <c r="C40" s="32">
        <f>'I-O'!C40*Harga!$C$40</f>
        <v>0</v>
      </c>
      <c r="D40" s="32">
        <f>'I-O'!D40*Harga!$C$40</f>
        <v>0</v>
      </c>
      <c r="E40" s="32">
        <f>'I-O'!E40*Harga!$C$40</f>
        <v>0</v>
      </c>
      <c r="F40" s="32">
        <f>'I-O'!F40*Harga!$C$40</f>
        <v>0</v>
      </c>
      <c r="G40" s="32">
        <f>'I-O'!G40*Harga!$C$40</f>
        <v>0</v>
      </c>
      <c r="H40" s="32">
        <f>'I-O'!H40*Harga!$C$40</f>
        <v>0</v>
      </c>
      <c r="I40" s="32">
        <f>'I-O'!I40*Harga!$C$40</f>
        <v>0</v>
      </c>
      <c r="J40" s="32">
        <f>'I-O'!J40*Harga!$C$40</f>
        <v>0</v>
      </c>
      <c r="K40" s="32">
        <f>'I-O'!K40*Harga!$C$40</f>
        <v>0</v>
      </c>
      <c r="L40" s="32">
        <f>'I-O'!L40*Harga!$C$40</f>
        <v>0</v>
      </c>
      <c r="M40" s="32">
        <f>'I-O'!M40*Harga!$C$40</f>
        <v>0</v>
      </c>
      <c r="N40" s="32">
        <f>'I-O'!N40*Harga!$C$40</f>
        <v>0</v>
      </c>
      <c r="O40" s="32">
        <f>'I-O'!O40*Harga!$C$40</f>
        <v>0</v>
      </c>
      <c r="P40" s="32">
        <f>'I-O'!P40*Harga!$C$40</f>
        <v>0</v>
      </c>
      <c r="Q40" s="32">
        <f>'I-O'!Q40*Harga!$C$40</f>
        <v>0</v>
      </c>
      <c r="R40" s="32">
        <f>'I-O'!R40*Harga!$C$40</f>
        <v>0</v>
      </c>
      <c r="S40" s="32">
        <f>'I-O'!S40*Harga!$C$40</f>
        <v>0</v>
      </c>
      <c r="T40" s="32">
        <f>'I-O'!T40*Harga!$C$40</f>
        <v>0</v>
      </c>
      <c r="U40" s="32">
        <f>'I-O'!U40*Harga!$C$40</f>
        <v>0</v>
      </c>
      <c r="V40" s="32">
        <f>'I-O'!V40*Harga!$C$40</f>
        <v>0</v>
      </c>
      <c r="W40" s="32">
        <f>'I-O'!W40*Harga!$C$40</f>
        <v>0</v>
      </c>
      <c r="X40" s="32">
        <f>'I-O'!X40*Harga!$C$40</f>
        <v>0</v>
      </c>
      <c r="Y40" s="32">
        <f>'I-O'!Y40*Harga!$C$40</f>
        <v>0</v>
      </c>
      <c r="Z40" s="32">
        <f>'I-O'!Z40*Harga!$C$40</f>
        <v>0</v>
      </c>
      <c r="AA40" s="252">
        <f>'I-O'!AA40*Harga!$C$40</f>
        <v>0</v>
      </c>
      <c r="AB40" s="32">
        <f>'I-O'!AB40*Harga!$C$40</f>
        <v>0</v>
      </c>
      <c r="AC40" s="32">
        <f>'I-O'!AC40*Harga!$C$40</f>
        <v>0</v>
      </c>
      <c r="AD40" s="32">
        <f>'I-O'!AD40*Harga!$C$40</f>
        <v>0</v>
      </c>
      <c r="AE40" s="32">
        <f>'I-O'!AE40*Harga!$C$40</f>
        <v>0</v>
      </c>
      <c r="AF40" s="32">
        <f>'I-O'!AF40*Harga!$C$40</f>
        <v>0</v>
      </c>
    </row>
    <row r="41" spans="1:32">
      <c r="A41" s="166" t="s">
        <v>235</v>
      </c>
      <c r="B41" s="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202"/>
      <c r="AB41" s="36"/>
      <c r="AC41" s="36"/>
      <c r="AD41" s="36"/>
      <c r="AE41" s="36"/>
      <c r="AF41" s="36"/>
    </row>
    <row r="42" spans="1:32">
      <c r="A42" s="16" t="s">
        <v>241</v>
      </c>
      <c r="B42" s="8" t="s">
        <v>30</v>
      </c>
      <c r="C42" s="36">
        <f>'I-O'!C42*Harga!$C$42</f>
        <v>0</v>
      </c>
      <c r="D42" s="36">
        <f>'I-O'!D42*Harga!$C$42</f>
        <v>0</v>
      </c>
      <c r="E42" s="36">
        <f>'I-O'!E42*Harga!$C$42</f>
        <v>0</v>
      </c>
      <c r="F42" s="36">
        <f>'I-O'!F42*Harga!$C$42</f>
        <v>0</v>
      </c>
      <c r="G42" s="36">
        <f>'I-O'!G42*Harga!$C$42</f>
        <v>0</v>
      </c>
      <c r="H42" s="36">
        <f>'I-O'!H42*Harga!$C$42</f>
        <v>0</v>
      </c>
      <c r="I42" s="36">
        <f>'I-O'!I42*Harga!$C$42</f>
        <v>0</v>
      </c>
      <c r="J42" s="36">
        <f>'I-O'!J42*Harga!$C$42</f>
        <v>0</v>
      </c>
      <c r="K42" s="36">
        <f>'I-O'!K42*Harga!$C$42</f>
        <v>0</v>
      </c>
      <c r="L42" s="36">
        <f>'I-O'!L42*Harga!$C$42</f>
        <v>0</v>
      </c>
      <c r="M42" s="36">
        <f>'I-O'!M42*Harga!$C$42</f>
        <v>0</v>
      </c>
      <c r="N42" s="36">
        <f>'I-O'!N42*Harga!$C$42</f>
        <v>0</v>
      </c>
      <c r="O42" s="36">
        <f>'I-O'!O42*Harga!$C$42</f>
        <v>0</v>
      </c>
      <c r="P42" s="36">
        <f>'I-O'!P42*Harga!$C$42</f>
        <v>0</v>
      </c>
      <c r="Q42" s="36">
        <f>'I-O'!Q42*Harga!$C$42</f>
        <v>0</v>
      </c>
      <c r="R42" s="36">
        <f>'I-O'!R42*Harga!$C$42</f>
        <v>0</v>
      </c>
      <c r="S42" s="36">
        <f>'I-O'!S42*Harga!$C$42</f>
        <v>0</v>
      </c>
      <c r="T42" s="36">
        <f>'I-O'!T42*Harga!$C$42</f>
        <v>0</v>
      </c>
      <c r="U42" s="36">
        <f>'I-O'!U42*Harga!$C$42</f>
        <v>0</v>
      </c>
      <c r="V42" s="36">
        <f>'I-O'!V42*Harga!$C$42</f>
        <v>0</v>
      </c>
      <c r="W42" s="36">
        <f>'I-O'!W42*Harga!$C$42</f>
        <v>0</v>
      </c>
      <c r="X42" s="36">
        <f>'I-O'!X42*Harga!$C$42</f>
        <v>0</v>
      </c>
      <c r="Y42" s="36">
        <f>'I-O'!Y42*Harga!$C$42</f>
        <v>0</v>
      </c>
      <c r="Z42" s="36">
        <f>'I-O'!Z42*Harga!$C$42</f>
        <v>0</v>
      </c>
      <c r="AA42" s="202">
        <f>'I-O'!AA42*Harga!$C$42</f>
        <v>0</v>
      </c>
      <c r="AB42" s="36">
        <f>'I-O'!AB42*Harga!$C$42</f>
        <v>0</v>
      </c>
      <c r="AC42" s="36">
        <f>'I-O'!AC42*Harga!$C$42</f>
        <v>0</v>
      </c>
      <c r="AD42" s="36">
        <f>'I-O'!AD42*Harga!$C$42</f>
        <v>0</v>
      </c>
      <c r="AE42" s="36">
        <f>'I-O'!AE42*Harga!$C$42</f>
        <v>0</v>
      </c>
      <c r="AF42" s="36">
        <f>'I-O'!AF42*Harga!$C$42</f>
        <v>0</v>
      </c>
    </row>
    <row r="43" spans="1:32">
      <c r="A43" s="16" t="s">
        <v>304</v>
      </c>
      <c r="B43" s="8" t="s">
        <v>30</v>
      </c>
      <c r="C43" s="36">
        <f>'I-O'!C43*Harga!$C$43</f>
        <v>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202"/>
      <c r="AB43" s="36"/>
      <c r="AC43" s="36"/>
      <c r="AD43" s="36"/>
      <c r="AE43" s="36"/>
      <c r="AF43" s="36"/>
    </row>
    <row r="44" spans="1:32">
      <c r="A44" s="35"/>
      <c r="B44" s="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202"/>
      <c r="AB44" s="36"/>
      <c r="AC44" s="36"/>
      <c r="AD44" s="36"/>
      <c r="AE44" s="36"/>
      <c r="AF44" s="36"/>
    </row>
    <row r="45" spans="1:32">
      <c r="A45" s="165" t="s">
        <v>242</v>
      </c>
      <c r="B45" s="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202"/>
      <c r="AB45" s="36"/>
      <c r="AC45" s="36"/>
      <c r="AD45" s="36"/>
      <c r="AE45" s="36"/>
      <c r="AF45" s="36"/>
    </row>
    <row r="46" spans="1:32">
      <c r="A46" s="166" t="s">
        <v>231</v>
      </c>
      <c r="B46" s="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202"/>
      <c r="AB46" s="36"/>
      <c r="AC46" s="36"/>
      <c r="AD46" s="36"/>
      <c r="AE46" s="36"/>
      <c r="AF46" s="36"/>
    </row>
    <row r="47" spans="1:32">
      <c r="A47" s="16" t="s">
        <v>300</v>
      </c>
      <c r="B47" s="8" t="s">
        <v>30</v>
      </c>
      <c r="C47" s="36">
        <f>'I-O'!C46*Harga!$C$47</f>
        <v>525000</v>
      </c>
      <c r="D47" s="36">
        <f>'I-O'!D46*Harga!$C$47</f>
        <v>0</v>
      </c>
      <c r="E47" s="36">
        <f>'I-O'!E46*Harga!$C$47</f>
        <v>0</v>
      </c>
      <c r="F47" s="36">
        <f>'I-O'!F46*Harga!$C$47</f>
        <v>0</v>
      </c>
      <c r="G47" s="36">
        <f>'I-O'!G46*Harga!$C$47</f>
        <v>0</v>
      </c>
      <c r="H47" s="36">
        <f>'I-O'!H46*Harga!$C$47</f>
        <v>0</v>
      </c>
      <c r="I47" s="36">
        <f>'I-O'!I46*Harga!$C$47</f>
        <v>0</v>
      </c>
      <c r="J47" s="36">
        <f>'I-O'!J46*Harga!$C$47</f>
        <v>0</v>
      </c>
      <c r="K47" s="36">
        <f>'I-O'!K46*Harga!$C$47</f>
        <v>0</v>
      </c>
      <c r="L47" s="36">
        <f>'I-O'!L46*Harga!$C$47</f>
        <v>0</v>
      </c>
      <c r="M47" s="36">
        <f>'I-O'!M46*Harga!$C$47</f>
        <v>0</v>
      </c>
      <c r="N47" s="36">
        <f>'I-O'!N46*Harga!$C$47</f>
        <v>0</v>
      </c>
      <c r="O47" s="36">
        <f>'I-O'!O46*Harga!$C$47</f>
        <v>0</v>
      </c>
      <c r="P47" s="36">
        <f>'I-O'!P46*Harga!$C$47</f>
        <v>0</v>
      </c>
      <c r="Q47" s="36">
        <f>'I-O'!Q46*Harga!$C$47</f>
        <v>0</v>
      </c>
      <c r="R47" s="36">
        <f>'I-O'!R46*Harga!$C$47</f>
        <v>0</v>
      </c>
      <c r="S47" s="36">
        <f>'I-O'!S46*Harga!$C$47</f>
        <v>0</v>
      </c>
      <c r="T47" s="36">
        <f>'I-O'!T46*Harga!$C$47</f>
        <v>0</v>
      </c>
      <c r="U47" s="36">
        <f>'I-O'!U46*Harga!$C$47</f>
        <v>0</v>
      </c>
      <c r="V47" s="36">
        <f>'I-O'!V46*Harga!$C$47</f>
        <v>0</v>
      </c>
      <c r="W47" s="36">
        <f>'I-O'!W46*Harga!$C$47</f>
        <v>0</v>
      </c>
      <c r="X47" s="36">
        <f>'I-O'!X46*Harga!$C$47</f>
        <v>0</v>
      </c>
      <c r="Y47" s="36">
        <f>'I-O'!Y46*Harga!$C$47</f>
        <v>0</v>
      </c>
      <c r="Z47" s="36">
        <f>'I-O'!Z46*Harga!$C$47</f>
        <v>0</v>
      </c>
      <c r="AA47" s="202">
        <f>'I-O'!AA46*Harga!$C$47</f>
        <v>0</v>
      </c>
      <c r="AB47" s="36">
        <f>'I-O'!AB46*Harga!$C$47</f>
        <v>0</v>
      </c>
      <c r="AC47" s="36">
        <f>'I-O'!AC46*Harga!$C$47</f>
        <v>0</v>
      </c>
      <c r="AD47" s="36">
        <f>'I-O'!AD46*Harga!$C$47</f>
        <v>0</v>
      </c>
      <c r="AE47" s="36">
        <f>'I-O'!AE46*Harga!$C$47</f>
        <v>0</v>
      </c>
      <c r="AF47" s="36">
        <f>'I-O'!AF46*Harga!$C$47</f>
        <v>0</v>
      </c>
    </row>
    <row r="48" spans="1:32">
      <c r="A48" s="166" t="s">
        <v>171</v>
      </c>
      <c r="B48" s="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202"/>
      <c r="AB48" s="36"/>
      <c r="AC48" s="36"/>
      <c r="AD48" s="36"/>
      <c r="AE48" s="36"/>
      <c r="AF48" s="36"/>
    </row>
    <row r="49" spans="1:32">
      <c r="A49" s="16" t="s">
        <v>274</v>
      </c>
      <c r="B49" s="8" t="s">
        <v>30</v>
      </c>
      <c r="C49" s="36">
        <f>'I-O'!C49*Harga!$C$49</f>
        <v>0</v>
      </c>
      <c r="D49" s="36">
        <f>'I-O'!D49*Harga!$C$49</f>
        <v>600000</v>
      </c>
      <c r="E49" s="36">
        <f>'I-O'!E49*Harga!$C$49</f>
        <v>600000</v>
      </c>
      <c r="F49" s="36">
        <f>'I-O'!F49*Harga!$C$49</f>
        <v>600000</v>
      </c>
      <c r="G49" s="36">
        <f>'I-O'!G49*Harga!$C$49</f>
        <v>600000</v>
      </c>
      <c r="H49" s="36">
        <f>'I-O'!H49*Harga!$C$49</f>
        <v>600000</v>
      </c>
      <c r="I49" s="36">
        <f>'I-O'!I49*Harga!$C$49</f>
        <v>600000</v>
      </c>
      <c r="J49" s="36">
        <f>'I-O'!J49*Harga!$C$49</f>
        <v>600000</v>
      </c>
      <c r="K49" s="36">
        <f>'I-O'!K49*Harga!$C$49</f>
        <v>600000</v>
      </c>
      <c r="L49" s="36">
        <f>'I-O'!L49*Harga!$C$49</f>
        <v>600000</v>
      </c>
      <c r="M49" s="36">
        <f>'I-O'!M49*Harga!$C$49</f>
        <v>600000</v>
      </c>
      <c r="N49" s="36">
        <f>'I-O'!N49*Harga!$C$49</f>
        <v>600000</v>
      </c>
      <c r="O49" s="36">
        <f>'I-O'!O49*Harga!$C$49</f>
        <v>600000</v>
      </c>
      <c r="P49" s="36">
        <f>'I-O'!P49*Harga!$C$49</f>
        <v>600000</v>
      </c>
      <c r="Q49" s="36">
        <f>'I-O'!Q49*Harga!$C$49</f>
        <v>600000</v>
      </c>
      <c r="R49" s="36">
        <f>'I-O'!R49*Harga!$C$49</f>
        <v>600000</v>
      </c>
      <c r="S49" s="36">
        <f>'I-O'!S49*Harga!$C$49</f>
        <v>600000</v>
      </c>
      <c r="T49" s="36">
        <f>'I-O'!T49*Harga!$C$49</f>
        <v>600000</v>
      </c>
      <c r="U49" s="36">
        <f>'I-O'!U49*Harga!$C$49</f>
        <v>600000</v>
      </c>
      <c r="V49" s="36">
        <f>'I-O'!V49*Harga!$C$49</f>
        <v>600000</v>
      </c>
      <c r="W49" s="36">
        <f>'I-O'!W49*Harga!$C$49</f>
        <v>600000</v>
      </c>
      <c r="X49" s="36">
        <f>'I-O'!X49*Harga!$C$49</f>
        <v>600000</v>
      </c>
      <c r="Y49" s="36">
        <f>'I-O'!Y49*Harga!$C$49</f>
        <v>600000</v>
      </c>
      <c r="Z49" s="36">
        <f>'I-O'!Z49*Harga!$C$49</f>
        <v>600000</v>
      </c>
      <c r="AA49" s="36">
        <f>'I-O'!AA49*Harga!$C$49</f>
        <v>600000</v>
      </c>
      <c r="AB49" s="36">
        <f>'I-O'!AB49*Harga!$C$49</f>
        <v>600000</v>
      </c>
      <c r="AC49" s="36">
        <f>'I-O'!AC49*Harga!$C$49</f>
        <v>600000</v>
      </c>
      <c r="AD49" s="36">
        <f>'I-O'!AD49*Harga!$C$49</f>
        <v>600000</v>
      </c>
      <c r="AE49" s="36">
        <f>'I-O'!AE49*Harga!$C$49</f>
        <v>600000</v>
      </c>
      <c r="AF49" s="36">
        <f>'I-O'!AF49*Harga!$C$49</f>
        <v>600000</v>
      </c>
    </row>
    <row r="50" spans="1:32">
      <c r="A50" s="16" t="s">
        <v>232</v>
      </c>
      <c r="B50" s="8" t="s">
        <v>30</v>
      </c>
      <c r="C50" s="36">
        <f>'I-O'!C50*Harga!$C$50</f>
        <v>0</v>
      </c>
      <c r="D50" s="36">
        <f>'I-O'!D50*Harga!$C$50</f>
        <v>900000</v>
      </c>
      <c r="E50" s="36">
        <f>'I-O'!E50*Harga!$C$50</f>
        <v>900000</v>
      </c>
      <c r="F50" s="36">
        <f>'I-O'!F50*Harga!$C$50</f>
        <v>900000</v>
      </c>
      <c r="G50" s="36">
        <f>'I-O'!G50*Harga!$C$50</f>
        <v>900000</v>
      </c>
      <c r="H50" s="36">
        <f>'I-O'!H50*Harga!$C$50</f>
        <v>900000</v>
      </c>
      <c r="I50" s="36">
        <f>'I-O'!I50*Harga!$C$50</f>
        <v>900000</v>
      </c>
      <c r="J50" s="36">
        <f>'I-O'!J50*Harga!$C$50</f>
        <v>900000</v>
      </c>
      <c r="K50" s="36">
        <f>'I-O'!K50*Harga!$C$50</f>
        <v>900000</v>
      </c>
      <c r="L50" s="36">
        <f>'I-O'!L50*Harga!$C$50</f>
        <v>900000</v>
      </c>
      <c r="M50" s="36">
        <f>'I-O'!M50*Harga!$C$50</f>
        <v>900000</v>
      </c>
      <c r="N50" s="36">
        <f>'I-O'!N50*Harga!$C$50</f>
        <v>900000</v>
      </c>
      <c r="O50" s="36">
        <f>'I-O'!O50*Harga!$C$50</f>
        <v>900000</v>
      </c>
      <c r="P50" s="36">
        <f>'I-O'!P50*Harga!$C$50</f>
        <v>900000</v>
      </c>
      <c r="Q50" s="36">
        <f>'I-O'!Q50*Harga!$C$50</f>
        <v>900000</v>
      </c>
      <c r="R50" s="36">
        <f>'I-O'!R50*Harga!$C$50</f>
        <v>900000</v>
      </c>
      <c r="S50" s="36">
        <f>'I-O'!S50*Harga!$C$50</f>
        <v>900000</v>
      </c>
      <c r="T50" s="36">
        <f>'I-O'!T50*Harga!$C$50</f>
        <v>900000</v>
      </c>
      <c r="U50" s="36">
        <f>'I-O'!U50*Harga!$C$50</f>
        <v>900000</v>
      </c>
      <c r="V50" s="36">
        <f>'I-O'!V50*Harga!$C$50</f>
        <v>900000</v>
      </c>
      <c r="W50" s="36">
        <f>'I-O'!W50*Harga!$C$50</f>
        <v>900000</v>
      </c>
      <c r="X50" s="36">
        <f>'I-O'!X50*Harga!$C$50</f>
        <v>900000</v>
      </c>
      <c r="Y50" s="36">
        <f>'I-O'!Y50*Harga!$C$50</f>
        <v>900000</v>
      </c>
      <c r="Z50" s="36">
        <f>'I-O'!Z50*Harga!$C$50</f>
        <v>900000</v>
      </c>
      <c r="AA50" s="202">
        <f>'I-O'!AA50*Harga!$C$50</f>
        <v>900000</v>
      </c>
      <c r="AB50" s="36">
        <f>'I-O'!AB50*Harga!$C$50</f>
        <v>900000</v>
      </c>
      <c r="AC50" s="36">
        <f>'I-O'!AC50*Harga!$C$50</f>
        <v>900000</v>
      </c>
      <c r="AD50" s="36">
        <f>'I-O'!AD50*Harga!$C$50</f>
        <v>900000</v>
      </c>
      <c r="AE50" s="36">
        <f>'I-O'!AE50*Harga!$C$50</f>
        <v>900000</v>
      </c>
      <c r="AF50" s="36">
        <f>'I-O'!AF50*Harga!$C$50</f>
        <v>900000</v>
      </c>
    </row>
    <row r="51" spans="1:32">
      <c r="A51" s="16" t="s">
        <v>143</v>
      </c>
      <c r="B51" s="8" t="s">
        <v>30</v>
      </c>
      <c r="C51" s="36">
        <f>'I-O'!C51*Harga!$C$51</f>
        <v>0</v>
      </c>
      <c r="D51" s="36">
        <f>'I-O'!D51*Harga!$C$51</f>
        <v>0</v>
      </c>
      <c r="E51" s="36">
        <f>'I-O'!E51*Harga!$C$51</f>
        <v>1050000</v>
      </c>
      <c r="F51" s="36">
        <f>'I-O'!F51*Harga!$C$51</f>
        <v>1050000</v>
      </c>
      <c r="G51" s="36">
        <f>'I-O'!G51*Harga!$C$51</f>
        <v>1050000</v>
      </c>
      <c r="H51" s="36">
        <f>'I-O'!H51*Harga!$C$51</f>
        <v>1050000</v>
      </c>
      <c r="I51" s="36">
        <f>'I-O'!I51*Harga!$C$51</f>
        <v>1050000</v>
      </c>
      <c r="J51" s="36">
        <f>'I-O'!J51*Harga!$C$51</f>
        <v>1050000</v>
      </c>
      <c r="K51" s="36">
        <f>'I-O'!K51*Harga!$C$51</f>
        <v>1050000</v>
      </c>
      <c r="L51" s="36">
        <f>'I-O'!L51*Harga!$C$51</f>
        <v>1050000</v>
      </c>
      <c r="M51" s="36">
        <f>'I-O'!M51*Harga!$C$51</f>
        <v>1050000</v>
      </c>
      <c r="N51" s="36">
        <f>'I-O'!N51*Harga!$C$51</f>
        <v>1050000</v>
      </c>
      <c r="O51" s="36">
        <f>'I-O'!O51*Harga!$C$51</f>
        <v>1050000</v>
      </c>
      <c r="P51" s="36">
        <f>'I-O'!P51*Harga!$C$51</f>
        <v>1050000</v>
      </c>
      <c r="Q51" s="36">
        <f>'I-O'!Q51*Harga!$C$51</f>
        <v>1050000</v>
      </c>
      <c r="R51" s="36">
        <f>'I-O'!R51*Harga!$C$51</f>
        <v>1050000</v>
      </c>
      <c r="S51" s="36">
        <f>'I-O'!S51*Harga!$C$51</f>
        <v>1050000</v>
      </c>
      <c r="T51" s="36">
        <f>'I-O'!T51*Harga!$C$51</f>
        <v>1050000</v>
      </c>
      <c r="U51" s="36">
        <f>'I-O'!U51*Harga!$C$51</f>
        <v>1050000</v>
      </c>
      <c r="V51" s="36">
        <f>'I-O'!V51*Harga!$C$51</f>
        <v>1050000</v>
      </c>
      <c r="W51" s="36">
        <f>'I-O'!W51*Harga!$C$51</f>
        <v>1050000</v>
      </c>
      <c r="X51" s="36">
        <f>'I-O'!X51*Harga!$C$51</f>
        <v>1050000</v>
      </c>
      <c r="Y51" s="36">
        <f>'I-O'!Y51*Harga!$C$51</f>
        <v>1050000</v>
      </c>
      <c r="Z51" s="36">
        <f>'I-O'!Z51*Harga!$C$51</f>
        <v>1050000</v>
      </c>
      <c r="AA51" s="202">
        <f>'I-O'!AA51*Harga!$C$51</f>
        <v>1050000</v>
      </c>
      <c r="AB51" s="36">
        <f>'I-O'!AB51*Harga!$C$51</f>
        <v>1050000</v>
      </c>
      <c r="AC51" s="36">
        <f>'I-O'!AC51*Harga!$C$51</f>
        <v>1050000</v>
      </c>
      <c r="AD51" s="36">
        <f>'I-O'!AD51*Harga!$C$51</f>
        <v>1050000</v>
      </c>
      <c r="AE51" s="36">
        <f>'I-O'!AE51*Harga!$C$51</f>
        <v>1050000</v>
      </c>
      <c r="AF51" s="36">
        <f>'I-O'!AF51*Harga!$C$51</f>
        <v>1050000</v>
      </c>
    </row>
    <row r="52" spans="1:32">
      <c r="A52" s="16" t="s">
        <v>233</v>
      </c>
      <c r="B52" s="8" t="s">
        <v>30</v>
      </c>
      <c r="C52" s="36">
        <f>'I-O'!C52*Harga!$C$52</f>
        <v>300000</v>
      </c>
      <c r="D52" s="36">
        <f>'I-O'!D52*Harga!$C$52</f>
        <v>300000</v>
      </c>
      <c r="E52" s="36">
        <f>'I-O'!E52*Harga!$C$52</f>
        <v>300000</v>
      </c>
      <c r="F52" s="36">
        <f>'I-O'!F52*Harga!$C$52</f>
        <v>300000</v>
      </c>
      <c r="G52" s="36">
        <f>'I-O'!G52*Harga!$C$52</f>
        <v>150000</v>
      </c>
      <c r="H52" s="36">
        <f>'I-O'!H52*Harga!$C$52</f>
        <v>150000</v>
      </c>
      <c r="I52" s="36">
        <f>'I-O'!I52*Harga!$C$52</f>
        <v>150000</v>
      </c>
      <c r="J52" s="36">
        <f>'I-O'!J52*Harga!$C$52</f>
        <v>150000</v>
      </c>
      <c r="K52" s="36">
        <f>'I-O'!K52*Harga!$C$52</f>
        <v>150000</v>
      </c>
      <c r="L52" s="36">
        <f>'I-O'!L52*Harga!$C$52</f>
        <v>150000</v>
      </c>
      <c r="M52" s="36">
        <f>'I-O'!M52*Harga!$C$52</f>
        <v>150000</v>
      </c>
      <c r="N52" s="36">
        <f>'I-O'!N52*Harga!$C$52</f>
        <v>150000</v>
      </c>
      <c r="O52" s="36">
        <f>'I-O'!O52*Harga!$C$52</f>
        <v>150000</v>
      </c>
      <c r="P52" s="36">
        <f>'I-O'!P52*Harga!$C$52</f>
        <v>150000</v>
      </c>
      <c r="Q52" s="36">
        <f>'I-O'!Q52*Harga!$C$52</f>
        <v>150000</v>
      </c>
      <c r="R52" s="36">
        <f>'I-O'!R52*Harga!$C$52</f>
        <v>150000</v>
      </c>
      <c r="S52" s="36">
        <f>'I-O'!S52*Harga!$C$52</f>
        <v>150000</v>
      </c>
      <c r="T52" s="36">
        <f>'I-O'!T52*Harga!$C$52</f>
        <v>150000</v>
      </c>
      <c r="U52" s="36">
        <f>'I-O'!U52*Harga!$C$52</f>
        <v>150000</v>
      </c>
      <c r="V52" s="36">
        <f>'I-O'!V52*Harga!$C$52</f>
        <v>150000</v>
      </c>
      <c r="W52" s="36">
        <f>'I-O'!W52*Harga!$C$52</f>
        <v>150000</v>
      </c>
      <c r="X52" s="36">
        <f>'I-O'!X52*Harga!$C$52</f>
        <v>150000</v>
      </c>
      <c r="Y52" s="36">
        <f>'I-O'!Y52*Harga!$C$52</f>
        <v>150000</v>
      </c>
      <c r="Z52" s="36">
        <f>'I-O'!Z52*Harga!$C$52</f>
        <v>150000</v>
      </c>
      <c r="AA52" s="202">
        <f>'I-O'!AA52*Harga!$C$52</f>
        <v>150000</v>
      </c>
      <c r="AB52" s="36">
        <f>'I-O'!AB52*Harga!$C$52</f>
        <v>150000</v>
      </c>
      <c r="AC52" s="36">
        <f>'I-O'!AC52*Harga!$C$52</f>
        <v>150000</v>
      </c>
      <c r="AD52" s="36">
        <f>'I-O'!AD52*Harga!$C$52</f>
        <v>150000</v>
      </c>
      <c r="AE52" s="36">
        <f>'I-O'!AE52*Harga!$C$52</f>
        <v>150000</v>
      </c>
      <c r="AF52" s="36">
        <f>'I-O'!AF52*Harga!$C$52</f>
        <v>150000</v>
      </c>
    </row>
    <row r="53" spans="1:32">
      <c r="A53" s="16" t="s">
        <v>234</v>
      </c>
      <c r="B53" s="8" t="s">
        <v>30</v>
      </c>
      <c r="C53" s="36">
        <f>'I-O'!C53*Harga!$C$53</f>
        <v>450000</v>
      </c>
      <c r="D53" s="36">
        <f>'I-O'!D53*Harga!$C$53</f>
        <v>450000</v>
      </c>
      <c r="E53" s="36">
        <f>'I-O'!E53*Harga!$C$53</f>
        <v>450000</v>
      </c>
      <c r="F53" s="36">
        <f>'I-O'!F53*Harga!$C$53</f>
        <v>450000</v>
      </c>
      <c r="G53" s="36">
        <f>'I-O'!G53*Harga!$C$53</f>
        <v>450000</v>
      </c>
      <c r="H53" s="36">
        <f>'I-O'!H53*Harga!$C$53</f>
        <v>450000</v>
      </c>
      <c r="I53" s="36">
        <f>'I-O'!I53*Harga!$C$53</f>
        <v>450000</v>
      </c>
      <c r="J53" s="36">
        <f>'I-O'!J53*Harga!$C$53</f>
        <v>450000</v>
      </c>
      <c r="K53" s="36">
        <f>'I-O'!K53*Harga!$C$53</f>
        <v>450000</v>
      </c>
      <c r="L53" s="36">
        <f>'I-O'!L53*Harga!$C$53</f>
        <v>450000</v>
      </c>
      <c r="M53" s="36">
        <f>'I-O'!M53*Harga!$C$53</f>
        <v>450000</v>
      </c>
      <c r="N53" s="36">
        <f>'I-O'!N53*Harga!$C$53</f>
        <v>450000</v>
      </c>
      <c r="O53" s="36">
        <f>'I-O'!O53*Harga!$C$53</f>
        <v>450000</v>
      </c>
      <c r="P53" s="36">
        <f>'I-O'!P53*Harga!$C$53</f>
        <v>450000</v>
      </c>
      <c r="Q53" s="36">
        <f>'I-O'!Q53*Harga!$C$53</f>
        <v>450000</v>
      </c>
      <c r="R53" s="36">
        <f>'I-O'!R53*Harga!$C$53</f>
        <v>450000</v>
      </c>
      <c r="S53" s="36">
        <f>'I-O'!S53*Harga!$C$53</f>
        <v>450000</v>
      </c>
      <c r="T53" s="36">
        <f>'I-O'!T53*Harga!$C$53</f>
        <v>450000</v>
      </c>
      <c r="U53" s="36">
        <f>'I-O'!U53*Harga!$C$53</f>
        <v>450000</v>
      </c>
      <c r="V53" s="36">
        <f>'I-O'!V53*Harga!$C$53</f>
        <v>450000</v>
      </c>
      <c r="W53" s="36">
        <f>'I-O'!W53*Harga!$C$53</f>
        <v>450000</v>
      </c>
      <c r="X53" s="36">
        <f>'I-O'!X53*Harga!$C$53</f>
        <v>450000</v>
      </c>
      <c r="Y53" s="36">
        <f>'I-O'!Y53*Harga!$C$53</f>
        <v>450000</v>
      </c>
      <c r="Z53" s="36">
        <f>'I-O'!Z53*Harga!$C$53</f>
        <v>450000</v>
      </c>
      <c r="AA53" s="202">
        <f>'I-O'!AA53*Harga!$C$53</f>
        <v>450000</v>
      </c>
      <c r="AB53" s="36">
        <f>'I-O'!AB53*Harga!$C$53</f>
        <v>450000</v>
      </c>
      <c r="AC53" s="36">
        <f>'I-O'!AC53*Harga!$C$53</f>
        <v>450000</v>
      </c>
      <c r="AD53" s="36">
        <f>'I-O'!AD53*Harga!$C$53</f>
        <v>450000</v>
      </c>
      <c r="AE53" s="36">
        <f>'I-O'!AE53*Harga!$C$53</f>
        <v>450000</v>
      </c>
      <c r="AF53" s="36">
        <f>'I-O'!AF53*Harga!$C$53</f>
        <v>450000</v>
      </c>
    </row>
    <row r="54" spans="1:32">
      <c r="A54" s="166" t="s">
        <v>239</v>
      </c>
      <c r="B54" s="8" t="s">
        <v>30</v>
      </c>
      <c r="C54" s="36">
        <f>'I-O'!C60*Harga!$C$54</f>
        <v>0</v>
      </c>
      <c r="D54" s="36">
        <f>'I-O'!D60*Harga!$C$54</f>
        <v>0</v>
      </c>
      <c r="E54" s="36">
        <f>'I-O'!E60*Harga!$C$54</f>
        <v>218412</v>
      </c>
      <c r="F54" s="36">
        <f>'I-O'!F60*Harga!$C$54</f>
        <v>396768</v>
      </c>
      <c r="G54" s="36">
        <f>'I-O'!G60*Harga!$C$54</f>
        <v>563003.99999999988</v>
      </c>
      <c r="H54" s="36">
        <f>'I-O'!H60*Harga!$C$54</f>
        <v>717120.00000000012</v>
      </c>
      <c r="I54" s="36">
        <f>'I-O'!I60*Harga!$C$54</f>
        <v>859116</v>
      </c>
      <c r="J54" s="36">
        <f>'I-O'!J60*Harga!$C$54</f>
        <v>988992</v>
      </c>
      <c r="K54" s="36">
        <f>'I-O'!K60*Harga!$C$54</f>
        <v>1106748</v>
      </c>
      <c r="L54" s="36">
        <f>'I-O'!L60*Harga!$C$54</f>
        <v>1212383.9999999998</v>
      </c>
      <c r="M54" s="36">
        <f>'I-O'!M60*Harga!$C$54</f>
        <v>1305900</v>
      </c>
      <c r="N54" s="36">
        <f>'I-O'!N60*Harga!$C$54</f>
        <v>1387295.9999999995</v>
      </c>
      <c r="O54" s="36">
        <f>'I-O'!O60*Harga!$C$54</f>
        <v>1456571.9999999998</v>
      </c>
      <c r="P54" s="36">
        <f>'I-O'!P60*Harga!$C$54</f>
        <v>1513728</v>
      </c>
      <c r="Q54" s="36">
        <f>'I-O'!Q60*Harga!$C$54</f>
        <v>1558764</v>
      </c>
      <c r="R54" s="36">
        <f>'I-O'!R60*Harga!$C$54</f>
        <v>1591680</v>
      </c>
      <c r="S54" s="36">
        <f>'I-O'!S60*Harga!$C$54</f>
        <v>1612476</v>
      </c>
      <c r="T54" s="36">
        <f>'I-O'!T60*Harga!$C$54</f>
        <v>1621151.9999999995</v>
      </c>
      <c r="U54" s="36">
        <f>'I-O'!U60*Harga!$C$54</f>
        <v>1617708.0000000002</v>
      </c>
      <c r="V54" s="36">
        <f>'I-O'!V60*Harga!$C$54</f>
        <v>1602143.9999999998</v>
      </c>
      <c r="W54" s="36">
        <f>'I-O'!W60*Harga!$C$54</f>
        <v>1574460.0000000005</v>
      </c>
      <c r="X54" s="36">
        <f>'I-O'!X60*Harga!$C$54</f>
        <v>1534655.9999999998</v>
      </c>
      <c r="Y54" s="36">
        <f>'I-O'!Y60*Harga!$C$54</f>
        <v>1482732.0000000002</v>
      </c>
      <c r="Z54" s="36">
        <f>'I-O'!Z60*Harga!$C$54</f>
        <v>1418687.9999999993</v>
      </c>
      <c r="AA54" s="202">
        <f>'I-O'!AA60*Harga!$C$54</f>
        <v>1342524</v>
      </c>
      <c r="AB54" s="36">
        <f>'I-O'!AB60*Harga!$C$54</f>
        <v>1254239.9999999993</v>
      </c>
      <c r="AC54" s="36">
        <f>'I-O'!AC60*Harga!$C$54</f>
        <v>1153836.0000000002</v>
      </c>
      <c r="AD54" s="36">
        <f>'I-O'!AD60*Harga!$C$54</f>
        <v>1041311.9999999995</v>
      </c>
      <c r="AE54" s="36">
        <f>'I-O'!AE60*Harga!$C$54</f>
        <v>916668.00000000058</v>
      </c>
      <c r="AF54" s="36">
        <f>'I-O'!AF60*Harga!$C$54</f>
        <v>779904</v>
      </c>
    </row>
    <row r="55" spans="1:32">
      <c r="A55" s="38" t="s">
        <v>107</v>
      </c>
      <c r="B55" s="8"/>
      <c r="C55" s="32">
        <f>SUM(C29:C54)</f>
        <v>4675000</v>
      </c>
      <c r="D55" s="32">
        <f t="shared" ref="D55:AF55" si="1">SUM(D29:D54)</f>
        <v>2250000</v>
      </c>
      <c r="E55" s="32">
        <f t="shared" si="1"/>
        <v>3518412</v>
      </c>
      <c r="F55" s="32">
        <f t="shared" si="1"/>
        <v>3696768</v>
      </c>
      <c r="G55" s="32">
        <f t="shared" si="1"/>
        <v>3713004</v>
      </c>
      <c r="H55" s="32">
        <f t="shared" si="1"/>
        <v>3867120</v>
      </c>
      <c r="I55" s="32">
        <f t="shared" si="1"/>
        <v>4009116</v>
      </c>
      <c r="J55" s="32">
        <f t="shared" si="1"/>
        <v>4138992</v>
      </c>
      <c r="K55" s="32">
        <f t="shared" si="1"/>
        <v>4256748</v>
      </c>
      <c r="L55" s="32">
        <f t="shared" si="1"/>
        <v>4362384</v>
      </c>
      <c r="M55" s="32">
        <f t="shared" si="1"/>
        <v>4455900</v>
      </c>
      <c r="N55" s="32">
        <f t="shared" si="1"/>
        <v>4537296</v>
      </c>
      <c r="O55" s="32">
        <f t="shared" si="1"/>
        <v>4606572</v>
      </c>
      <c r="P55" s="32">
        <f t="shared" si="1"/>
        <v>4663728</v>
      </c>
      <c r="Q55" s="32">
        <f t="shared" si="1"/>
        <v>4708764</v>
      </c>
      <c r="R55" s="32">
        <f t="shared" si="1"/>
        <v>4741680</v>
      </c>
      <c r="S55" s="32">
        <f t="shared" si="1"/>
        <v>4762476</v>
      </c>
      <c r="T55" s="32">
        <f t="shared" si="1"/>
        <v>4771152</v>
      </c>
      <c r="U55" s="32">
        <f t="shared" si="1"/>
        <v>4767708</v>
      </c>
      <c r="V55" s="32">
        <f t="shared" si="1"/>
        <v>4752144</v>
      </c>
      <c r="W55" s="32">
        <f t="shared" si="1"/>
        <v>4724460</v>
      </c>
      <c r="X55" s="32">
        <f t="shared" si="1"/>
        <v>4684656</v>
      </c>
      <c r="Y55" s="32">
        <f t="shared" si="1"/>
        <v>4632732</v>
      </c>
      <c r="Z55" s="32">
        <f t="shared" si="1"/>
        <v>4568687.9999999991</v>
      </c>
      <c r="AA55" s="252">
        <f t="shared" si="1"/>
        <v>4492524</v>
      </c>
      <c r="AB55" s="32">
        <f t="shared" si="1"/>
        <v>4404239.9999999991</v>
      </c>
      <c r="AC55" s="32">
        <f t="shared" si="1"/>
        <v>4303836</v>
      </c>
      <c r="AD55" s="32">
        <f t="shared" si="1"/>
        <v>4191311.9999999995</v>
      </c>
      <c r="AE55" s="32">
        <f t="shared" si="1"/>
        <v>4066668.0000000005</v>
      </c>
      <c r="AF55" s="32">
        <f t="shared" si="1"/>
        <v>3929904</v>
      </c>
    </row>
    <row r="56" spans="1:32">
      <c r="A56" s="37"/>
      <c r="B56" s="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252"/>
      <c r="AB56" s="32"/>
      <c r="AC56" s="32"/>
      <c r="AD56" s="32"/>
      <c r="AE56" s="32"/>
      <c r="AF56" s="32"/>
    </row>
    <row r="57" spans="1:32">
      <c r="A57" s="37" t="s">
        <v>105</v>
      </c>
      <c r="B57" s="8" t="s">
        <v>30</v>
      </c>
      <c r="C57" s="32">
        <f>C82</f>
        <v>0</v>
      </c>
      <c r="D57" s="32">
        <f t="shared" ref="D57:AA57" si="2">D82</f>
        <v>0</v>
      </c>
      <c r="E57" s="32">
        <f t="shared" si="2"/>
        <v>37946.653846153844</v>
      </c>
      <c r="F57" s="32">
        <f>F82</f>
        <v>7431.5</v>
      </c>
      <c r="G57" s="32">
        <f t="shared" si="2"/>
        <v>6926.5</v>
      </c>
      <c r="H57" s="32">
        <f t="shared" si="2"/>
        <v>6421.5000000000073</v>
      </c>
      <c r="I57" s="32">
        <f t="shared" si="2"/>
        <v>5916.4999999999927</v>
      </c>
      <c r="J57" s="32">
        <f t="shared" si="2"/>
        <v>5411.5</v>
      </c>
      <c r="K57" s="32">
        <f t="shared" si="2"/>
        <v>4906.5</v>
      </c>
      <c r="L57" s="32">
        <f t="shared" si="2"/>
        <v>4401.5</v>
      </c>
      <c r="M57" s="32">
        <f t="shared" si="2"/>
        <v>3896.5</v>
      </c>
      <c r="N57" s="32">
        <f t="shared" si="2"/>
        <v>3391.4999999999854</v>
      </c>
      <c r="O57" s="32">
        <f t="shared" si="2"/>
        <v>2886.5000000000146</v>
      </c>
      <c r="P57" s="32">
        <f t="shared" si="2"/>
        <v>2381.5</v>
      </c>
      <c r="Q57" s="32">
        <f t="shared" si="2"/>
        <v>1876.5</v>
      </c>
      <c r="R57" s="32">
        <f t="shared" si="2"/>
        <v>1371.5</v>
      </c>
      <c r="S57" s="32">
        <f t="shared" si="2"/>
        <v>866.5</v>
      </c>
      <c r="T57" s="32">
        <f t="shared" si="2"/>
        <v>361.49999999998545</v>
      </c>
      <c r="U57" s="32">
        <f t="shared" si="2"/>
        <v>-143.4999999999709</v>
      </c>
      <c r="V57" s="32">
        <f t="shared" si="2"/>
        <v>-648.5000000000291</v>
      </c>
      <c r="W57" s="32">
        <f t="shared" si="2"/>
        <v>-1153.4999999999709</v>
      </c>
      <c r="X57" s="32">
        <f t="shared" si="2"/>
        <v>-1658.5000000000146</v>
      </c>
      <c r="Y57" s="32">
        <f t="shared" si="2"/>
        <v>-2163.4999999999854</v>
      </c>
      <c r="Z57" s="32">
        <f t="shared" si="2"/>
        <v>-2668.5000000000437</v>
      </c>
      <c r="AA57" s="252">
        <f t="shared" si="2"/>
        <v>-3173.4999999999709</v>
      </c>
      <c r="AB57" s="32">
        <f>AB82</f>
        <v>-3678.5000000000291</v>
      </c>
      <c r="AC57" s="32">
        <f>AG82</f>
        <v>0</v>
      </c>
      <c r="AD57" s="32">
        <f>AD82</f>
        <v>-4688.5000000000291</v>
      </c>
      <c r="AE57" s="32">
        <f>AE82</f>
        <v>-5193.4999999999563</v>
      </c>
      <c r="AF57" s="32">
        <f>AF82</f>
        <v>-67040.653846153873</v>
      </c>
    </row>
    <row r="58" spans="1:32">
      <c r="A58" s="37"/>
      <c r="B58" s="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52"/>
      <c r="AB58" s="32"/>
      <c r="AC58" s="32"/>
      <c r="AD58" s="32"/>
      <c r="AE58" s="32"/>
      <c r="AF58" s="32"/>
    </row>
    <row r="59" spans="1:32" ht="15.75">
      <c r="A59" s="31" t="s">
        <v>172</v>
      </c>
      <c r="B59" s="239"/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53"/>
      <c r="AB59" s="241"/>
      <c r="AC59" s="241"/>
      <c r="AD59" s="241"/>
      <c r="AE59" s="241"/>
      <c r="AF59" s="241"/>
    </row>
    <row r="60" spans="1:32">
      <c r="A60" s="213" t="s">
        <v>319</v>
      </c>
      <c r="B60" s="214" t="s">
        <v>30</v>
      </c>
      <c r="C60" s="215">
        <f>'I-O'!C59*Harga!$C$57</f>
        <v>0</v>
      </c>
      <c r="D60" s="215">
        <f>'I-O'!D59*Harga!$C$57</f>
        <v>0</v>
      </c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54"/>
      <c r="AB60" s="215"/>
      <c r="AC60" s="215"/>
      <c r="AD60" s="215"/>
      <c r="AE60" s="215"/>
      <c r="AF60" s="215"/>
    </row>
    <row r="61" spans="1:32">
      <c r="A61" s="39" t="s">
        <v>33</v>
      </c>
      <c r="B61" s="40" t="s">
        <v>30</v>
      </c>
      <c r="C61" s="41">
        <f>'I-O'!C60*Harga!$C$58*1000</f>
        <v>0</v>
      </c>
      <c r="D61" s="41">
        <f>'I-O'!D60*Harga!$C$58*1000</f>
        <v>0</v>
      </c>
      <c r="E61" s="41">
        <f>'I-O'!E60*Harga!$C$58*1000</f>
        <v>2548140</v>
      </c>
      <c r="F61" s="41">
        <f>'I-O'!F60*Harga!$C$58*1000</f>
        <v>4628960</v>
      </c>
      <c r="G61" s="41">
        <f>'I-O'!G60*Harga!$C$58*1000</f>
        <v>6568379.9999999981</v>
      </c>
      <c r="H61" s="41">
        <f>'I-O'!H60*Harga!$C$58*1000</f>
        <v>8366400.0000000019</v>
      </c>
      <c r="I61" s="41">
        <f>'I-O'!I60*Harga!$C$58*1000</f>
        <v>10023020</v>
      </c>
      <c r="J61" s="41">
        <f>'I-O'!J60*Harga!$C$58*1000</f>
        <v>11538240</v>
      </c>
      <c r="K61" s="41">
        <f>'I-O'!K60*Harga!$C$58*1000</f>
        <v>12912060</v>
      </c>
      <c r="L61" s="41">
        <f>'I-O'!L60*Harga!$C$58*1000</f>
        <v>14144479.999999996</v>
      </c>
      <c r="M61" s="41">
        <f>'I-O'!M60*Harga!$C$58*1000</f>
        <v>15235500</v>
      </c>
      <c r="N61" s="41">
        <f>'I-O'!N60*Harga!$C$58*1000</f>
        <v>16185119.999999996</v>
      </c>
      <c r="O61" s="41">
        <f>'I-O'!O60*Harga!$C$58*1000</f>
        <v>16993339.999999996</v>
      </c>
      <c r="P61" s="41">
        <f>'I-O'!P60*Harga!$C$58*1000</f>
        <v>17660160</v>
      </c>
      <c r="Q61" s="41">
        <f>'I-O'!Q60*Harga!$C$58*1000</f>
        <v>18185579.999999996</v>
      </c>
      <c r="R61" s="41">
        <f>'I-O'!R60*Harga!$C$58*1000</f>
        <v>18569600</v>
      </c>
      <c r="S61" s="41">
        <f>'I-O'!S60*Harga!$C$58*1000</f>
        <v>18812220</v>
      </c>
      <c r="T61" s="41">
        <f>'I-O'!T60*Harga!$C$58*1000</f>
        <v>18913439.999999996</v>
      </c>
      <c r="U61" s="41">
        <f>'I-O'!U60*Harga!$C$58*1000</f>
        <v>18873260.000000004</v>
      </c>
      <c r="V61" s="41">
        <f>'I-O'!V60*Harga!$C$58*1000</f>
        <v>18691679.999999996</v>
      </c>
      <c r="W61" s="41">
        <f>'I-O'!W60*Harga!$C$58*1000</f>
        <v>18368700.000000004</v>
      </c>
      <c r="X61" s="41">
        <f>'I-O'!X60*Harga!$C$58*1000</f>
        <v>17904319.999999996</v>
      </c>
      <c r="Y61" s="41">
        <f>'I-O'!Y60*Harga!$C$58*1000</f>
        <v>17298540</v>
      </c>
      <c r="Z61" s="41">
        <f>'I-O'!Z60*Harga!$C$58*1000</f>
        <v>16551359.999999993</v>
      </c>
      <c r="AA61" s="255">
        <f>'I-O'!AA60*Harga!$C$58*1000</f>
        <v>15662779.999999998</v>
      </c>
      <c r="AB61" s="41">
        <f>'I-O'!AB60*Harga!$C$58*1000</f>
        <v>14632799.999999993</v>
      </c>
      <c r="AC61" s="41">
        <f>'I-O'!AC60*Harga!$C$58*1000</f>
        <v>13461420.000000002</v>
      </c>
      <c r="AD61" s="41">
        <f>'I-O'!AD60*Harga!$C$58*1000</f>
        <v>12148639.999999996</v>
      </c>
      <c r="AE61" s="41">
        <f>'I-O'!AE60*Harga!$C$58*1000</f>
        <v>10694460.000000006</v>
      </c>
      <c r="AF61" s="41">
        <f>'I-O'!AF60*Harga!$C$58*1000</f>
        <v>9098880.0000000019</v>
      </c>
    </row>
    <row r="62" spans="1:32">
      <c r="A62" s="216"/>
      <c r="B62" s="194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56"/>
      <c r="AB62" s="217"/>
      <c r="AC62" s="217"/>
      <c r="AD62" s="217"/>
      <c r="AE62" s="217"/>
      <c r="AF62" s="217"/>
    </row>
    <row r="63" spans="1:32">
      <c r="A63" s="218" t="s">
        <v>34</v>
      </c>
      <c r="B63" s="219" t="s">
        <v>30</v>
      </c>
      <c r="C63" s="220">
        <f>C60+C61</f>
        <v>0</v>
      </c>
      <c r="D63" s="220">
        <f t="shared" ref="D63:AF63" si="3">D60+D61</f>
        <v>0</v>
      </c>
      <c r="E63" s="220">
        <f t="shared" si="3"/>
        <v>2548140</v>
      </c>
      <c r="F63" s="220">
        <f t="shared" si="3"/>
        <v>4628960</v>
      </c>
      <c r="G63" s="220">
        <f t="shared" si="3"/>
        <v>6568379.9999999981</v>
      </c>
      <c r="H63" s="220">
        <f t="shared" si="3"/>
        <v>8366400.0000000019</v>
      </c>
      <c r="I63" s="220">
        <f t="shared" si="3"/>
        <v>10023020</v>
      </c>
      <c r="J63" s="220">
        <f t="shared" si="3"/>
        <v>11538240</v>
      </c>
      <c r="K63" s="220">
        <f t="shared" si="3"/>
        <v>12912060</v>
      </c>
      <c r="L63" s="220">
        <f t="shared" si="3"/>
        <v>14144479.999999996</v>
      </c>
      <c r="M63" s="220">
        <f t="shared" si="3"/>
        <v>15235500</v>
      </c>
      <c r="N63" s="220">
        <f t="shared" si="3"/>
        <v>16185119.999999996</v>
      </c>
      <c r="O63" s="220">
        <f t="shared" si="3"/>
        <v>16993339.999999996</v>
      </c>
      <c r="P63" s="220">
        <f t="shared" si="3"/>
        <v>17660160</v>
      </c>
      <c r="Q63" s="220">
        <f t="shared" si="3"/>
        <v>18185579.999999996</v>
      </c>
      <c r="R63" s="220">
        <f t="shared" si="3"/>
        <v>18569600</v>
      </c>
      <c r="S63" s="220">
        <f t="shared" si="3"/>
        <v>18812220</v>
      </c>
      <c r="T63" s="220">
        <f t="shared" si="3"/>
        <v>18913439.999999996</v>
      </c>
      <c r="U63" s="220">
        <f t="shared" si="3"/>
        <v>18873260.000000004</v>
      </c>
      <c r="V63" s="220">
        <f t="shared" si="3"/>
        <v>18691679.999999996</v>
      </c>
      <c r="W63" s="220">
        <f t="shared" si="3"/>
        <v>18368700.000000004</v>
      </c>
      <c r="X63" s="220">
        <f t="shared" si="3"/>
        <v>17904319.999999996</v>
      </c>
      <c r="Y63" s="220">
        <f t="shared" si="3"/>
        <v>17298540</v>
      </c>
      <c r="Z63" s="220">
        <f t="shared" si="3"/>
        <v>16551359.999999993</v>
      </c>
      <c r="AA63" s="257">
        <f t="shared" si="3"/>
        <v>15662779.999999998</v>
      </c>
      <c r="AB63" s="220">
        <f t="shared" si="3"/>
        <v>14632799.999999993</v>
      </c>
      <c r="AC63" s="220">
        <f t="shared" si="3"/>
        <v>13461420.000000002</v>
      </c>
      <c r="AD63" s="220">
        <f t="shared" si="3"/>
        <v>12148639.999999996</v>
      </c>
      <c r="AE63" s="220">
        <f t="shared" si="3"/>
        <v>10694460.000000006</v>
      </c>
      <c r="AF63" s="220">
        <f t="shared" si="3"/>
        <v>9098880.0000000019</v>
      </c>
    </row>
    <row r="64" spans="1:32">
      <c r="A64" s="218" t="s">
        <v>108</v>
      </c>
      <c r="B64" s="219" t="s">
        <v>30</v>
      </c>
      <c r="C64" s="220">
        <f t="shared" ref="C64:AF64" si="4">C25+C55+C57</f>
        <v>7745000</v>
      </c>
      <c r="D64" s="220">
        <f t="shared" si="4"/>
        <v>3269000</v>
      </c>
      <c r="E64" s="220">
        <f t="shared" si="4"/>
        <v>4850358.653846154</v>
      </c>
      <c r="F64" s="220">
        <f t="shared" si="4"/>
        <v>4708199.5</v>
      </c>
      <c r="G64" s="220">
        <f t="shared" si="4"/>
        <v>5117930.5</v>
      </c>
      <c r="H64" s="220">
        <f t="shared" si="4"/>
        <v>5131541.5</v>
      </c>
      <c r="I64" s="220">
        <f t="shared" si="4"/>
        <v>4798032.5</v>
      </c>
      <c r="J64" s="220">
        <f t="shared" si="4"/>
        <v>5256403.5</v>
      </c>
      <c r="K64" s="220">
        <f t="shared" si="4"/>
        <v>5498654.5</v>
      </c>
      <c r="L64" s="220">
        <f t="shared" si="4"/>
        <v>5728785.5</v>
      </c>
      <c r="M64" s="220">
        <f t="shared" si="4"/>
        <v>5396796.5</v>
      </c>
      <c r="N64" s="220">
        <f t="shared" si="4"/>
        <v>5952687.5</v>
      </c>
      <c r="O64" s="220">
        <f t="shared" si="4"/>
        <v>5546458.5</v>
      </c>
      <c r="P64" s="220">
        <f t="shared" si="4"/>
        <v>5778109.5</v>
      </c>
      <c r="Q64" s="220">
        <f t="shared" si="4"/>
        <v>6197640.5</v>
      </c>
      <c r="R64" s="220">
        <f t="shared" si="4"/>
        <v>5855051.5</v>
      </c>
      <c r="S64" s="220">
        <f t="shared" si="4"/>
        <v>5700342.5</v>
      </c>
      <c r="T64" s="220">
        <f t="shared" si="4"/>
        <v>6183513.5</v>
      </c>
      <c r="U64" s="220">
        <f t="shared" si="4"/>
        <v>5704564.5</v>
      </c>
      <c r="V64" s="220">
        <f t="shared" si="4"/>
        <v>6113495.5</v>
      </c>
      <c r="W64" s="220">
        <f t="shared" si="4"/>
        <v>5960306.5</v>
      </c>
      <c r="X64" s="220">
        <f t="shared" si="4"/>
        <v>5794997.5</v>
      </c>
      <c r="Y64" s="220">
        <f t="shared" si="4"/>
        <v>5567568.5</v>
      </c>
      <c r="Z64" s="220">
        <f t="shared" si="4"/>
        <v>5978019.4999999991</v>
      </c>
      <c r="AA64" s="257">
        <f t="shared" si="4"/>
        <v>5676350.5</v>
      </c>
      <c r="AB64" s="220">
        <f t="shared" si="4"/>
        <v>5512561.4999999991</v>
      </c>
      <c r="AC64" s="220">
        <f t="shared" si="4"/>
        <v>5540836</v>
      </c>
      <c r="AD64" s="220">
        <f t="shared" si="4"/>
        <v>5298623.5</v>
      </c>
      <c r="AE64" s="220">
        <f t="shared" si="4"/>
        <v>4998474.5</v>
      </c>
      <c r="AF64" s="220">
        <f t="shared" si="4"/>
        <v>5524863.346153846</v>
      </c>
    </row>
    <row r="65" spans="1:33" s="42" customFormat="1" ht="13.5" thickBot="1">
      <c r="A65" s="221" t="s">
        <v>109</v>
      </c>
      <c r="B65" s="222"/>
      <c r="C65" s="223">
        <f>C63-C64</f>
        <v>-7745000</v>
      </c>
      <c r="D65" s="223">
        <f t="shared" ref="D65:AF65" si="5">D63-D64</f>
        <v>-3269000</v>
      </c>
      <c r="E65" s="223">
        <f t="shared" si="5"/>
        <v>-2302218.653846154</v>
      </c>
      <c r="F65" s="223">
        <f t="shared" si="5"/>
        <v>-79239.5</v>
      </c>
      <c r="G65" s="223">
        <f t="shared" si="5"/>
        <v>1450449.4999999981</v>
      </c>
      <c r="H65" s="223">
        <f t="shared" si="5"/>
        <v>3234858.5000000019</v>
      </c>
      <c r="I65" s="223">
        <f t="shared" si="5"/>
        <v>5224987.5</v>
      </c>
      <c r="J65" s="223">
        <f t="shared" si="5"/>
        <v>6281836.5</v>
      </c>
      <c r="K65" s="223">
        <f t="shared" si="5"/>
        <v>7413405.5</v>
      </c>
      <c r="L65" s="223">
        <f t="shared" si="5"/>
        <v>8415694.4999999963</v>
      </c>
      <c r="M65" s="223">
        <f t="shared" si="5"/>
        <v>9838703.5</v>
      </c>
      <c r="N65" s="223">
        <f t="shared" si="5"/>
        <v>10232432.499999996</v>
      </c>
      <c r="O65" s="223">
        <f t="shared" si="5"/>
        <v>11446881.499999996</v>
      </c>
      <c r="P65" s="223">
        <f t="shared" si="5"/>
        <v>11882050.5</v>
      </c>
      <c r="Q65" s="223">
        <f t="shared" si="5"/>
        <v>11987939.499999996</v>
      </c>
      <c r="R65" s="223">
        <f t="shared" si="5"/>
        <v>12714548.5</v>
      </c>
      <c r="S65" s="223">
        <f t="shared" si="5"/>
        <v>13111877.5</v>
      </c>
      <c r="T65" s="223">
        <f t="shared" si="5"/>
        <v>12729926.499999996</v>
      </c>
      <c r="U65" s="223">
        <f t="shared" si="5"/>
        <v>13168695.500000004</v>
      </c>
      <c r="V65" s="223">
        <f t="shared" si="5"/>
        <v>12578184.499999996</v>
      </c>
      <c r="W65" s="223">
        <f t="shared" si="5"/>
        <v>12408393.500000004</v>
      </c>
      <c r="X65" s="223">
        <f t="shared" si="5"/>
        <v>12109322.499999996</v>
      </c>
      <c r="Y65" s="223">
        <f t="shared" si="5"/>
        <v>11730971.5</v>
      </c>
      <c r="Z65" s="223">
        <f t="shared" si="5"/>
        <v>10573340.499999993</v>
      </c>
      <c r="AA65" s="258">
        <f t="shared" si="5"/>
        <v>9986429.4999999981</v>
      </c>
      <c r="AB65" s="223">
        <f t="shared" si="5"/>
        <v>9120238.4999999925</v>
      </c>
      <c r="AC65" s="223">
        <f t="shared" si="5"/>
        <v>7920584.0000000019</v>
      </c>
      <c r="AD65" s="223">
        <f t="shared" si="5"/>
        <v>6850016.4999999963</v>
      </c>
      <c r="AE65" s="223">
        <f t="shared" si="5"/>
        <v>5695985.5000000056</v>
      </c>
      <c r="AF65" s="223">
        <f t="shared" si="5"/>
        <v>3574016.6538461559</v>
      </c>
      <c r="AG65" s="209"/>
    </row>
    <row r="66" spans="1:33" s="42" customFormat="1">
      <c r="A66" s="246"/>
      <c r="B66" s="247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09"/>
    </row>
    <row r="67" spans="1:33">
      <c r="C67" s="210"/>
    </row>
    <row r="68" spans="1:33">
      <c r="A68" s="64" t="s">
        <v>141</v>
      </c>
      <c r="B68" s="68">
        <f>IRR(C65:AF65,Asumsi!D49)</f>
        <v>0.25863120900524295</v>
      </c>
      <c r="C68" s="210"/>
    </row>
    <row r="69" spans="1:33">
      <c r="A69" s="64" t="s">
        <v>127</v>
      </c>
      <c r="B69" s="53">
        <f>NPV(Asumsi!D58,C64:E64)</f>
        <v>15864358.653846154</v>
      </c>
      <c r="C69" s="3"/>
    </row>
    <row r="70" spans="1:33">
      <c r="A70" s="64" t="s">
        <v>128</v>
      </c>
      <c r="B70" s="65">
        <f>COUNTIF(C65:AA65,"&lt;=0")+1</f>
        <v>5</v>
      </c>
      <c r="C70" s="3"/>
    </row>
    <row r="71" spans="1:33">
      <c r="A71" s="64" t="s">
        <v>129</v>
      </c>
      <c r="B71" s="53">
        <f>SUM(C64:E64)</f>
        <v>15864358.653846154</v>
      </c>
      <c r="C71" s="53" t="s">
        <v>30</v>
      </c>
    </row>
    <row r="72" spans="1:33">
      <c r="A72" s="64" t="s">
        <v>130</v>
      </c>
      <c r="B72" s="53">
        <f>AVERAGE(C64:E64)</f>
        <v>5288119.551282051</v>
      </c>
      <c r="C72" s="53" t="s">
        <v>131</v>
      </c>
    </row>
    <row r="73" spans="1:33">
      <c r="A73" s="303" t="s">
        <v>332</v>
      </c>
      <c r="B73" s="304">
        <f>SUM(C64:AF64)</f>
        <v>166385167.5</v>
      </c>
      <c r="C73" s="210"/>
    </row>
    <row r="74" spans="1:33">
      <c r="A74" s="305" t="s">
        <v>333</v>
      </c>
      <c r="B74" s="304">
        <f>SUM(C55:AF55)</f>
        <v>129253984</v>
      </c>
      <c r="C74" s="210"/>
    </row>
    <row r="75" spans="1:33">
      <c r="A75" s="305" t="s">
        <v>334</v>
      </c>
      <c r="B75" s="304">
        <f>B73-B74</f>
        <v>37131183.5</v>
      </c>
      <c r="C75" s="210"/>
    </row>
    <row r="76" spans="1:33">
      <c r="C76" s="210"/>
    </row>
    <row r="77" spans="1:33">
      <c r="A77" s="43" t="s">
        <v>100</v>
      </c>
    </row>
    <row r="78" spans="1:33">
      <c r="A78" s="44" t="s">
        <v>259</v>
      </c>
    </row>
    <row r="79" spans="1:33" s="24" customFormat="1">
      <c r="A79" s="45" t="s">
        <v>28</v>
      </c>
      <c r="B79" s="46"/>
      <c r="E79" s="24">
        <f>E54/24</f>
        <v>9100.5</v>
      </c>
      <c r="F79" s="24">
        <f t="shared" ref="F79:AF79" si="6">F54/24</f>
        <v>16532</v>
      </c>
      <c r="G79" s="24">
        <f t="shared" si="6"/>
        <v>23458.499999999996</v>
      </c>
      <c r="H79" s="24">
        <f t="shared" si="6"/>
        <v>29880.000000000004</v>
      </c>
      <c r="I79" s="24">
        <f t="shared" si="6"/>
        <v>35796.5</v>
      </c>
      <c r="J79" s="24">
        <f t="shared" si="6"/>
        <v>41208</v>
      </c>
      <c r="K79" s="24">
        <f t="shared" si="6"/>
        <v>46114.5</v>
      </c>
      <c r="L79" s="24">
        <f t="shared" si="6"/>
        <v>50515.999999999993</v>
      </c>
      <c r="M79" s="24">
        <f t="shared" si="6"/>
        <v>54412.5</v>
      </c>
      <c r="N79" s="24">
        <f t="shared" si="6"/>
        <v>57803.999999999978</v>
      </c>
      <c r="O79" s="24">
        <f t="shared" si="6"/>
        <v>60690.499999999993</v>
      </c>
      <c r="P79" s="24">
        <f t="shared" si="6"/>
        <v>63072</v>
      </c>
      <c r="Q79" s="24">
        <f t="shared" si="6"/>
        <v>64948.5</v>
      </c>
      <c r="R79" s="24">
        <f t="shared" si="6"/>
        <v>66320</v>
      </c>
      <c r="S79" s="24">
        <f t="shared" si="6"/>
        <v>67186.5</v>
      </c>
      <c r="T79" s="24">
        <f t="shared" si="6"/>
        <v>67547.999999999985</v>
      </c>
      <c r="U79" s="24">
        <f t="shared" si="6"/>
        <v>67404.500000000015</v>
      </c>
      <c r="V79" s="24">
        <f t="shared" si="6"/>
        <v>66755.999999999985</v>
      </c>
      <c r="W79" s="24">
        <f t="shared" si="6"/>
        <v>65602.500000000015</v>
      </c>
      <c r="X79" s="24">
        <f t="shared" si="6"/>
        <v>63943.999999999993</v>
      </c>
      <c r="Y79" s="24">
        <f t="shared" si="6"/>
        <v>61780.500000000007</v>
      </c>
      <c r="Z79" s="24">
        <f t="shared" si="6"/>
        <v>59111.999999999971</v>
      </c>
      <c r="AA79" s="24">
        <f t="shared" si="6"/>
        <v>55938.5</v>
      </c>
      <c r="AB79" s="24">
        <f t="shared" si="6"/>
        <v>52259.999999999971</v>
      </c>
      <c r="AC79" s="24">
        <f t="shared" si="6"/>
        <v>48076.500000000007</v>
      </c>
      <c r="AD79" s="24">
        <f t="shared" si="6"/>
        <v>43387.999999999978</v>
      </c>
      <c r="AE79" s="24">
        <f t="shared" si="6"/>
        <v>38194.500000000022</v>
      </c>
      <c r="AF79" s="24">
        <f t="shared" si="6"/>
        <v>32496</v>
      </c>
    </row>
    <row r="80" spans="1:33">
      <c r="A80" s="25" t="s">
        <v>103</v>
      </c>
      <c r="C80" s="24">
        <f t="shared" ref="C80:AF80" si="7">IF(C79&gt;0,C53+C51,0)/52</f>
        <v>0</v>
      </c>
      <c r="D80" s="24">
        <f t="shared" si="7"/>
        <v>0</v>
      </c>
      <c r="E80" s="24">
        <f t="shared" si="7"/>
        <v>28846.153846153848</v>
      </c>
      <c r="F80" s="24">
        <f t="shared" si="7"/>
        <v>28846.153846153848</v>
      </c>
      <c r="G80" s="24">
        <f t="shared" si="7"/>
        <v>28846.153846153848</v>
      </c>
      <c r="H80" s="24">
        <f t="shared" si="7"/>
        <v>28846.153846153848</v>
      </c>
      <c r="I80" s="24">
        <f t="shared" si="7"/>
        <v>28846.153846153848</v>
      </c>
      <c r="J80" s="24">
        <f t="shared" si="7"/>
        <v>28846.153846153848</v>
      </c>
      <c r="K80" s="24">
        <f t="shared" si="7"/>
        <v>28846.153846153848</v>
      </c>
      <c r="L80" s="24">
        <f t="shared" si="7"/>
        <v>28846.153846153848</v>
      </c>
      <c r="M80" s="24">
        <f t="shared" si="7"/>
        <v>28846.153846153848</v>
      </c>
      <c r="N80" s="24">
        <f t="shared" si="7"/>
        <v>28846.153846153848</v>
      </c>
      <c r="O80" s="24">
        <f t="shared" si="7"/>
        <v>28846.153846153848</v>
      </c>
      <c r="P80" s="24">
        <f t="shared" si="7"/>
        <v>28846.153846153848</v>
      </c>
      <c r="Q80" s="24">
        <f t="shared" si="7"/>
        <v>28846.153846153848</v>
      </c>
      <c r="R80" s="24">
        <f t="shared" si="7"/>
        <v>28846.153846153848</v>
      </c>
      <c r="S80" s="24">
        <f t="shared" si="7"/>
        <v>28846.153846153848</v>
      </c>
      <c r="T80" s="24">
        <f t="shared" si="7"/>
        <v>28846.153846153848</v>
      </c>
      <c r="U80" s="24">
        <f t="shared" si="7"/>
        <v>28846.153846153848</v>
      </c>
      <c r="V80" s="24">
        <f t="shared" si="7"/>
        <v>28846.153846153848</v>
      </c>
      <c r="W80" s="24">
        <f t="shared" si="7"/>
        <v>28846.153846153848</v>
      </c>
      <c r="X80" s="24">
        <f t="shared" si="7"/>
        <v>28846.153846153848</v>
      </c>
      <c r="Y80" s="24">
        <f t="shared" si="7"/>
        <v>28846.153846153848</v>
      </c>
      <c r="Z80" s="24">
        <f t="shared" si="7"/>
        <v>28846.153846153848</v>
      </c>
      <c r="AA80" s="24">
        <f t="shared" si="7"/>
        <v>28846.153846153848</v>
      </c>
      <c r="AB80" s="24">
        <f t="shared" si="7"/>
        <v>28846.153846153848</v>
      </c>
      <c r="AC80" s="24">
        <f t="shared" si="7"/>
        <v>28846.153846153848</v>
      </c>
      <c r="AD80" s="24">
        <f t="shared" si="7"/>
        <v>28846.153846153848</v>
      </c>
      <c r="AE80" s="24">
        <f t="shared" si="7"/>
        <v>28846.153846153848</v>
      </c>
      <c r="AF80" s="24">
        <f t="shared" si="7"/>
        <v>28846.153846153848</v>
      </c>
    </row>
    <row r="81" spans="1:33">
      <c r="A81" s="25" t="s">
        <v>101</v>
      </c>
      <c r="C81" s="24">
        <f>SUM(C79:C80)</f>
        <v>0</v>
      </c>
      <c r="D81" s="24">
        <f t="shared" ref="D81:AF81" si="8">SUM(D79:D80)</f>
        <v>0</v>
      </c>
      <c r="E81" s="24">
        <f t="shared" si="8"/>
        <v>37946.653846153844</v>
      </c>
      <c r="F81" s="24">
        <f t="shared" si="8"/>
        <v>45378.153846153844</v>
      </c>
      <c r="G81" s="24">
        <f t="shared" si="8"/>
        <v>52304.653846153844</v>
      </c>
      <c r="H81" s="24">
        <f t="shared" si="8"/>
        <v>58726.153846153851</v>
      </c>
      <c r="I81" s="24">
        <f t="shared" si="8"/>
        <v>64642.653846153844</v>
      </c>
      <c r="J81" s="24">
        <f t="shared" si="8"/>
        <v>70054.153846153844</v>
      </c>
      <c r="K81" s="24">
        <f t="shared" si="8"/>
        <v>74960.653846153844</v>
      </c>
      <c r="L81" s="24">
        <f t="shared" si="8"/>
        <v>79362.153846153844</v>
      </c>
      <c r="M81" s="24">
        <f t="shared" si="8"/>
        <v>83258.653846153844</v>
      </c>
      <c r="N81" s="24">
        <f t="shared" si="8"/>
        <v>86650.153846153829</v>
      </c>
      <c r="O81" s="24">
        <f t="shared" si="8"/>
        <v>89536.653846153844</v>
      </c>
      <c r="P81" s="24">
        <f t="shared" si="8"/>
        <v>91918.153846153844</v>
      </c>
      <c r="Q81" s="24">
        <f t="shared" si="8"/>
        <v>93794.653846153844</v>
      </c>
      <c r="R81" s="24">
        <f t="shared" si="8"/>
        <v>95166.153846153844</v>
      </c>
      <c r="S81" s="24">
        <f t="shared" si="8"/>
        <v>96032.653846153844</v>
      </c>
      <c r="T81" s="24">
        <f t="shared" si="8"/>
        <v>96394.153846153829</v>
      </c>
      <c r="U81" s="24">
        <f t="shared" si="8"/>
        <v>96250.653846153858</v>
      </c>
      <c r="V81" s="24">
        <f t="shared" si="8"/>
        <v>95602.153846153829</v>
      </c>
      <c r="W81" s="24">
        <f t="shared" si="8"/>
        <v>94448.653846153858</v>
      </c>
      <c r="X81" s="24">
        <f t="shared" si="8"/>
        <v>92790.153846153844</v>
      </c>
      <c r="Y81" s="24">
        <f t="shared" si="8"/>
        <v>90626.653846153858</v>
      </c>
      <c r="Z81" s="24">
        <f t="shared" si="8"/>
        <v>87958.153846153815</v>
      </c>
      <c r="AA81" s="24">
        <f t="shared" si="8"/>
        <v>84784.653846153844</v>
      </c>
      <c r="AB81" s="24">
        <f t="shared" si="8"/>
        <v>81106.153846153815</v>
      </c>
      <c r="AC81" s="24">
        <f t="shared" si="8"/>
        <v>76922.653846153858</v>
      </c>
      <c r="AD81" s="24">
        <f t="shared" si="8"/>
        <v>72234.153846153829</v>
      </c>
      <c r="AE81" s="24">
        <f t="shared" si="8"/>
        <v>67040.653846153873</v>
      </c>
      <c r="AF81" s="24">
        <f t="shared" si="8"/>
        <v>61342.153846153844</v>
      </c>
      <c r="AG81" s="3" t="s">
        <v>47</v>
      </c>
    </row>
    <row r="82" spans="1:33">
      <c r="A82" s="25" t="s">
        <v>102</v>
      </c>
      <c r="C82" s="24">
        <f>C81</f>
        <v>0</v>
      </c>
      <c r="D82" s="24">
        <f t="shared" ref="D82:Z82" si="9">D81-C81</f>
        <v>0</v>
      </c>
      <c r="E82" s="24">
        <f t="shared" si="9"/>
        <v>37946.653846153844</v>
      </c>
      <c r="F82" s="24">
        <f t="shared" si="9"/>
        <v>7431.5</v>
      </c>
      <c r="G82" s="24">
        <f t="shared" si="9"/>
        <v>6926.5</v>
      </c>
      <c r="H82" s="24">
        <f t="shared" si="9"/>
        <v>6421.5000000000073</v>
      </c>
      <c r="I82" s="24">
        <f t="shared" si="9"/>
        <v>5916.4999999999927</v>
      </c>
      <c r="J82" s="24">
        <f t="shared" si="9"/>
        <v>5411.5</v>
      </c>
      <c r="K82" s="24">
        <f t="shared" si="9"/>
        <v>4906.5</v>
      </c>
      <c r="L82" s="24">
        <f t="shared" si="9"/>
        <v>4401.5</v>
      </c>
      <c r="M82" s="24">
        <f t="shared" si="9"/>
        <v>3896.5</v>
      </c>
      <c r="N82" s="24">
        <f t="shared" si="9"/>
        <v>3391.4999999999854</v>
      </c>
      <c r="O82" s="24">
        <f t="shared" si="9"/>
        <v>2886.5000000000146</v>
      </c>
      <c r="P82" s="24">
        <f t="shared" si="9"/>
        <v>2381.5</v>
      </c>
      <c r="Q82" s="24">
        <f t="shared" si="9"/>
        <v>1876.5</v>
      </c>
      <c r="R82" s="24">
        <f t="shared" si="9"/>
        <v>1371.5</v>
      </c>
      <c r="S82" s="24">
        <f t="shared" si="9"/>
        <v>866.5</v>
      </c>
      <c r="T82" s="24">
        <f t="shared" si="9"/>
        <v>361.49999999998545</v>
      </c>
      <c r="U82" s="24">
        <f t="shared" si="9"/>
        <v>-143.4999999999709</v>
      </c>
      <c r="V82" s="24">
        <f t="shared" si="9"/>
        <v>-648.5000000000291</v>
      </c>
      <c r="W82" s="24">
        <f t="shared" si="9"/>
        <v>-1153.4999999999709</v>
      </c>
      <c r="X82" s="24">
        <f t="shared" si="9"/>
        <v>-1658.5000000000146</v>
      </c>
      <c r="Y82" s="24">
        <f t="shared" si="9"/>
        <v>-2163.4999999999854</v>
      </c>
      <c r="Z82" s="24">
        <f t="shared" si="9"/>
        <v>-2668.5000000000437</v>
      </c>
      <c r="AA82" s="24">
        <f>AA81-Z81</f>
        <v>-3173.4999999999709</v>
      </c>
      <c r="AB82" s="24">
        <f>AB81-AA81</f>
        <v>-3678.5000000000291</v>
      </c>
      <c r="AC82" s="24">
        <f>AC81-AB81</f>
        <v>-4183.4999999999563</v>
      </c>
      <c r="AD82" s="24">
        <f>AD81-AC81</f>
        <v>-4688.5000000000291</v>
      </c>
      <c r="AE82" s="24">
        <f>AE81-AD81</f>
        <v>-5193.4999999999563</v>
      </c>
      <c r="AF82" s="24">
        <f>AF81-AE81-AF81</f>
        <v>-67040.653846153873</v>
      </c>
      <c r="AG82" s="24">
        <f>SUM(C82:AF82)</f>
        <v>0</v>
      </c>
    </row>
    <row r="85" spans="1:33">
      <c r="AC85" s="3" t="s">
        <v>115</v>
      </c>
    </row>
    <row r="86" spans="1:33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C86" s="24"/>
    </row>
    <row r="88" spans="1:33">
      <c r="F88" s="2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H86"/>
  <sheetViews>
    <sheetView zoomScaleNormal="100" workbookViewId="0">
      <pane xSplit="1" ySplit="4" topLeftCell="B59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RowHeight="12.75"/>
  <cols>
    <col min="1" max="1" width="25.140625" style="25" customWidth="1"/>
    <col min="2" max="2" width="10.7109375" style="2" customWidth="1"/>
    <col min="3" max="3" width="10.85546875" style="24" customWidth="1"/>
    <col min="4" max="4" width="10" style="3" bestFit="1" customWidth="1"/>
    <col min="5" max="5" width="15.85546875" style="3" customWidth="1"/>
    <col min="6" max="29" width="10.42578125" style="3" bestFit="1" customWidth="1"/>
    <col min="30" max="30" width="11.42578125" style="3" customWidth="1"/>
    <col min="31" max="32" width="10.42578125" style="3" bestFit="1" customWidth="1"/>
    <col min="33" max="33" width="12.42578125" style="3" customWidth="1"/>
    <col min="34" max="16384" width="9.140625" style="3"/>
  </cols>
  <sheetData>
    <row r="1" spans="1:32" ht="15.75">
      <c r="A1" s="23" t="s">
        <v>119</v>
      </c>
    </row>
    <row r="2" spans="1:32" ht="15.75">
      <c r="A2" s="23"/>
    </row>
    <row r="3" spans="1:32" ht="13.5" thickBot="1"/>
    <row r="4" spans="1:32" s="47" customFormat="1" ht="31.5" customHeight="1" thickBot="1">
      <c r="A4" s="26" t="s">
        <v>31</v>
      </c>
      <c r="B4" s="27" t="s">
        <v>32</v>
      </c>
      <c r="C4" s="28" t="s">
        <v>61</v>
      </c>
      <c r="D4" s="27" t="s">
        <v>62</v>
      </c>
      <c r="E4" s="27" t="s">
        <v>63</v>
      </c>
      <c r="F4" s="27" t="s">
        <v>64</v>
      </c>
      <c r="G4" s="27" t="s">
        <v>65</v>
      </c>
      <c r="H4" s="27" t="s">
        <v>66</v>
      </c>
      <c r="I4" s="27" t="s">
        <v>67</v>
      </c>
      <c r="J4" s="27" t="s">
        <v>68</v>
      </c>
      <c r="K4" s="27" t="s">
        <v>99</v>
      </c>
      <c r="L4" s="27" t="s">
        <v>70</v>
      </c>
      <c r="M4" s="27" t="s">
        <v>71</v>
      </c>
      <c r="N4" s="27" t="s">
        <v>72</v>
      </c>
      <c r="O4" s="27" t="s">
        <v>73</v>
      </c>
      <c r="P4" s="27" t="s">
        <v>74</v>
      </c>
      <c r="Q4" s="27" t="s">
        <v>75</v>
      </c>
      <c r="R4" s="27" t="s">
        <v>76</v>
      </c>
      <c r="S4" s="27" t="s">
        <v>77</v>
      </c>
      <c r="T4" s="27" t="s">
        <v>78</v>
      </c>
      <c r="U4" s="27" t="s">
        <v>79</v>
      </c>
      <c r="V4" s="27" t="s">
        <v>80</v>
      </c>
      <c r="W4" s="27" t="s">
        <v>81</v>
      </c>
      <c r="X4" s="27" t="s">
        <v>82</v>
      </c>
      <c r="Y4" s="27" t="s">
        <v>83</v>
      </c>
      <c r="Z4" s="27" t="s">
        <v>84</v>
      </c>
      <c r="AA4" s="29" t="s">
        <v>85</v>
      </c>
      <c r="AB4" s="212" t="s">
        <v>178</v>
      </c>
      <c r="AC4" s="212" t="s">
        <v>179</v>
      </c>
      <c r="AD4" s="212" t="s">
        <v>180</v>
      </c>
      <c r="AE4" s="212" t="s">
        <v>181</v>
      </c>
      <c r="AF4" s="212" t="s">
        <v>182</v>
      </c>
    </row>
    <row r="5" spans="1:32" ht="15.75">
      <c r="A5" s="31" t="s">
        <v>25</v>
      </c>
      <c r="B5" s="239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4"/>
      <c r="AB5" s="243"/>
      <c r="AC5" s="243"/>
      <c r="AD5" s="243"/>
      <c r="AE5" s="243"/>
      <c r="AF5" s="243"/>
    </row>
    <row r="6" spans="1:32">
      <c r="A6" s="33" t="s">
        <v>86</v>
      </c>
      <c r="B6" s="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211"/>
      <c r="AB6" s="48"/>
      <c r="AC6" s="48"/>
      <c r="AD6" s="48"/>
      <c r="AE6" s="48"/>
      <c r="AF6" s="48"/>
    </row>
    <row r="7" spans="1:32">
      <c r="A7" s="9" t="s">
        <v>165</v>
      </c>
      <c r="B7" s="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211"/>
      <c r="AB7" s="48"/>
      <c r="AC7" s="48"/>
      <c r="AD7" s="48"/>
      <c r="AE7" s="48"/>
      <c r="AF7" s="48"/>
    </row>
    <row r="8" spans="1:32">
      <c r="A8" s="11" t="s">
        <v>27</v>
      </c>
      <c r="B8" s="8" t="s">
        <v>30</v>
      </c>
      <c r="C8" s="49">
        <f>'I-O'!C8*Harga!$D$8</f>
        <v>140000</v>
      </c>
      <c r="D8" s="49">
        <f>'I-O'!D8*Harga!$D$8</f>
        <v>140000</v>
      </c>
      <c r="E8" s="49">
        <f>'I-O'!E8*Harga!$D$8</f>
        <v>140000</v>
      </c>
      <c r="F8" s="49">
        <f>'I-O'!F8*Harga!$D$8</f>
        <v>140000</v>
      </c>
      <c r="G8" s="49">
        <f>'I-O'!G8*Harga!$D$8</f>
        <v>0</v>
      </c>
      <c r="H8" s="49">
        <f>'I-O'!H8*Harga!$D$8</f>
        <v>0</v>
      </c>
      <c r="I8" s="49">
        <f>'I-O'!I8*Harga!$D$8</f>
        <v>0</v>
      </c>
      <c r="J8" s="49">
        <f>'I-O'!J8*Harga!$D$8</f>
        <v>0</v>
      </c>
      <c r="K8" s="49">
        <f>'I-O'!K8*Harga!$D$8</f>
        <v>0</v>
      </c>
      <c r="L8" s="49">
        <f>'I-O'!L8*Harga!$D$8</f>
        <v>0</v>
      </c>
      <c r="M8" s="49">
        <f>'I-O'!M8*Harga!$D$8</f>
        <v>0</v>
      </c>
      <c r="N8" s="49">
        <f>'I-O'!N8*Harga!$D$8</f>
        <v>0</v>
      </c>
      <c r="O8" s="49">
        <f>'I-O'!O8*Harga!$D$8</f>
        <v>0</v>
      </c>
      <c r="P8" s="49">
        <f>'I-O'!P8*Harga!$D$8</f>
        <v>0</v>
      </c>
      <c r="Q8" s="49">
        <f>'I-O'!Q8*Harga!$D$8</f>
        <v>0</v>
      </c>
      <c r="R8" s="49">
        <f>'I-O'!R8*Harga!$D$8</f>
        <v>0</v>
      </c>
      <c r="S8" s="49">
        <f>'I-O'!S8*Harga!$D$8</f>
        <v>0</v>
      </c>
      <c r="T8" s="49">
        <f>'I-O'!T8*Harga!$D$8</f>
        <v>0</v>
      </c>
      <c r="U8" s="49">
        <f>'I-O'!U8*Harga!$D$8</f>
        <v>0</v>
      </c>
      <c r="V8" s="49">
        <f>'I-O'!V8*Harga!$D$8</f>
        <v>0</v>
      </c>
      <c r="W8" s="49">
        <f>'I-O'!W8*Harga!$D$8</f>
        <v>0</v>
      </c>
      <c r="X8" s="49">
        <f>'I-O'!X8*Harga!$D$8</f>
        <v>0</v>
      </c>
      <c r="Y8" s="49">
        <f>'I-O'!Y8*Harga!$D$8</f>
        <v>0</v>
      </c>
      <c r="Z8" s="49">
        <f>'I-O'!Z8*Harga!$D$8</f>
        <v>0</v>
      </c>
      <c r="AA8" s="49">
        <f>'I-O'!AA8*Harga!$D$8</f>
        <v>0</v>
      </c>
      <c r="AB8" s="49">
        <f>'I-O'!AB8*Harga!$D$8</f>
        <v>0</v>
      </c>
      <c r="AC8" s="49">
        <f>'I-O'!AC8*Harga!$D$8</f>
        <v>0</v>
      </c>
      <c r="AD8" s="49">
        <f>'I-O'!AD8*Harga!$D$8</f>
        <v>0</v>
      </c>
      <c r="AE8" s="49">
        <f>'I-O'!AE8*Harga!$D$8</f>
        <v>0</v>
      </c>
      <c r="AF8" s="49">
        <f>'I-O'!AF8*Harga!$D$8</f>
        <v>0</v>
      </c>
    </row>
    <row r="9" spans="1:32">
      <c r="A9" s="11" t="s">
        <v>174</v>
      </c>
      <c r="B9" s="8" t="s">
        <v>30</v>
      </c>
      <c r="C9" s="49">
        <f>'I-O'!C9*Harga!$D$9</f>
        <v>0</v>
      </c>
      <c r="D9" s="49">
        <f>'I-O'!D9*Harga!$D$9</f>
        <v>0</v>
      </c>
      <c r="E9" s="49">
        <f>'I-O'!E9*Harga!$D$9</f>
        <v>0</v>
      </c>
      <c r="F9" s="49">
        <f>'I-O'!F9*Harga!$D$9</f>
        <v>280000</v>
      </c>
      <c r="G9" s="49">
        <f>'I-O'!G9*Harga!$D$9</f>
        <v>280000</v>
      </c>
      <c r="H9" s="49">
        <f>'I-O'!H9*Harga!$D$9</f>
        <v>420000</v>
      </c>
      <c r="I9" s="49">
        <f>'I-O'!I9*Harga!$D$9</f>
        <v>420000</v>
      </c>
      <c r="J9" s="49">
        <f>'I-O'!J9*Harga!$D$9</f>
        <v>560000</v>
      </c>
      <c r="K9" s="49">
        <f>'I-O'!K9*Harga!$D$9</f>
        <v>560000</v>
      </c>
      <c r="L9" s="49">
        <f>'I-O'!L9*Harga!$D$9</f>
        <v>560000</v>
      </c>
      <c r="M9" s="49">
        <f>'I-O'!M9*Harga!$D$9</f>
        <v>560000</v>
      </c>
      <c r="N9" s="49">
        <f>'I-O'!N9*Harga!$D$9</f>
        <v>560000</v>
      </c>
      <c r="O9" s="49">
        <f>'I-O'!O9*Harga!$D$9</f>
        <v>560000</v>
      </c>
      <c r="P9" s="49">
        <f>'I-O'!P9*Harga!$D$9</f>
        <v>560000</v>
      </c>
      <c r="Q9" s="49">
        <f>'I-O'!Q9*Harga!$D$9</f>
        <v>560000</v>
      </c>
      <c r="R9" s="49">
        <f>'I-O'!R9*Harga!$D$9</f>
        <v>560000</v>
      </c>
      <c r="S9" s="49">
        <f>'I-O'!S9*Harga!$D$9</f>
        <v>560000</v>
      </c>
      <c r="T9" s="49">
        <f>'I-O'!T9*Harga!$D$9</f>
        <v>560000</v>
      </c>
      <c r="U9" s="49">
        <f>'I-O'!U9*Harga!$D$9</f>
        <v>560000</v>
      </c>
      <c r="V9" s="49">
        <f>'I-O'!V9*Harga!$D$9</f>
        <v>560000</v>
      </c>
      <c r="W9" s="49">
        <f>'I-O'!W9*Harga!$D$9</f>
        <v>560000</v>
      </c>
      <c r="X9" s="49">
        <f>'I-O'!X9*Harga!$D$9</f>
        <v>560000</v>
      </c>
      <c r="Y9" s="49">
        <f>'I-O'!Y9*Harga!$D$9</f>
        <v>560000</v>
      </c>
      <c r="Z9" s="49">
        <f>'I-O'!Z9*Harga!$D$9</f>
        <v>560000</v>
      </c>
      <c r="AA9" s="49">
        <f>'I-O'!AA9*Harga!$D$9</f>
        <v>560000</v>
      </c>
      <c r="AB9" s="49">
        <f>'I-O'!AB9*Harga!$D$9</f>
        <v>560000</v>
      </c>
      <c r="AC9" s="49">
        <f>'I-O'!AC9*Harga!$D$9</f>
        <v>560000</v>
      </c>
      <c r="AD9" s="49">
        <f>'I-O'!AD9*Harga!$D$9</f>
        <v>560000</v>
      </c>
      <c r="AE9" s="49">
        <f>'I-O'!AE9*Harga!$D$9</f>
        <v>560000</v>
      </c>
      <c r="AF9" s="49">
        <f>'I-O'!AF9*Harga!$D$9</f>
        <v>560000</v>
      </c>
    </row>
    <row r="10" spans="1:32">
      <c r="A10" s="11" t="s">
        <v>301</v>
      </c>
      <c r="B10" s="8" t="s">
        <v>30</v>
      </c>
      <c r="C10" s="49">
        <f>'I-O'!C10*Harga!$D$10</f>
        <v>0</v>
      </c>
      <c r="D10" s="49">
        <f>'I-O'!D10*Harga!$D$10</f>
        <v>49000</v>
      </c>
      <c r="E10" s="49">
        <f>'I-O'!E10*Harga!$D$10</f>
        <v>49000</v>
      </c>
      <c r="F10" s="49">
        <f>'I-O'!F10*Harga!$D$10</f>
        <v>49000</v>
      </c>
      <c r="G10" s="49">
        <f>'I-O'!G10*Harga!$D$10</f>
        <v>98000</v>
      </c>
      <c r="H10" s="49">
        <f>'I-O'!H10*Harga!$D$10</f>
        <v>98000</v>
      </c>
      <c r="I10" s="49">
        <f>'I-O'!I10*Harga!$D$10</f>
        <v>98000</v>
      </c>
      <c r="J10" s="49">
        <f>'I-O'!J10*Harga!$D$10</f>
        <v>147000</v>
      </c>
      <c r="K10" s="49">
        <f>'I-O'!K10*Harga!$D$10</f>
        <v>147000</v>
      </c>
      <c r="L10" s="49">
        <f>'I-O'!L10*Harga!$D$10</f>
        <v>147000</v>
      </c>
      <c r="M10" s="49">
        <f>'I-O'!M10*Harga!$D$10</f>
        <v>147000</v>
      </c>
      <c r="N10" s="49">
        <f>'I-O'!N10*Harga!$D$10</f>
        <v>147000</v>
      </c>
      <c r="O10" s="49">
        <f>'I-O'!O10*Harga!$D$10</f>
        <v>147000</v>
      </c>
      <c r="P10" s="49">
        <f>'I-O'!P10*Harga!$D$10</f>
        <v>147000</v>
      </c>
      <c r="Q10" s="49">
        <f>'I-O'!Q10*Harga!$D$10</f>
        <v>147000</v>
      </c>
      <c r="R10" s="49">
        <f>'I-O'!R10*Harga!$D$10</f>
        <v>147000</v>
      </c>
      <c r="S10" s="49">
        <f>'I-O'!S10*Harga!$D$10</f>
        <v>147000</v>
      </c>
      <c r="T10" s="49">
        <f>'I-O'!T10*Harga!$D$10</f>
        <v>147000</v>
      </c>
      <c r="U10" s="49">
        <f>'I-O'!U10*Harga!$D$10</f>
        <v>147000</v>
      </c>
      <c r="V10" s="49">
        <f>'I-O'!V10*Harga!$D$10</f>
        <v>147000</v>
      </c>
      <c r="W10" s="49">
        <f>'I-O'!W10*Harga!$D$10</f>
        <v>147000</v>
      </c>
      <c r="X10" s="49">
        <f>'I-O'!X10*Harga!$D$10</f>
        <v>147000</v>
      </c>
      <c r="Y10" s="49">
        <f>'I-O'!Y10*Harga!$D$10</f>
        <v>147000</v>
      </c>
      <c r="Z10" s="49">
        <f>'I-O'!Z10*Harga!$D$10</f>
        <v>147000</v>
      </c>
      <c r="AA10" s="49">
        <f>'I-O'!AA10*Harga!$D$10</f>
        <v>147000</v>
      </c>
      <c r="AB10" s="49">
        <f>'I-O'!AB10*Harga!$D$10</f>
        <v>147000</v>
      </c>
      <c r="AC10" s="49">
        <f>'I-O'!AC10*Harga!$D$10</f>
        <v>147000</v>
      </c>
      <c r="AD10" s="49">
        <f>'I-O'!AD10*Harga!$D$10</f>
        <v>147000</v>
      </c>
      <c r="AE10" s="49">
        <f>'I-O'!AE10*Harga!$D$10</f>
        <v>147000</v>
      </c>
      <c r="AF10" s="49">
        <f>'I-O'!AF10*Harga!$D$10</f>
        <v>147000</v>
      </c>
    </row>
    <row r="11" spans="1:32">
      <c r="A11" s="37"/>
      <c r="B11" s="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2">
      <c r="A12" s="9" t="s">
        <v>166</v>
      </c>
      <c r="B12" s="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>
      <c r="A13" s="11" t="s">
        <v>88</v>
      </c>
      <c r="B13" s="8" t="s">
        <v>30</v>
      </c>
      <c r="C13" s="49">
        <f>'I-O'!C13*Harga!$D$13</f>
        <v>640000</v>
      </c>
      <c r="D13" s="49">
        <f>'I-O'!D13*Harga!$D$13</f>
        <v>640000</v>
      </c>
      <c r="E13" s="49">
        <f>'I-O'!E13*Harga!$D$13</f>
        <v>640000</v>
      </c>
      <c r="F13" s="49">
        <f>'I-O'!F13*Harga!$D$13</f>
        <v>640000</v>
      </c>
      <c r="G13" s="49">
        <f>'I-O'!G13*Harga!$D$13</f>
        <v>640000</v>
      </c>
      <c r="H13" s="49">
        <f>'I-O'!H13*Harga!$D$13</f>
        <v>320000</v>
      </c>
      <c r="I13" s="49">
        <f>'I-O'!I13*Harga!$D$13</f>
        <v>320000</v>
      </c>
      <c r="J13" s="49">
        <f>'I-O'!J13*Harga!$D$13</f>
        <v>320000</v>
      </c>
      <c r="K13" s="49">
        <f>'I-O'!K13*Harga!$D$13</f>
        <v>320000</v>
      </c>
      <c r="L13" s="49">
        <f>'I-O'!L13*Harga!$D$13</f>
        <v>320000</v>
      </c>
      <c r="M13" s="49">
        <f>'I-O'!M13*Harga!$D$13</f>
        <v>320000</v>
      </c>
      <c r="N13" s="49">
        <f>'I-O'!N13*Harga!$D$13</f>
        <v>320000</v>
      </c>
      <c r="O13" s="49">
        <f>'I-O'!O13*Harga!$D$13</f>
        <v>320000</v>
      </c>
      <c r="P13" s="49">
        <f>'I-O'!P13*Harga!$D$13</f>
        <v>320000</v>
      </c>
      <c r="Q13" s="49">
        <f>'I-O'!Q13*Harga!$D$13</f>
        <v>320000</v>
      </c>
      <c r="R13" s="49">
        <f>'I-O'!R13*Harga!$D$13</f>
        <v>320000</v>
      </c>
      <c r="S13" s="49">
        <f>'I-O'!S13*Harga!$D$13</f>
        <v>320000</v>
      </c>
      <c r="T13" s="49">
        <f>'I-O'!T13*Harga!$D$13</f>
        <v>320000</v>
      </c>
      <c r="U13" s="49">
        <f>'I-O'!U13*Harga!$D$13</f>
        <v>320000</v>
      </c>
      <c r="V13" s="49">
        <f>'I-O'!V13*Harga!$D$13</f>
        <v>320000</v>
      </c>
      <c r="W13" s="49">
        <f>'I-O'!W13*Harga!$D$13</f>
        <v>320000</v>
      </c>
      <c r="X13" s="49">
        <f>'I-O'!X13*Harga!$D$13</f>
        <v>320000</v>
      </c>
      <c r="Y13" s="49">
        <f>'I-O'!Y13*Harga!$D$13</f>
        <v>320000</v>
      </c>
      <c r="Z13" s="49">
        <f>'I-O'!Z13*Harga!$D$13</f>
        <v>320000</v>
      </c>
      <c r="AA13" s="49">
        <f>'I-O'!AA13*Harga!$D$13</f>
        <v>320000</v>
      </c>
      <c r="AB13" s="49">
        <f>'I-O'!AB13*Harga!$D$13</f>
        <v>320000</v>
      </c>
      <c r="AC13" s="49">
        <f>'I-O'!AC13*Harga!$D$13</f>
        <v>320000</v>
      </c>
      <c r="AD13" s="49">
        <f>'I-O'!AD13*Harga!$D$13</f>
        <v>320000</v>
      </c>
      <c r="AE13" s="49">
        <f>'I-O'!AE13*Harga!$D$13</f>
        <v>320000</v>
      </c>
      <c r="AF13" s="49">
        <f>'I-O'!AF13*Harga!$D$13</f>
        <v>320000</v>
      </c>
    </row>
    <row r="14" spans="1:32">
      <c r="A14" s="37"/>
      <c r="B14" s="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>
      <c r="A15" s="9" t="s">
        <v>167</v>
      </c>
      <c r="B15" s="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>
      <c r="A16" s="11" t="s">
        <v>275</v>
      </c>
      <c r="B16" s="8" t="s">
        <v>30</v>
      </c>
      <c r="C16" s="49">
        <f>'I-O'!C16*Harga!$D$16</f>
        <v>0</v>
      </c>
      <c r="D16" s="49">
        <f>'I-O'!D16*Harga!$D$16</f>
        <v>0</v>
      </c>
      <c r="E16" s="49">
        <f>'I-O'!E16*Harga!$D$16</f>
        <v>0</v>
      </c>
      <c r="F16" s="49">
        <f>'I-O'!F16*Harga!$D$16</f>
        <v>0</v>
      </c>
      <c r="G16" s="49">
        <f>'I-O'!G16*Harga!$D$16</f>
        <v>0</v>
      </c>
      <c r="H16" s="49">
        <f>'I-O'!H16*Harga!$D$16</f>
        <v>0</v>
      </c>
      <c r="I16" s="49">
        <f>'I-O'!I16*Harga!$D$16</f>
        <v>0</v>
      </c>
      <c r="J16" s="49">
        <f>'I-O'!J16*Harga!$D$16</f>
        <v>0</v>
      </c>
      <c r="K16" s="49">
        <f>'I-O'!K16*Harga!$D$16</f>
        <v>0</v>
      </c>
      <c r="L16" s="49">
        <f>'I-O'!L16*Harga!$D$16</f>
        <v>0</v>
      </c>
      <c r="M16" s="49">
        <f>'I-O'!M16*Harga!$D$16</f>
        <v>0</v>
      </c>
      <c r="N16" s="49">
        <f>'I-O'!N16*Harga!$D$16</f>
        <v>0</v>
      </c>
      <c r="O16" s="49">
        <f>'I-O'!O16*Harga!$D$16</f>
        <v>0</v>
      </c>
      <c r="P16" s="49">
        <f>'I-O'!P16*Harga!$D$16</f>
        <v>0</v>
      </c>
      <c r="Q16" s="49">
        <f>'I-O'!Q16*Harga!$D$16</f>
        <v>0</v>
      </c>
      <c r="R16" s="49">
        <f>'I-O'!R16*Harga!$D$16</f>
        <v>0</v>
      </c>
      <c r="S16" s="49">
        <f>'I-O'!S16*Harga!$D$16</f>
        <v>0</v>
      </c>
      <c r="T16" s="49">
        <f>'I-O'!T16*Harga!$D$16</f>
        <v>0</v>
      </c>
      <c r="U16" s="49">
        <f>'I-O'!U16*Harga!$D$16</f>
        <v>0</v>
      </c>
      <c r="V16" s="49">
        <f>'I-O'!V16*Harga!$D$16</f>
        <v>0</v>
      </c>
      <c r="W16" s="49">
        <f>'I-O'!W16*Harga!$D$16</f>
        <v>0</v>
      </c>
      <c r="X16" s="49">
        <f>'I-O'!X16*Harga!$D$16</f>
        <v>0</v>
      </c>
      <c r="Y16" s="49">
        <f>'I-O'!Y16*Harga!$D$16</f>
        <v>0</v>
      </c>
      <c r="Z16" s="49">
        <f>'I-O'!Z16*Harga!$D$16</f>
        <v>0</v>
      </c>
      <c r="AA16" s="49">
        <f>'I-O'!AA16*Harga!$D$16</f>
        <v>0</v>
      </c>
      <c r="AB16" s="49">
        <f>'I-O'!AB16*Harga!$D$16</f>
        <v>0</v>
      </c>
      <c r="AC16" s="49">
        <f>'I-O'!AC16*Harga!$D$16</f>
        <v>0</v>
      </c>
      <c r="AD16" s="49">
        <f>'I-O'!AD16*Harga!$D$16</f>
        <v>0</v>
      </c>
      <c r="AE16" s="49">
        <f>'I-O'!AE16*Harga!$D$16</f>
        <v>0</v>
      </c>
      <c r="AF16" s="49">
        <f>'I-O'!AF16*Harga!$D$16</f>
        <v>0</v>
      </c>
    </row>
    <row r="17" spans="1:32">
      <c r="A17" s="11" t="s">
        <v>175</v>
      </c>
      <c r="B17" s="8" t="s">
        <v>30</v>
      </c>
      <c r="C17" s="49">
        <f>'I-O'!C17*Harga!$D$17</f>
        <v>2025000</v>
      </c>
      <c r="D17" s="49">
        <f>'I-O'!D17*Harga!$D$17</f>
        <v>225000</v>
      </c>
      <c r="E17" s="49">
        <f>'I-O'!E17*Harga!$D$17</f>
        <v>0</v>
      </c>
      <c r="F17" s="49">
        <f>'I-O'!F17*Harga!$D$17</f>
        <v>0</v>
      </c>
      <c r="G17" s="49">
        <f>'I-O'!G17*Harga!$D$17</f>
        <v>0</v>
      </c>
      <c r="H17" s="49">
        <f>'I-O'!H17*Harga!$D$17</f>
        <v>0</v>
      </c>
      <c r="I17" s="49">
        <f>'I-O'!I17*Harga!$D$17</f>
        <v>0</v>
      </c>
      <c r="J17" s="49">
        <f>'I-O'!J17*Harga!$D$17</f>
        <v>0</v>
      </c>
      <c r="K17" s="49">
        <f>'I-O'!K17*Harga!$D$17</f>
        <v>0</v>
      </c>
      <c r="L17" s="49">
        <f>'I-O'!L17*Harga!$D$17</f>
        <v>0</v>
      </c>
      <c r="M17" s="49">
        <f>'I-O'!M17*Harga!$D$17</f>
        <v>0</v>
      </c>
      <c r="N17" s="49">
        <f>'I-O'!N17*Harga!$D$17</f>
        <v>0</v>
      </c>
      <c r="O17" s="49">
        <f>'I-O'!O17*Harga!$D$17</f>
        <v>0</v>
      </c>
      <c r="P17" s="49">
        <f>'I-O'!P17*Harga!$D$17</f>
        <v>0</v>
      </c>
      <c r="Q17" s="49">
        <f>'I-O'!Q17*Harga!$D$17</f>
        <v>0</v>
      </c>
      <c r="R17" s="49">
        <f>'I-O'!R17*Harga!$D$17</f>
        <v>0</v>
      </c>
      <c r="S17" s="49">
        <f>'I-O'!S17*Harga!$D$17</f>
        <v>0</v>
      </c>
      <c r="T17" s="49">
        <f>'I-O'!T17*Harga!$D$17</f>
        <v>0</v>
      </c>
      <c r="U17" s="49">
        <f>'I-O'!U17*Harga!$D$17</f>
        <v>0</v>
      </c>
      <c r="V17" s="49">
        <f>'I-O'!V17*Harga!$D$17</f>
        <v>0</v>
      </c>
      <c r="W17" s="49">
        <f>'I-O'!W17*Harga!$D$17</f>
        <v>0</v>
      </c>
      <c r="X17" s="49">
        <f>'I-O'!X17*Harga!$D$17</f>
        <v>0</v>
      </c>
      <c r="Y17" s="49">
        <f>'I-O'!Y17*Harga!$D$17</f>
        <v>0</v>
      </c>
      <c r="Z17" s="49">
        <f>'I-O'!Z17*Harga!$D$17</f>
        <v>0</v>
      </c>
      <c r="AA17" s="49">
        <f>'I-O'!AA17*Harga!$D$17</f>
        <v>0</v>
      </c>
      <c r="AB17" s="49">
        <f>'I-O'!AB17*Harga!$D$17</f>
        <v>0</v>
      </c>
      <c r="AC17" s="49">
        <f>'I-O'!AC17*Harga!$D$17</f>
        <v>0</v>
      </c>
      <c r="AD17" s="49">
        <f>'I-O'!AD17*Harga!$D$17</f>
        <v>0</v>
      </c>
      <c r="AE17" s="49">
        <f>'I-O'!AE17*Harga!$D$17</f>
        <v>0</v>
      </c>
      <c r="AF17" s="49">
        <f>'I-O'!AF17*Harga!$D$17</f>
        <v>0</v>
      </c>
    </row>
    <row r="18" spans="1:32">
      <c r="A18" s="34"/>
      <c r="B18" s="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>
      <c r="A19" s="9" t="s">
        <v>168</v>
      </c>
      <c r="B19" s="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>
      <c r="A20" s="11" t="s">
        <v>229</v>
      </c>
      <c r="B20" s="8" t="s">
        <v>30</v>
      </c>
      <c r="C20" s="48">
        <f>'I-O'!C20*Harga!$D$20</f>
        <v>0</v>
      </c>
      <c r="D20" s="48">
        <f>'I-O'!D20*Harga!$D$20</f>
        <v>0</v>
      </c>
      <c r="E20" s="48">
        <f>'I-O'!E20*Harga!$D$20</f>
        <v>150000</v>
      </c>
      <c r="F20" s="48">
        <f>'I-O'!F20*Harga!$D$20</f>
        <v>0</v>
      </c>
      <c r="G20" s="48">
        <f>'I-O'!G20*Harga!$D$20</f>
        <v>150000</v>
      </c>
      <c r="H20" s="48">
        <f>'I-O'!H20*Harga!$D$20</f>
        <v>0</v>
      </c>
      <c r="I20" s="48">
        <f>'I-O'!I20*Harga!$D$20</f>
        <v>0</v>
      </c>
      <c r="J20" s="48">
        <f>'I-O'!J20*Harga!$D$20</f>
        <v>0</v>
      </c>
      <c r="K20" s="48">
        <f>'I-O'!K20*Harga!$D$20</f>
        <v>0</v>
      </c>
      <c r="L20" s="48">
        <f>'I-O'!L20*Harga!$D$20</f>
        <v>0</v>
      </c>
      <c r="M20" s="48">
        <f>'I-O'!M20*Harga!$D$20</f>
        <v>0</v>
      </c>
      <c r="N20" s="48">
        <f>'I-O'!N20*Harga!$D$20</f>
        <v>0</v>
      </c>
      <c r="O20" s="48">
        <f>'I-O'!O20*Harga!$D$20</f>
        <v>0</v>
      </c>
      <c r="P20" s="48">
        <f>'I-O'!P20*Harga!$D$20</f>
        <v>0</v>
      </c>
      <c r="Q20" s="48">
        <f>'I-O'!Q20*Harga!$D$20</f>
        <v>0</v>
      </c>
      <c r="R20" s="48">
        <f>'I-O'!R20*Harga!$D$20</f>
        <v>0</v>
      </c>
      <c r="S20" s="48">
        <f>'I-O'!S20*Harga!$D$20</f>
        <v>0</v>
      </c>
      <c r="T20" s="48">
        <f>'I-O'!T20*Harga!$D$20</f>
        <v>0</v>
      </c>
      <c r="U20" s="48">
        <f>'I-O'!U20*Harga!$D$20</f>
        <v>0</v>
      </c>
      <c r="V20" s="48">
        <f>'I-O'!V20*Harga!$D$20</f>
        <v>0</v>
      </c>
      <c r="W20" s="48">
        <f>'I-O'!W20*Harga!$D$20</f>
        <v>0</v>
      </c>
      <c r="X20" s="48">
        <f>'I-O'!X20*Harga!$D$20</f>
        <v>0</v>
      </c>
      <c r="Y20" s="48">
        <f>'I-O'!Y20*Harga!$D$20</f>
        <v>0</v>
      </c>
      <c r="Z20" s="48">
        <f>'I-O'!Z20*Harga!$D$20</f>
        <v>0</v>
      </c>
      <c r="AA20" s="48">
        <f>'I-O'!AA20*Harga!$D$20</f>
        <v>0</v>
      </c>
      <c r="AB20" s="48">
        <f>'I-O'!AB20*Harga!$D$20</f>
        <v>0</v>
      </c>
      <c r="AC20" s="48">
        <f>'I-O'!AC20*Harga!$D$20</f>
        <v>0</v>
      </c>
      <c r="AD20" s="48">
        <f>'I-O'!AD20*Harga!$D$20</f>
        <v>0</v>
      </c>
      <c r="AE20" s="48">
        <f>'I-O'!AE20*Harga!$D$20</f>
        <v>0</v>
      </c>
      <c r="AF20" s="48">
        <f>'I-O'!AF20*Harga!$D$20</f>
        <v>0</v>
      </c>
    </row>
    <row r="21" spans="1:32">
      <c r="A21" s="11" t="s">
        <v>230</v>
      </c>
      <c r="B21" s="8" t="s">
        <v>30</v>
      </c>
      <c r="C21" s="48">
        <f>'I-O'!C21*Harga!$D$21</f>
        <v>0</v>
      </c>
      <c r="D21" s="48">
        <f>'I-O'!D21*Harga!$D$21</f>
        <v>0</v>
      </c>
      <c r="E21" s="48">
        <f>'I-O'!E21*Harga!$D$21</f>
        <v>0</v>
      </c>
      <c r="F21" s="48">
        <f>'I-O'!F21*Harga!$D$21</f>
        <v>0</v>
      </c>
      <c r="G21" s="48">
        <f>'I-O'!G21*Harga!$D$21</f>
        <v>0</v>
      </c>
      <c r="H21" s="48">
        <f>'I-O'!H21*Harga!$D$21</f>
        <v>225000</v>
      </c>
      <c r="I21" s="48">
        <f>'I-O'!I21*Harga!$D$21</f>
        <v>0</v>
      </c>
      <c r="J21" s="48">
        <f>'I-O'!J21*Harga!$D$21</f>
        <v>225000</v>
      </c>
      <c r="K21" s="48">
        <f>'I-O'!K21*Harga!$D$21</f>
        <v>0</v>
      </c>
      <c r="L21" s="48">
        <f>'I-O'!L21*Harga!$D$21</f>
        <v>225000</v>
      </c>
      <c r="M21" s="48">
        <f>'I-O'!M21*Harga!$D$21</f>
        <v>0</v>
      </c>
      <c r="N21" s="48">
        <f>'I-O'!N21*Harga!$D$21</f>
        <v>225000</v>
      </c>
      <c r="O21" s="48">
        <f>'I-O'!O21*Harga!$D$21</f>
        <v>0</v>
      </c>
      <c r="P21" s="48">
        <f>'I-O'!P21*Harga!$D$21</f>
        <v>225000</v>
      </c>
      <c r="Q21" s="48">
        <f>'I-O'!Q21*Harga!$D$21</f>
        <v>0</v>
      </c>
      <c r="R21" s="48">
        <f>'I-O'!R21*Harga!$D$21</f>
        <v>225000</v>
      </c>
      <c r="S21" s="48">
        <f>'I-O'!S21*Harga!$D$21</f>
        <v>0</v>
      </c>
      <c r="T21" s="48">
        <f>'I-O'!T21*Harga!$D$21</f>
        <v>225000</v>
      </c>
      <c r="U21" s="48">
        <f>'I-O'!U21*Harga!$D$21</f>
        <v>0</v>
      </c>
      <c r="V21" s="48">
        <f>'I-O'!V21*Harga!$D$21</f>
        <v>225000</v>
      </c>
      <c r="W21" s="48">
        <f>'I-O'!W21*Harga!$D$21</f>
        <v>0</v>
      </c>
      <c r="X21" s="48">
        <f>'I-O'!X21*Harga!$D$21</f>
        <v>225000</v>
      </c>
      <c r="Y21" s="48">
        <f>'I-O'!Y21*Harga!$D$21</f>
        <v>0</v>
      </c>
      <c r="Z21" s="48">
        <f>'I-O'!Z21*Harga!$D$21</f>
        <v>225000</v>
      </c>
      <c r="AA21" s="48">
        <f>'I-O'!AA21*Harga!$D$21</f>
        <v>0</v>
      </c>
      <c r="AB21" s="48">
        <f>'I-O'!AB21*Harga!$D$21</f>
        <v>225000</v>
      </c>
      <c r="AC21" s="48">
        <f>'I-O'!AC21*Harga!$D$21</f>
        <v>0</v>
      </c>
      <c r="AD21" s="48">
        <f>'I-O'!AD21*Harga!$D$21</f>
        <v>225000</v>
      </c>
      <c r="AE21" s="48">
        <f>'I-O'!AE21*Harga!$D$21</f>
        <v>0</v>
      </c>
      <c r="AF21" s="48">
        <f>'I-O'!AF21*Harga!$D$21</f>
        <v>225000</v>
      </c>
    </row>
    <row r="22" spans="1:32">
      <c r="A22" s="11" t="s">
        <v>228</v>
      </c>
      <c r="B22" s="8" t="s">
        <v>30</v>
      </c>
      <c r="C22" s="49">
        <f>'I-O'!C22*Harga!$D$22</f>
        <v>0</v>
      </c>
      <c r="D22" s="49">
        <f>'I-O'!D22*Harga!$D$22</f>
        <v>0</v>
      </c>
      <c r="E22" s="49">
        <f>'I-O'!E22*Harga!$D$22</f>
        <v>300000</v>
      </c>
      <c r="F22" s="49">
        <f>'I-O'!F22*Harga!$D$22</f>
        <v>0</v>
      </c>
      <c r="G22" s="49">
        <f>'I-O'!G22*Harga!$D$22</f>
        <v>0</v>
      </c>
      <c r="H22" s="49">
        <f>'I-O'!H22*Harga!$D$22</f>
        <v>300000</v>
      </c>
      <c r="I22" s="49">
        <f>'I-O'!I22*Harga!$D$22</f>
        <v>0</v>
      </c>
      <c r="J22" s="49">
        <f>'I-O'!J22*Harga!$D$22</f>
        <v>0</v>
      </c>
      <c r="K22" s="49">
        <f>'I-O'!K22*Harga!$D$22</f>
        <v>300000</v>
      </c>
      <c r="L22" s="49">
        <f>'I-O'!L22*Harga!$D$22</f>
        <v>0</v>
      </c>
      <c r="M22" s="49">
        <f>'I-O'!M22*Harga!$D$22</f>
        <v>0</v>
      </c>
      <c r="N22" s="49">
        <f>'I-O'!N22*Harga!$D$22</f>
        <v>300000</v>
      </c>
      <c r="O22" s="49">
        <f>'I-O'!O22*Harga!$D$22</f>
        <v>0</v>
      </c>
      <c r="P22" s="49">
        <f>'I-O'!P22*Harga!$D$22</f>
        <v>0</v>
      </c>
      <c r="Q22" s="49">
        <f>'I-O'!Q22*Harga!$D$22</f>
        <v>300000</v>
      </c>
      <c r="R22" s="49">
        <f>'I-O'!R22*Harga!$D$22</f>
        <v>0</v>
      </c>
      <c r="S22" s="49">
        <f>'I-O'!S22*Harga!$D$22</f>
        <v>0</v>
      </c>
      <c r="T22" s="49">
        <f>'I-O'!T22*Harga!$D$22</f>
        <v>300000</v>
      </c>
      <c r="U22" s="49">
        <f>'I-O'!U22*Harga!$D$22</f>
        <v>0</v>
      </c>
      <c r="V22" s="49">
        <f>'I-O'!V22*Harga!$D$22</f>
        <v>0</v>
      </c>
      <c r="W22" s="49">
        <f>'I-O'!W22*Harga!$D$22</f>
        <v>300000</v>
      </c>
      <c r="X22" s="49">
        <f>'I-O'!X22*Harga!$D$22</f>
        <v>0</v>
      </c>
      <c r="Y22" s="49">
        <f>'I-O'!Y22*Harga!$D$22</f>
        <v>0</v>
      </c>
      <c r="Z22" s="49">
        <f>'I-O'!Z22*Harga!$D$22</f>
        <v>300000</v>
      </c>
      <c r="AA22" s="49">
        <f>'I-O'!AA22*Harga!$D$22</f>
        <v>0</v>
      </c>
      <c r="AB22" s="49">
        <f>'I-O'!AB22*Harga!$D$22</f>
        <v>0</v>
      </c>
      <c r="AC22" s="49">
        <f>'I-O'!AC22*Harga!$D$22</f>
        <v>300000</v>
      </c>
      <c r="AD22" s="49">
        <f>'I-O'!AD22*Harga!$D$22</f>
        <v>0</v>
      </c>
      <c r="AE22" s="49">
        <f>'I-O'!AE22*Harga!$D$22</f>
        <v>0</v>
      </c>
      <c r="AF22" s="49">
        <f>'I-O'!AF22*Harga!$D$22</f>
        <v>300000</v>
      </c>
    </row>
    <row r="23" spans="1:32">
      <c r="A23" s="11" t="s">
        <v>92</v>
      </c>
      <c r="B23" s="8" t="s">
        <v>30</v>
      </c>
      <c r="C23" s="49">
        <f>'I-O'!C23*Harga!$D$23</f>
        <v>250000</v>
      </c>
      <c r="D23" s="49">
        <f>'I-O'!D23*Harga!$D$23</f>
        <v>0</v>
      </c>
      <c r="E23" s="49">
        <f>'I-O'!E23*Harga!$D$23</f>
        <v>0</v>
      </c>
      <c r="F23" s="49">
        <f>'I-O'!F23*Harga!$D$23</f>
        <v>0</v>
      </c>
      <c r="G23" s="49">
        <f>'I-O'!G23*Harga!$D$23</f>
        <v>250000</v>
      </c>
      <c r="H23" s="49">
        <f>'I-O'!H23*Harga!$D$23</f>
        <v>0</v>
      </c>
      <c r="I23" s="49">
        <f>'I-O'!I23*Harga!$D$23</f>
        <v>0</v>
      </c>
      <c r="J23" s="49">
        <f>'I-O'!J23*Harga!$D$23</f>
        <v>0</v>
      </c>
      <c r="K23" s="49">
        <f>'I-O'!K23*Harga!$D$23</f>
        <v>0</v>
      </c>
      <c r="L23" s="49">
        <f>'I-O'!L23*Harga!$D$23</f>
        <v>250000</v>
      </c>
      <c r="M23" s="49">
        <f>'I-O'!M23*Harga!$D$23</f>
        <v>0</v>
      </c>
      <c r="N23" s="49">
        <f>'I-O'!N23*Harga!$D$23</f>
        <v>0</v>
      </c>
      <c r="O23" s="49">
        <f>'I-O'!O23*Harga!$D$23</f>
        <v>0</v>
      </c>
      <c r="P23" s="49">
        <f>'I-O'!P23*Harga!$D$23</f>
        <v>0</v>
      </c>
      <c r="Q23" s="49">
        <f>'I-O'!Q23*Harga!$D$23</f>
        <v>250000</v>
      </c>
      <c r="R23" s="49">
        <f>'I-O'!R23*Harga!$D$23</f>
        <v>0</v>
      </c>
      <c r="S23" s="49">
        <f>'I-O'!S23*Harga!$D$23</f>
        <v>0</v>
      </c>
      <c r="T23" s="49">
        <f>'I-O'!T23*Harga!$D$23</f>
        <v>0</v>
      </c>
      <c r="U23" s="49">
        <f>'I-O'!U23*Harga!$D$23</f>
        <v>0</v>
      </c>
      <c r="V23" s="49">
        <f>'I-O'!V23*Harga!$D$23</f>
        <v>250000</v>
      </c>
      <c r="W23" s="49">
        <f>'I-O'!W23*Harga!$D$23</f>
        <v>0</v>
      </c>
      <c r="X23" s="49">
        <f>'I-O'!X23*Harga!$D$23</f>
        <v>0</v>
      </c>
      <c r="Y23" s="49">
        <f>'I-O'!Y23*Harga!$D$23</f>
        <v>0</v>
      </c>
      <c r="Z23" s="49">
        <f>'I-O'!Z23*Harga!$D$23</f>
        <v>0</v>
      </c>
      <c r="AA23" s="49">
        <f>'I-O'!AA23*Harga!$D$23</f>
        <v>250000</v>
      </c>
      <c r="AB23" s="49">
        <f>'I-O'!AB23*Harga!$D$23</f>
        <v>0</v>
      </c>
      <c r="AC23" s="49">
        <f>'I-O'!AC23*Harga!$D$23</f>
        <v>0</v>
      </c>
      <c r="AD23" s="49">
        <f>'I-O'!AD23*Harga!$D$23</f>
        <v>0</v>
      </c>
      <c r="AE23" s="49">
        <f>'I-O'!AE23*Harga!$D$23</f>
        <v>0</v>
      </c>
      <c r="AF23" s="49">
        <f>'I-O'!AF23*Harga!$D$23</f>
        <v>250000</v>
      </c>
    </row>
    <row r="24" spans="1:32">
      <c r="A24" s="11" t="s">
        <v>257</v>
      </c>
      <c r="B24" s="8" t="s">
        <v>30</v>
      </c>
      <c r="C24" s="49">
        <f>'I-O'!C24*Harga!$D$24</f>
        <v>50000</v>
      </c>
      <c r="D24" s="49">
        <f>'I-O'!D24*Harga!$D$24</f>
        <v>0</v>
      </c>
      <c r="E24" s="49">
        <f>'I-O'!E24*Harga!$D$24</f>
        <v>50000</v>
      </c>
      <c r="F24" s="49">
        <f>'I-O'!F24*Harga!$D$24</f>
        <v>0</v>
      </c>
      <c r="G24" s="49">
        <f>'I-O'!G24*Harga!$D$24</f>
        <v>50000</v>
      </c>
      <c r="H24" s="49">
        <f>'I-O'!H24*Harga!$D$24</f>
        <v>0</v>
      </c>
      <c r="I24" s="49">
        <f>'I-O'!I24*Harga!$D$24</f>
        <v>50000</v>
      </c>
      <c r="J24" s="49">
        <f>'I-O'!J24*Harga!$D$24</f>
        <v>0</v>
      </c>
      <c r="K24" s="49">
        <f>'I-O'!K24*Harga!$D$24</f>
        <v>50000</v>
      </c>
      <c r="L24" s="49">
        <f>'I-O'!L24*Harga!$D$24</f>
        <v>0</v>
      </c>
      <c r="M24" s="49">
        <f>'I-O'!M24*Harga!$D$24</f>
        <v>50000</v>
      </c>
      <c r="N24" s="49">
        <f>'I-O'!N24*Harga!$D$24</f>
        <v>0</v>
      </c>
      <c r="O24" s="49">
        <f>'I-O'!O24*Harga!$D$24</f>
        <v>50000</v>
      </c>
      <c r="P24" s="49">
        <f>'I-O'!P24*Harga!$D$24</f>
        <v>0</v>
      </c>
      <c r="Q24" s="49">
        <f>'I-O'!Q24*Harga!$D$24</f>
        <v>50000</v>
      </c>
      <c r="R24" s="49">
        <f>'I-O'!R24*Harga!$D$24</f>
        <v>0</v>
      </c>
      <c r="S24" s="49">
        <f>'I-O'!S24*Harga!$D$24</f>
        <v>50000</v>
      </c>
      <c r="T24" s="49">
        <f>'I-O'!T24*Harga!$D$24</f>
        <v>0</v>
      </c>
      <c r="U24" s="49">
        <f>'I-O'!U24*Harga!$D$24</f>
        <v>50000</v>
      </c>
      <c r="V24" s="49">
        <f>'I-O'!V24*Harga!$D$24</f>
        <v>0</v>
      </c>
      <c r="W24" s="49">
        <f>'I-O'!W24*Harga!$D$24</f>
        <v>50000</v>
      </c>
      <c r="X24" s="49">
        <f>'I-O'!X24*Harga!$D$24</f>
        <v>0</v>
      </c>
      <c r="Y24" s="49">
        <f>'I-O'!Y24*Harga!$D$24</f>
        <v>50000</v>
      </c>
      <c r="Z24" s="49">
        <f>'I-O'!Z24*Harga!$D$24</f>
        <v>0</v>
      </c>
      <c r="AA24" s="49">
        <f>'I-O'!AA24*Harga!$D$24</f>
        <v>50000</v>
      </c>
      <c r="AB24" s="49">
        <f>'I-O'!AB24*Harga!$D$24</f>
        <v>0</v>
      </c>
      <c r="AC24" s="49">
        <f>'I-O'!AC24*Harga!$D$24</f>
        <v>50000</v>
      </c>
      <c r="AD24" s="49">
        <f>'I-O'!AD24*Harga!$D$24</f>
        <v>0</v>
      </c>
      <c r="AE24" s="49">
        <f>'I-O'!AE24*Harga!$D$24</f>
        <v>50000</v>
      </c>
      <c r="AF24" s="49">
        <f>'I-O'!AF24*Harga!$D$24</f>
        <v>0</v>
      </c>
    </row>
    <row r="25" spans="1:32">
      <c r="A25" s="38" t="s">
        <v>106</v>
      </c>
      <c r="B25" s="8"/>
      <c r="C25" s="48">
        <f>SUM(C8:C24)</f>
        <v>3105000</v>
      </c>
      <c r="D25" s="48">
        <f t="shared" ref="D25:AF25" si="0">SUM(D8:D24)</f>
        <v>1054000</v>
      </c>
      <c r="E25" s="48">
        <f t="shared" si="0"/>
        <v>1329000</v>
      </c>
      <c r="F25" s="48">
        <f t="shared" si="0"/>
        <v>1109000</v>
      </c>
      <c r="G25" s="48">
        <f t="shared" si="0"/>
        <v>1468000</v>
      </c>
      <c r="H25" s="48">
        <f t="shared" si="0"/>
        <v>1363000</v>
      </c>
      <c r="I25" s="48">
        <f t="shared" si="0"/>
        <v>888000</v>
      </c>
      <c r="J25" s="48">
        <f t="shared" si="0"/>
        <v>1252000</v>
      </c>
      <c r="K25" s="48">
        <f t="shared" si="0"/>
        <v>1377000</v>
      </c>
      <c r="L25" s="48">
        <f t="shared" si="0"/>
        <v>1502000</v>
      </c>
      <c r="M25" s="48">
        <f t="shared" si="0"/>
        <v>1077000</v>
      </c>
      <c r="N25" s="48">
        <f t="shared" si="0"/>
        <v>1552000</v>
      </c>
      <c r="O25" s="48">
        <f t="shared" si="0"/>
        <v>1077000</v>
      </c>
      <c r="P25" s="48">
        <f t="shared" si="0"/>
        <v>1252000</v>
      </c>
      <c r="Q25" s="48">
        <f t="shared" si="0"/>
        <v>1627000</v>
      </c>
      <c r="R25" s="48">
        <f t="shared" si="0"/>
        <v>1252000</v>
      </c>
      <c r="S25" s="48">
        <f t="shared" si="0"/>
        <v>1077000</v>
      </c>
      <c r="T25" s="48">
        <f t="shared" si="0"/>
        <v>1552000</v>
      </c>
      <c r="U25" s="48">
        <f t="shared" si="0"/>
        <v>1077000</v>
      </c>
      <c r="V25" s="48">
        <f t="shared" si="0"/>
        <v>1502000</v>
      </c>
      <c r="W25" s="48">
        <f t="shared" si="0"/>
        <v>1377000</v>
      </c>
      <c r="X25" s="48">
        <f t="shared" si="0"/>
        <v>1252000</v>
      </c>
      <c r="Y25" s="48">
        <f t="shared" si="0"/>
        <v>1077000</v>
      </c>
      <c r="Z25" s="48">
        <f t="shared" si="0"/>
        <v>1552000</v>
      </c>
      <c r="AA25" s="48">
        <f t="shared" si="0"/>
        <v>1327000</v>
      </c>
      <c r="AB25" s="48">
        <f t="shared" si="0"/>
        <v>1252000</v>
      </c>
      <c r="AC25" s="48">
        <f t="shared" si="0"/>
        <v>1377000</v>
      </c>
      <c r="AD25" s="48">
        <f t="shared" si="0"/>
        <v>1252000</v>
      </c>
      <c r="AE25" s="48">
        <f t="shared" si="0"/>
        <v>1077000</v>
      </c>
      <c r="AF25" s="48">
        <f t="shared" si="0"/>
        <v>1802000</v>
      </c>
    </row>
    <row r="26" spans="1:32" ht="15.75">
      <c r="A26" s="31" t="s">
        <v>91</v>
      </c>
      <c r="B26" s="239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4"/>
      <c r="AB26" s="243"/>
      <c r="AC26" s="243"/>
      <c r="AD26" s="243"/>
      <c r="AE26" s="243"/>
      <c r="AF26" s="243"/>
    </row>
    <row r="27" spans="1:32">
      <c r="A27" s="15" t="s">
        <v>169</v>
      </c>
      <c r="B27" s="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211"/>
      <c r="AB27" s="48"/>
      <c r="AC27" s="48"/>
      <c r="AD27" s="48"/>
      <c r="AE27" s="48"/>
      <c r="AF27" s="48"/>
    </row>
    <row r="28" spans="1:32">
      <c r="A28" s="7" t="s">
        <v>170</v>
      </c>
      <c r="B28" s="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211"/>
      <c r="AB28" s="48"/>
      <c r="AC28" s="48"/>
      <c r="AD28" s="48"/>
      <c r="AE28" s="48"/>
      <c r="AF28" s="48"/>
    </row>
    <row r="29" spans="1:32">
      <c r="A29" s="16" t="s">
        <v>224</v>
      </c>
      <c r="B29" s="8" t="s">
        <v>30</v>
      </c>
      <c r="C29" s="49">
        <f>'I-O'!C29*Harga!$D$29</f>
        <v>1000000</v>
      </c>
      <c r="D29" s="49">
        <f>'I-O'!D29*Harga!$D$29</f>
        <v>0</v>
      </c>
      <c r="E29" s="49">
        <f>'I-O'!E29*Harga!$D$29</f>
        <v>0</v>
      </c>
      <c r="F29" s="49">
        <f>'I-O'!F29*Harga!$D$29</f>
        <v>0</v>
      </c>
      <c r="G29" s="49">
        <f>'I-O'!G29*Harga!$D$29</f>
        <v>0</v>
      </c>
      <c r="H29" s="49">
        <f>'I-O'!H29*Harga!$D$29</f>
        <v>0</v>
      </c>
      <c r="I29" s="49">
        <f>'I-O'!I29*Harga!$D$29</f>
        <v>0</v>
      </c>
      <c r="J29" s="49">
        <f>'I-O'!J29*Harga!$D$29</f>
        <v>0</v>
      </c>
      <c r="K29" s="49">
        <f>'I-O'!K29*Harga!$D$29</f>
        <v>0</v>
      </c>
      <c r="L29" s="49">
        <f>'I-O'!L29*Harga!$D$29</f>
        <v>0</v>
      </c>
      <c r="M29" s="49">
        <f>'I-O'!M29*Harga!$D$29</f>
        <v>0</v>
      </c>
      <c r="N29" s="49">
        <f>'I-O'!N29*Harga!$D$29</f>
        <v>0</v>
      </c>
      <c r="O29" s="49">
        <f>'I-O'!O29*Harga!$D$29</f>
        <v>0</v>
      </c>
      <c r="P29" s="49">
        <f>'I-O'!P29*Harga!$D$29</f>
        <v>0</v>
      </c>
      <c r="Q29" s="49">
        <f>'I-O'!Q29*Harga!$D$29</f>
        <v>0</v>
      </c>
      <c r="R29" s="49">
        <f>'I-O'!R29*Harga!$D$29</f>
        <v>0</v>
      </c>
      <c r="S29" s="49">
        <f>'I-O'!S29*Harga!$D$29</f>
        <v>0</v>
      </c>
      <c r="T29" s="49">
        <f>'I-O'!T29*Harga!$D$29</f>
        <v>0</v>
      </c>
      <c r="U29" s="49">
        <f>'I-O'!U29*Harga!$D$29</f>
        <v>0</v>
      </c>
      <c r="V29" s="49">
        <f>'I-O'!V29*Harga!$D$29</f>
        <v>0</v>
      </c>
      <c r="W29" s="49">
        <f>'I-O'!W29*Harga!$D$29</f>
        <v>0</v>
      </c>
      <c r="X29" s="49">
        <f>'I-O'!X29*Harga!$D$29</f>
        <v>0</v>
      </c>
      <c r="Y29" s="49">
        <f>'I-O'!Y29*Harga!$D$29</f>
        <v>0</v>
      </c>
      <c r="Z29" s="49">
        <f>'I-O'!Z29*Harga!$D$29</f>
        <v>0</v>
      </c>
      <c r="AA29" s="49">
        <f>'I-O'!AA29*Harga!$D$29</f>
        <v>0</v>
      </c>
      <c r="AB29" s="49">
        <f>'I-O'!AB29*Harga!$D$29</f>
        <v>0</v>
      </c>
      <c r="AC29" s="49">
        <f>'I-O'!AC29*Harga!$D$29</f>
        <v>0</v>
      </c>
      <c r="AD29" s="49">
        <f>'I-O'!AD29*Harga!$D$29</f>
        <v>0</v>
      </c>
      <c r="AE29" s="49">
        <f>'I-O'!AE29*Harga!$D$29</f>
        <v>0</v>
      </c>
      <c r="AF29" s="49">
        <f>'I-O'!AF29*Harga!$D$29</f>
        <v>0</v>
      </c>
    </row>
    <row r="30" spans="1:32">
      <c r="A30" s="16" t="s">
        <v>225</v>
      </c>
      <c r="B30" s="8" t="s">
        <v>30</v>
      </c>
      <c r="C30" s="49">
        <f>'I-O'!C30*Harga!$D$30</f>
        <v>0</v>
      </c>
      <c r="D30" s="49">
        <f>'I-O'!D30*Harga!$D$30</f>
        <v>0</v>
      </c>
      <c r="E30" s="49">
        <f>'I-O'!E30*Harga!$D$30</f>
        <v>0</v>
      </c>
      <c r="F30" s="49">
        <f>'I-O'!F30*Harga!$D$30</f>
        <v>0</v>
      </c>
      <c r="G30" s="49">
        <f>'I-O'!G30*Harga!$D$30</f>
        <v>0</v>
      </c>
      <c r="H30" s="49">
        <f>'I-O'!H30*Harga!$D$30</f>
        <v>0</v>
      </c>
      <c r="I30" s="49">
        <f>'I-O'!I30*Harga!$D$30</f>
        <v>0</v>
      </c>
      <c r="J30" s="49">
        <f>'I-O'!J30*Harga!$D$30</f>
        <v>0</v>
      </c>
      <c r="K30" s="49">
        <f>'I-O'!K30*Harga!$D$30</f>
        <v>0</v>
      </c>
      <c r="L30" s="49">
        <f>'I-O'!L30*Harga!$D$30</f>
        <v>0</v>
      </c>
      <c r="M30" s="49">
        <f>'I-O'!M30*Harga!$D$30</f>
        <v>0</v>
      </c>
      <c r="N30" s="49">
        <f>'I-O'!N30*Harga!$D$30</f>
        <v>0</v>
      </c>
      <c r="O30" s="49">
        <f>'I-O'!O30*Harga!$D$30</f>
        <v>0</v>
      </c>
      <c r="P30" s="49">
        <f>'I-O'!P30*Harga!$D$30</f>
        <v>0</v>
      </c>
      <c r="Q30" s="49">
        <f>'I-O'!Q30*Harga!$D$30</f>
        <v>0</v>
      </c>
      <c r="R30" s="49">
        <f>'I-O'!R30*Harga!$D$30</f>
        <v>0</v>
      </c>
      <c r="S30" s="49">
        <f>'I-O'!S30*Harga!$D$30</f>
        <v>0</v>
      </c>
      <c r="T30" s="49">
        <f>'I-O'!T30*Harga!$D$30</f>
        <v>0</v>
      </c>
      <c r="U30" s="49">
        <f>'I-O'!U30*Harga!$D$30</f>
        <v>0</v>
      </c>
      <c r="V30" s="49">
        <f>'I-O'!V30*Harga!$D$30</f>
        <v>0</v>
      </c>
      <c r="W30" s="49">
        <f>'I-O'!W30*Harga!$D$30</f>
        <v>0</v>
      </c>
      <c r="X30" s="49">
        <f>'I-O'!X30*Harga!$D$30</f>
        <v>0</v>
      </c>
      <c r="Y30" s="49">
        <f>'I-O'!Y30*Harga!$D$30</f>
        <v>0</v>
      </c>
      <c r="Z30" s="49">
        <f>'I-O'!Z30*Harga!$D$30</f>
        <v>0</v>
      </c>
      <c r="AA30" s="49">
        <f>'I-O'!AA30*Harga!$D$30</f>
        <v>0</v>
      </c>
      <c r="AB30" s="49">
        <f>'I-O'!AB30*Harga!$D$30</f>
        <v>0</v>
      </c>
      <c r="AC30" s="49">
        <f>'I-O'!AC30*Harga!$D$30</f>
        <v>0</v>
      </c>
      <c r="AD30" s="49">
        <f>'I-O'!AD30*Harga!$D$30</f>
        <v>0</v>
      </c>
      <c r="AE30" s="49">
        <f>'I-O'!AE30*Harga!$D$30</f>
        <v>0</v>
      </c>
      <c r="AF30" s="49">
        <f>'I-O'!AF30*Harga!$D$30</f>
        <v>0</v>
      </c>
    </row>
    <row r="31" spans="1:32">
      <c r="A31" s="16" t="s">
        <v>226</v>
      </c>
      <c r="B31" s="8" t="s">
        <v>30</v>
      </c>
      <c r="C31" s="49">
        <f>'I-O'!C31*Harga!$D$31</f>
        <v>0</v>
      </c>
      <c r="D31" s="49">
        <f>'I-O'!D31*Harga!$D$31</f>
        <v>0</v>
      </c>
      <c r="E31" s="49">
        <f>'I-O'!E31*Harga!$D$31</f>
        <v>0</v>
      </c>
      <c r="F31" s="49">
        <f>'I-O'!F31*Harga!$D$31</f>
        <v>0</v>
      </c>
      <c r="G31" s="49">
        <f>'I-O'!G31*Harga!$D$31</f>
        <v>0</v>
      </c>
      <c r="H31" s="49">
        <f>'I-O'!H31*Harga!$D$31</f>
        <v>0</v>
      </c>
      <c r="I31" s="49">
        <f>'I-O'!I31*Harga!$D$31</f>
        <v>0</v>
      </c>
      <c r="J31" s="49">
        <f>'I-O'!J31*Harga!$D$31</f>
        <v>0</v>
      </c>
      <c r="K31" s="49">
        <f>'I-O'!K31*Harga!$D$31</f>
        <v>0</v>
      </c>
      <c r="L31" s="49">
        <f>'I-O'!L31*Harga!$D$31</f>
        <v>0</v>
      </c>
      <c r="M31" s="49">
        <f>'I-O'!M31*Harga!$D$31</f>
        <v>0</v>
      </c>
      <c r="N31" s="49">
        <f>'I-O'!N31*Harga!$D$31</f>
        <v>0</v>
      </c>
      <c r="O31" s="49">
        <f>'I-O'!O31*Harga!$D$31</f>
        <v>0</v>
      </c>
      <c r="P31" s="49">
        <f>'I-O'!P31*Harga!$D$31</f>
        <v>0</v>
      </c>
      <c r="Q31" s="49">
        <f>'I-O'!Q31*Harga!$D$31</f>
        <v>0</v>
      </c>
      <c r="R31" s="49">
        <f>'I-O'!R31*Harga!$D$31</f>
        <v>0</v>
      </c>
      <c r="S31" s="49">
        <f>'I-O'!S31*Harga!$D$31</f>
        <v>0</v>
      </c>
      <c r="T31" s="49">
        <f>'I-O'!T31*Harga!$D$31</f>
        <v>0</v>
      </c>
      <c r="U31" s="49">
        <f>'I-O'!U31*Harga!$D$31</f>
        <v>0</v>
      </c>
      <c r="V31" s="49">
        <f>'I-O'!V31*Harga!$D$31</f>
        <v>0</v>
      </c>
      <c r="W31" s="49">
        <f>'I-O'!W31*Harga!$D$31</f>
        <v>0</v>
      </c>
      <c r="X31" s="49">
        <f>'I-O'!X31*Harga!$D$31</f>
        <v>0</v>
      </c>
      <c r="Y31" s="49">
        <f>'I-O'!Y31*Harga!$D$31</f>
        <v>0</v>
      </c>
      <c r="Z31" s="49">
        <f>'I-O'!Z31*Harga!$D$31</f>
        <v>0</v>
      </c>
      <c r="AA31" s="49">
        <f>'I-O'!AA31*Harga!$D$31</f>
        <v>0</v>
      </c>
      <c r="AB31" s="49">
        <f>'I-O'!AB31*Harga!$D$31</f>
        <v>0</v>
      </c>
      <c r="AC31" s="49">
        <f>'I-O'!AC31*Harga!$D$31</f>
        <v>0</v>
      </c>
      <c r="AD31" s="49">
        <f>'I-O'!AD31*Harga!$D$31</f>
        <v>0</v>
      </c>
      <c r="AE31" s="49">
        <f>'I-O'!AE31*Harga!$D$31</f>
        <v>0</v>
      </c>
      <c r="AF31" s="49">
        <f>'I-O'!AF31*Harga!$D$31</f>
        <v>0</v>
      </c>
    </row>
    <row r="32" spans="1:32">
      <c r="A32" s="16" t="s">
        <v>227</v>
      </c>
      <c r="B32" s="8" t="s">
        <v>30</v>
      </c>
      <c r="C32" s="49">
        <f>'I-O'!C32*Harga!$D$32</f>
        <v>0</v>
      </c>
      <c r="D32" s="49">
        <f>'I-O'!D32*Harga!$D$32</f>
        <v>0</v>
      </c>
      <c r="E32" s="49">
        <f>'I-O'!E32*Harga!$D$32</f>
        <v>0</v>
      </c>
      <c r="F32" s="49">
        <f>'I-O'!F32*Harga!$D$32</f>
        <v>0</v>
      </c>
      <c r="G32" s="49">
        <f>'I-O'!G32*Harga!$D$32</f>
        <v>0</v>
      </c>
      <c r="H32" s="49">
        <f>'I-O'!H32*Harga!$D$32</f>
        <v>0</v>
      </c>
      <c r="I32" s="49">
        <f>'I-O'!I32*Harga!$D$32</f>
        <v>0</v>
      </c>
      <c r="J32" s="49">
        <f>'I-O'!J32*Harga!$D$32</f>
        <v>0</v>
      </c>
      <c r="K32" s="49">
        <f>'I-O'!K32*Harga!$D$32</f>
        <v>0</v>
      </c>
      <c r="L32" s="49">
        <f>'I-O'!L32*Harga!$D$32</f>
        <v>0</v>
      </c>
      <c r="M32" s="49">
        <f>'I-O'!M32*Harga!$D$32</f>
        <v>0</v>
      </c>
      <c r="N32" s="49">
        <f>'I-O'!N32*Harga!$D$32</f>
        <v>0</v>
      </c>
      <c r="O32" s="49">
        <f>'I-O'!O32*Harga!$D$32</f>
        <v>0</v>
      </c>
      <c r="P32" s="49">
        <f>'I-O'!P32*Harga!$D$32</f>
        <v>0</v>
      </c>
      <c r="Q32" s="49">
        <f>'I-O'!Q32*Harga!$D$32</f>
        <v>0</v>
      </c>
      <c r="R32" s="49">
        <f>'I-O'!R32*Harga!$D$32</f>
        <v>0</v>
      </c>
      <c r="S32" s="49">
        <f>'I-O'!S32*Harga!$D$32</f>
        <v>0</v>
      </c>
      <c r="T32" s="49">
        <f>'I-O'!T32*Harga!$D$32</f>
        <v>0</v>
      </c>
      <c r="U32" s="49">
        <f>'I-O'!U32*Harga!$D$32</f>
        <v>0</v>
      </c>
      <c r="V32" s="49">
        <f>'I-O'!V32*Harga!$D$32</f>
        <v>0</v>
      </c>
      <c r="W32" s="49">
        <f>'I-O'!W32*Harga!$D$32</f>
        <v>0</v>
      </c>
      <c r="X32" s="49">
        <f>'I-O'!X32*Harga!$D$32</f>
        <v>0</v>
      </c>
      <c r="Y32" s="49">
        <f>'I-O'!Y32*Harga!$D$32</f>
        <v>0</v>
      </c>
      <c r="Z32" s="49">
        <f>'I-O'!Z32*Harga!$D$32</f>
        <v>0</v>
      </c>
      <c r="AA32" s="49">
        <f>'I-O'!AA32*Harga!$D$32</f>
        <v>0</v>
      </c>
      <c r="AB32" s="49">
        <f>'I-O'!AB32*Harga!$D$32</f>
        <v>0</v>
      </c>
      <c r="AC32" s="49">
        <f>'I-O'!AC32*Harga!$D$32</f>
        <v>0</v>
      </c>
      <c r="AD32" s="49">
        <f>'I-O'!AD32*Harga!$D$32</f>
        <v>0</v>
      </c>
      <c r="AE32" s="49">
        <f>'I-O'!AE32*Harga!$D$32</f>
        <v>0</v>
      </c>
      <c r="AF32" s="49">
        <f>'I-O'!AF32*Harga!$D$32</f>
        <v>0</v>
      </c>
    </row>
    <row r="33" spans="1:32">
      <c r="A33" s="7" t="s">
        <v>271</v>
      </c>
      <c r="B33" s="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>
      <c r="A34" s="16" t="s">
        <v>272</v>
      </c>
      <c r="B34" s="8" t="s">
        <v>30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spans="1:32">
      <c r="A35" s="16" t="s">
        <v>273</v>
      </c>
      <c r="B35" s="8" t="s">
        <v>30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1:32">
      <c r="A36" s="165" t="s">
        <v>275</v>
      </c>
      <c r="B36" s="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spans="1:32">
      <c r="A37" s="166" t="s">
        <v>231</v>
      </c>
      <c r="B37" s="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spans="1:32">
      <c r="A38" s="16" t="s">
        <v>302</v>
      </c>
      <c r="B38" s="8" t="s">
        <v>30</v>
      </c>
      <c r="C38" s="49">
        <f>'I-O'!C38*Harga!$D$38</f>
        <v>0</v>
      </c>
      <c r="D38" s="49">
        <f>'I-O'!D38*Harga!$D$38</f>
        <v>0</v>
      </c>
      <c r="E38" s="49">
        <f>'I-O'!E38*Harga!$D$38</f>
        <v>0</v>
      </c>
      <c r="F38" s="49">
        <f>'I-O'!F38*Harga!$D$38</f>
        <v>0</v>
      </c>
      <c r="G38" s="49">
        <f>'I-O'!G38*Harga!$D$38</f>
        <v>0</v>
      </c>
      <c r="H38" s="49">
        <f>'I-O'!H38*Harga!$D$38</f>
        <v>0</v>
      </c>
      <c r="I38" s="49">
        <f>'I-O'!I38*Harga!$D$38</f>
        <v>0</v>
      </c>
      <c r="J38" s="49">
        <f>'I-O'!J38*Harga!$D$38</f>
        <v>0</v>
      </c>
      <c r="K38" s="49">
        <f>'I-O'!K38*Harga!$D$38</f>
        <v>0</v>
      </c>
      <c r="L38" s="49">
        <f>'I-O'!L38*Harga!$D$38</f>
        <v>0</v>
      </c>
      <c r="M38" s="49">
        <f>'I-O'!M38*Harga!$D$38</f>
        <v>0</v>
      </c>
      <c r="N38" s="49">
        <f>'I-O'!N38*Harga!$D$38</f>
        <v>0</v>
      </c>
      <c r="O38" s="49">
        <f>'I-O'!O38*Harga!$D$38</f>
        <v>0</v>
      </c>
      <c r="P38" s="49">
        <f>'I-O'!P38*Harga!$D$38</f>
        <v>0</v>
      </c>
      <c r="Q38" s="49">
        <f>'I-O'!Q38*Harga!$D$38</f>
        <v>0</v>
      </c>
      <c r="R38" s="49">
        <f>'I-O'!R38*Harga!$D$38</f>
        <v>0</v>
      </c>
      <c r="S38" s="49">
        <f>'I-O'!S38*Harga!$D$38</f>
        <v>0</v>
      </c>
      <c r="T38" s="49">
        <f>'I-O'!T38*Harga!$D$38</f>
        <v>0</v>
      </c>
      <c r="U38" s="49">
        <f>'I-O'!U38*Harga!$D$38</f>
        <v>0</v>
      </c>
      <c r="V38" s="49">
        <f>'I-O'!V38*Harga!$D$38</f>
        <v>0</v>
      </c>
      <c r="W38" s="49">
        <f>'I-O'!W38*Harga!$D$38</f>
        <v>0</v>
      </c>
      <c r="X38" s="49">
        <f>'I-O'!X38*Harga!$D$38</f>
        <v>0</v>
      </c>
      <c r="Y38" s="49">
        <f>'I-O'!Y38*Harga!$D$38</f>
        <v>0</v>
      </c>
      <c r="Z38" s="49">
        <f>'I-O'!Z38*Harga!$D$38</f>
        <v>0</v>
      </c>
      <c r="AA38" s="49">
        <f>'I-O'!AA38*Harga!$D$38</f>
        <v>0</v>
      </c>
      <c r="AB38" s="49">
        <f>'I-O'!AB38*Harga!$D$38</f>
        <v>0</v>
      </c>
      <c r="AC38" s="49">
        <f>'I-O'!AC38*Harga!$D$38</f>
        <v>0</v>
      </c>
      <c r="AD38" s="49">
        <f>'I-O'!AD38*Harga!$D$38</f>
        <v>0</v>
      </c>
      <c r="AE38" s="49">
        <f>'I-O'!AE38*Harga!$D$38</f>
        <v>0</v>
      </c>
      <c r="AF38" s="49">
        <f>'I-O'!AF38*Harga!$D$38</f>
        <v>0</v>
      </c>
    </row>
    <row r="39" spans="1:32">
      <c r="A39" s="166" t="s">
        <v>240</v>
      </c>
      <c r="B39" s="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>
      <c r="A40" s="16" t="s">
        <v>237</v>
      </c>
      <c r="B40" s="8" t="s">
        <v>30</v>
      </c>
      <c r="C40" s="48">
        <f>'I-O'!C40*Harga!$D$40</f>
        <v>0</v>
      </c>
      <c r="D40" s="48">
        <f>'I-O'!D40*Harga!$D$40</f>
        <v>0</v>
      </c>
      <c r="E40" s="48">
        <f>'I-O'!E40*Harga!$D$40</f>
        <v>0</v>
      </c>
      <c r="F40" s="48">
        <f>'I-O'!F40*Harga!$D$40</f>
        <v>0</v>
      </c>
      <c r="G40" s="48">
        <f>'I-O'!G40*Harga!$D$40</f>
        <v>0</v>
      </c>
      <c r="H40" s="48">
        <f>'I-O'!H40*Harga!$D$40</f>
        <v>0</v>
      </c>
      <c r="I40" s="48">
        <f>'I-O'!I40*Harga!$D$40</f>
        <v>0</v>
      </c>
      <c r="J40" s="48">
        <f>'I-O'!J40*Harga!$D$40</f>
        <v>0</v>
      </c>
      <c r="K40" s="48">
        <f>'I-O'!K40*Harga!$D$40</f>
        <v>0</v>
      </c>
      <c r="L40" s="48">
        <f>'I-O'!L40*Harga!$D$40</f>
        <v>0</v>
      </c>
      <c r="M40" s="48">
        <f>'I-O'!M40*Harga!$D$40</f>
        <v>0</v>
      </c>
      <c r="N40" s="48">
        <f>'I-O'!N40*Harga!$D$40</f>
        <v>0</v>
      </c>
      <c r="O40" s="48">
        <f>'I-O'!O40*Harga!$D$40</f>
        <v>0</v>
      </c>
      <c r="P40" s="48">
        <f>'I-O'!P40*Harga!$D$40</f>
        <v>0</v>
      </c>
      <c r="Q40" s="48">
        <f>'I-O'!Q40*Harga!$D$40</f>
        <v>0</v>
      </c>
      <c r="R40" s="48">
        <f>'I-O'!R40*Harga!$D$40</f>
        <v>0</v>
      </c>
      <c r="S40" s="48">
        <f>'I-O'!S40*Harga!$D$40</f>
        <v>0</v>
      </c>
      <c r="T40" s="48">
        <f>'I-O'!T40*Harga!$D$40</f>
        <v>0</v>
      </c>
      <c r="U40" s="48">
        <f>'I-O'!U40*Harga!$D$40</f>
        <v>0</v>
      </c>
      <c r="V40" s="48">
        <f>'I-O'!V40*Harga!$D$40</f>
        <v>0</v>
      </c>
      <c r="W40" s="48">
        <f>'I-O'!W40*Harga!$D$40</f>
        <v>0</v>
      </c>
      <c r="X40" s="48">
        <f>'I-O'!X40*Harga!$D$40</f>
        <v>0</v>
      </c>
      <c r="Y40" s="48">
        <f>'I-O'!Y40*Harga!$D$40</f>
        <v>0</v>
      </c>
      <c r="Z40" s="48">
        <f>'I-O'!Z40*Harga!$D$40</f>
        <v>0</v>
      </c>
      <c r="AA40" s="48">
        <f>'I-O'!AA40*Harga!$D$40</f>
        <v>0</v>
      </c>
      <c r="AB40" s="48">
        <f>'I-O'!AB40*Harga!$D$40</f>
        <v>0</v>
      </c>
      <c r="AC40" s="48">
        <f>'I-O'!AC40*Harga!$D$40</f>
        <v>0</v>
      </c>
      <c r="AD40" s="48">
        <f>'I-O'!AD40*Harga!$D$40</f>
        <v>0</v>
      </c>
      <c r="AE40" s="48">
        <f>'I-O'!AE40*Harga!$D$40</f>
        <v>0</v>
      </c>
      <c r="AF40" s="48">
        <f>'I-O'!AF40*Harga!$D$40</f>
        <v>0</v>
      </c>
    </row>
    <row r="41" spans="1:32">
      <c r="A41" s="166" t="s">
        <v>235</v>
      </c>
      <c r="B41" s="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</row>
    <row r="42" spans="1:32">
      <c r="A42" s="16" t="s">
        <v>241</v>
      </c>
      <c r="B42" s="8" t="s">
        <v>30</v>
      </c>
      <c r="C42" s="49">
        <f>'I-O'!C42*Harga!$D$42</f>
        <v>0</v>
      </c>
      <c r="D42" s="49">
        <f>'I-O'!D42*Harga!$D$42</f>
        <v>0</v>
      </c>
      <c r="E42" s="49">
        <f>'I-O'!E42*Harga!$D$42</f>
        <v>0</v>
      </c>
      <c r="F42" s="49">
        <f>'I-O'!F42*Harga!$D$42</f>
        <v>0</v>
      </c>
      <c r="G42" s="49">
        <f>'I-O'!G42*Harga!$D$42</f>
        <v>0</v>
      </c>
      <c r="H42" s="49">
        <f>'I-O'!H42*Harga!$D$42</f>
        <v>0</v>
      </c>
      <c r="I42" s="49">
        <f>'I-O'!I42*Harga!$D$42</f>
        <v>0</v>
      </c>
      <c r="J42" s="49">
        <f>'I-O'!J42*Harga!$D$42</f>
        <v>0</v>
      </c>
      <c r="K42" s="49">
        <f>'I-O'!K42*Harga!$D$42</f>
        <v>0</v>
      </c>
      <c r="L42" s="49">
        <f>'I-O'!L42*Harga!$D$42</f>
        <v>0</v>
      </c>
      <c r="M42" s="49">
        <f>'I-O'!M42*Harga!$D$42</f>
        <v>0</v>
      </c>
      <c r="N42" s="49">
        <f>'I-O'!N42*Harga!$D$42</f>
        <v>0</v>
      </c>
      <c r="O42" s="49">
        <f>'I-O'!O42*Harga!$D$42</f>
        <v>0</v>
      </c>
      <c r="P42" s="49">
        <f>'I-O'!P42*Harga!$D$42</f>
        <v>0</v>
      </c>
      <c r="Q42" s="49">
        <f>'I-O'!Q42*Harga!$D$42</f>
        <v>0</v>
      </c>
      <c r="R42" s="49">
        <f>'I-O'!R42*Harga!$D$42</f>
        <v>0</v>
      </c>
      <c r="S42" s="49">
        <f>'I-O'!S42*Harga!$D$42</f>
        <v>0</v>
      </c>
      <c r="T42" s="49">
        <f>'I-O'!T42*Harga!$D$42</f>
        <v>0</v>
      </c>
      <c r="U42" s="49">
        <f>'I-O'!U42*Harga!$D$42</f>
        <v>0</v>
      </c>
      <c r="V42" s="49">
        <f>'I-O'!V42*Harga!$D$42</f>
        <v>0</v>
      </c>
      <c r="W42" s="49">
        <f>'I-O'!W42*Harga!$D$42</f>
        <v>0</v>
      </c>
      <c r="X42" s="49">
        <f>'I-O'!X42*Harga!$D$42</f>
        <v>0</v>
      </c>
      <c r="Y42" s="49">
        <f>'I-O'!Y42*Harga!$D$42</f>
        <v>0</v>
      </c>
      <c r="Z42" s="49">
        <f>'I-O'!Z42*Harga!$D$42</f>
        <v>0</v>
      </c>
      <c r="AA42" s="49">
        <f>'I-O'!AA42*Harga!$D$42</f>
        <v>0</v>
      </c>
      <c r="AB42" s="49">
        <f>'I-O'!AB42*Harga!$D$42</f>
        <v>0</v>
      </c>
      <c r="AC42" s="49">
        <f>'I-O'!AC42*Harga!$D$42</f>
        <v>0</v>
      </c>
      <c r="AD42" s="49">
        <f>'I-O'!AD42*Harga!$D$42</f>
        <v>0</v>
      </c>
      <c r="AE42" s="49">
        <f>'I-O'!AE42*Harga!$D$42</f>
        <v>0</v>
      </c>
      <c r="AF42" s="49">
        <f>'I-O'!AF42*Harga!$D$42</f>
        <v>0</v>
      </c>
    </row>
    <row r="43" spans="1:32">
      <c r="A43" s="16" t="s">
        <v>304</v>
      </c>
      <c r="B43" s="8" t="s">
        <v>30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>
      <c r="A44" s="35"/>
      <c r="B44" s="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203"/>
      <c r="AB44" s="203"/>
      <c r="AC44" s="203"/>
      <c r="AD44" s="203"/>
      <c r="AE44" s="49"/>
      <c r="AF44" s="49"/>
    </row>
    <row r="45" spans="1:32">
      <c r="A45" s="165" t="s">
        <v>242</v>
      </c>
      <c r="B45" s="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203"/>
      <c r="AB45" s="203"/>
      <c r="AC45" s="203"/>
      <c r="AD45" s="203"/>
      <c r="AE45" s="49"/>
      <c r="AF45" s="49"/>
    </row>
    <row r="46" spans="1:32">
      <c r="A46" s="166" t="s">
        <v>231</v>
      </c>
      <c r="B46" s="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203"/>
      <c r="AB46" s="203"/>
      <c r="AC46" s="203"/>
      <c r="AD46" s="203"/>
      <c r="AE46" s="49"/>
      <c r="AF46" s="49"/>
    </row>
    <row r="47" spans="1:32">
      <c r="A47" s="16" t="s">
        <v>299</v>
      </c>
      <c r="B47" s="8" t="s">
        <v>30</v>
      </c>
      <c r="C47" s="49">
        <f>'I-O'!C46*Harga!$D$47</f>
        <v>525000</v>
      </c>
      <c r="D47" s="49">
        <f>'I-O'!D46*Harga!$D$47</f>
        <v>0</v>
      </c>
      <c r="E47" s="49">
        <f>'I-O'!E46*Harga!$D$47</f>
        <v>0</v>
      </c>
      <c r="F47" s="49">
        <f>'I-O'!F46*Harga!$D$47</f>
        <v>0</v>
      </c>
      <c r="G47" s="49">
        <f>'I-O'!G46*Harga!$D$47</f>
        <v>0</v>
      </c>
      <c r="H47" s="49">
        <f>'I-O'!H46*Harga!$D$47</f>
        <v>0</v>
      </c>
      <c r="I47" s="49">
        <f>'I-O'!I46*Harga!$D$47</f>
        <v>0</v>
      </c>
      <c r="J47" s="49">
        <f>'I-O'!J46*Harga!$D$47</f>
        <v>0</v>
      </c>
      <c r="K47" s="49">
        <f>'I-O'!K46*Harga!$D$47</f>
        <v>0</v>
      </c>
      <c r="L47" s="49">
        <f>'I-O'!L46*Harga!$D$47</f>
        <v>0</v>
      </c>
      <c r="M47" s="49">
        <f>'I-O'!M46*Harga!$D$47</f>
        <v>0</v>
      </c>
      <c r="N47" s="49">
        <f>'I-O'!N46*Harga!$D$47</f>
        <v>0</v>
      </c>
      <c r="O47" s="49">
        <f>'I-O'!O46*Harga!$D$47</f>
        <v>0</v>
      </c>
      <c r="P47" s="49">
        <f>'I-O'!P46*Harga!$D$47</f>
        <v>0</v>
      </c>
      <c r="Q47" s="49">
        <f>'I-O'!Q46*Harga!$D$47</f>
        <v>0</v>
      </c>
      <c r="R47" s="49">
        <f>'I-O'!R46*Harga!$D$47</f>
        <v>0</v>
      </c>
      <c r="S47" s="49">
        <f>'I-O'!S46*Harga!$D$47</f>
        <v>0</v>
      </c>
      <c r="T47" s="49">
        <f>'I-O'!T46*Harga!$D$47</f>
        <v>0</v>
      </c>
      <c r="U47" s="49">
        <f>'I-O'!U46*Harga!$D$47</f>
        <v>0</v>
      </c>
      <c r="V47" s="49">
        <f>'I-O'!V46*Harga!$D$47</f>
        <v>0</v>
      </c>
      <c r="W47" s="49">
        <f>'I-O'!W46*Harga!$D$47</f>
        <v>0</v>
      </c>
      <c r="X47" s="49">
        <f>'I-O'!X46*Harga!$D$47</f>
        <v>0</v>
      </c>
      <c r="Y47" s="49">
        <f>'I-O'!Y46*Harga!$D$47</f>
        <v>0</v>
      </c>
      <c r="Z47" s="49">
        <f>'I-O'!Z46*Harga!$D$47</f>
        <v>0</v>
      </c>
      <c r="AA47" s="49">
        <f>'I-O'!AA46*Harga!$D$47</f>
        <v>0</v>
      </c>
      <c r="AB47" s="49">
        <f>'I-O'!AB46*Harga!$D$47</f>
        <v>0</v>
      </c>
      <c r="AC47" s="49">
        <f>'I-O'!AC46*Harga!$D$47</f>
        <v>0</v>
      </c>
      <c r="AD47" s="49">
        <f>'I-O'!AD46*Harga!$D$47</f>
        <v>0</v>
      </c>
      <c r="AE47" s="49">
        <f>'I-O'!AE46*Harga!$D$47</f>
        <v>0</v>
      </c>
      <c r="AF47" s="49">
        <f>'I-O'!AF46*Harga!$D$47</f>
        <v>0</v>
      </c>
    </row>
    <row r="48" spans="1:32">
      <c r="A48" s="166" t="s">
        <v>171</v>
      </c>
      <c r="B48" s="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203"/>
      <c r="AB48" s="203"/>
      <c r="AC48" s="203"/>
      <c r="AD48" s="203"/>
      <c r="AE48" s="49"/>
      <c r="AF48" s="49"/>
    </row>
    <row r="49" spans="1:33">
      <c r="A49" s="16" t="s">
        <v>274</v>
      </c>
      <c r="B49" s="8" t="s">
        <v>30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203"/>
      <c r="AB49" s="203"/>
      <c r="AC49" s="203"/>
      <c r="AD49" s="203"/>
      <c r="AE49" s="49"/>
      <c r="AF49" s="49"/>
    </row>
    <row r="50" spans="1:33">
      <c r="A50" s="16" t="s">
        <v>232</v>
      </c>
      <c r="B50" s="8" t="s">
        <v>30</v>
      </c>
      <c r="C50" s="49">
        <f>'I-O'!C50*Harga!$D$50</f>
        <v>0</v>
      </c>
      <c r="D50" s="49">
        <f>'I-O'!D50*Harga!$D$50</f>
        <v>900000</v>
      </c>
      <c r="E50" s="49">
        <f>'I-O'!E50*Harga!$D$50</f>
        <v>900000</v>
      </c>
      <c r="F50" s="49">
        <f>'I-O'!F50*Harga!$D$50</f>
        <v>900000</v>
      </c>
      <c r="G50" s="49">
        <f>'I-O'!G50*Harga!$D$50</f>
        <v>900000</v>
      </c>
      <c r="H50" s="49">
        <f>'I-O'!H50*Harga!$D$50</f>
        <v>900000</v>
      </c>
      <c r="I50" s="49">
        <f>'I-O'!I50*Harga!$D$50</f>
        <v>900000</v>
      </c>
      <c r="J50" s="49">
        <f>'I-O'!J50*Harga!$D$50</f>
        <v>900000</v>
      </c>
      <c r="K50" s="49">
        <f>'I-O'!K50*Harga!$D$50</f>
        <v>900000</v>
      </c>
      <c r="L50" s="49">
        <f>'I-O'!L50*Harga!$D$50</f>
        <v>900000</v>
      </c>
      <c r="M50" s="49">
        <f>'I-O'!M50*Harga!$D$50</f>
        <v>900000</v>
      </c>
      <c r="N50" s="49">
        <f>'I-O'!N50*Harga!$D$50</f>
        <v>900000</v>
      </c>
      <c r="O50" s="49">
        <f>'I-O'!O50*Harga!$D$50</f>
        <v>900000</v>
      </c>
      <c r="P50" s="49">
        <f>'I-O'!P50*Harga!$D$50</f>
        <v>900000</v>
      </c>
      <c r="Q50" s="49">
        <f>'I-O'!Q50*Harga!$D$50</f>
        <v>900000</v>
      </c>
      <c r="R50" s="49">
        <f>'I-O'!R50*Harga!$D$50</f>
        <v>900000</v>
      </c>
      <c r="S50" s="49">
        <f>'I-O'!S50*Harga!$D$50</f>
        <v>900000</v>
      </c>
      <c r="T50" s="49">
        <f>'I-O'!T50*Harga!$D$50</f>
        <v>900000</v>
      </c>
      <c r="U50" s="49">
        <f>'I-O'!U50*Harga!$D$50</f>
        <v>900000</v>
      </c>
      <c r="V50" s="49">
        <f>'I-O'!V50*Harga!$D$50</f>
        <v>900000</v>
      </c>
      <c r="W50" s="49">
        <f>'I-O'!W50*Harga!$D$50</f>
        <v>900000</v>
      </c>
      <c r="X50" s="49">
        <f>'I-O'!X50*Harga!$D$50</f>
        <v>900000</v>
      </c>
      <c r="Y50" s="49">
        <f>'I-O'!Y50*Harga!$D$50</f>
        <v>900000</v>
      </c>
      <c r="Z50" s="49">
        <f>'I-O'!Z50*Harga!$D$50</f>
        <v>900000</v>
      </c>
      <c r="AA50" s="49">
        <f>'I-O'!AA50*Harga!$D$50</f>
        <v>900000</v>
      </c>
      <c r="AB50" s="49">
        <f>'I-O'!AB50*Harga!$D$50</f>
        <v>900000</v>
      </c>
      <c r="AC50" s="49">
        <f>'I-O'!AC50*Harga!$D$50</f>
        <v>900000</v>
      </c>
      <c r="AD50" s="49">
        <f>'I-O'!AD50*Harga!$D$50</f>
        <v>900000</v>
      </c>
      <c r="AE50" s="49">
        <f>'I-O'!AE50*Harga!$D$50</f>
        <v>900000</v>
      </c>
      <c r="AF50" s="49">
        <f>'I-O'!AF50*Harga!$D$50</f>
        <v>900000</v>
      </c>
    </row>
    <row r="51" spans="1:33">
      <c r="A51" s="16" t="s">
        <v>143</v>
      </c>
      <c r="B51" s="8" t="s">
        <v>30</v>
      </c>
      <c r="C51" s="49">
        <f>'I-O'!C51*Harga!$D$51</f>
        <v>0</v>
      </c>
      <c r="D51" s="49">
        <f>'I-O'!D51*Harga!$D$51</f>
        <v>0</v>
      </c>
      <c r="E51" s="49">
        <f>'I-O'!E51*Harga!$D$51</f>
        <v>1050000</v>
      </c>
      <c r="F51" s="49">
        <f>'I-O'!F51*Harga!$D$51</f>
        <v>1050000</v>
      </c>
      <c r="G51" s="49">
        <f>'I-O'!G51*Harga!$D$51</f>
        <v>1050000</v>
      </c>
      <c r="H51" s="49">
        <f>'I-O'!H51*Harga!$D$51</f>
        <v>1050000</v>
      </c>
      <c r="I51" s="49">
        <f>'I-O'!I51*Harga!$D$51</f>
        <v>1050000</v>
      </c>
      <c r="J51" s="49">
        <f>'I-O'!J51*Harga!$D$51</f>
        <v>1050000</v>
      </c>
      <c r="K51" s="49">
        <f>'I-O'!K51*Harga!$D$51</f>
        <v>1050000</v>
      </c>
      <c r="L51" s="49">
        <f>'I-O'!L51*Harga!$D$51</f>
        <v>1050000</v>
      </c>
      <c r="M51" s="49">
        <f>'I-O'!M51*Harga!$D$51</f>
        <v>1050000</v>
      </c>
      <c r="N51" s="49">
        <f>'I-O'!N51*Harga!$D$51</f>
        <v>1050000</v>
      </c>
      <c r="O51" s="49">
        <f>'I-O'!O51*Harga!$D$51</f>
        <v>1050000</v>
      </c>
      <c r="P51" s="49">
        <f>'I-O'!P51*Harga!$D$51</f>
        <v>1050000</v>
      </c>
      <c r="Q51" s="49">
        <f>'I-O'!Q51*Harga!$D$51</f>
        <v>1050000</v>
      </c>
      <c r="R51" s="49">
        <f>'I-O'!R51*Harga!$D$51</f>
        <v>1050000</v>
      </c>
      <c r="S51" s="49">
        <f>'I-O'!S51*Harga!$D$51</f>
        <v>1050000</v>
      </c>
      <c r="T51" s="49">
        <f>'I-O'!T51*Harga!$D$51</f>
        <v>1050000</v>
      </c>
      <c r="U51" s="49">
        <f>'I-O'!U51*Harga!$D$51</f>
        <v>1050000</v>
      </c>
      <c r="V51" s="49">
        <f>'I-O'!V51*Harga!$D$51</f>
        <v>1050000</v>
      </c>
      <c r="W51" s="49">
        <f>'I-O'!W51*Harga!$D$51</f>
        <v>1050000</v>
      </c>
      <c r="X51" s="49">
        <f>'I-O'!X51*Harga!$D$51</f>
        <v>1050000</v>
      </c>
      <c r="Y51" s="49">
        <f>'I-O'!Y51*Harga!$D$51</f>
        <v>1050000</v>
      </c>
      <c r="Z51" s="49">
        <f>'I-O'!Z51*Harga!$D$51</f>
        <v>1050000</v>
      </c>
      <c r="AA51" s="49">
        <f>'I-O'!AA51*Harga!$D$51</f>
        <v>1050000</v>
      </c>
      <c r="AB51" s="49">
        <f>'I-O'!AB51*Harga!$D$51</f>
        <v>1050000</v>
      </c>
      <c r="AC51" s="49">
        <f>'I-O'!AC51*Harga!$D$51</f>
        <v>1050000</v>
      </c>
      <c r="AD51" s="49">
        <f>'I-O'!AD51*Harga!$D$51</f>
        <v>1050000</v>
      </c>
      <c r="AE51" s="49">
        <f>'I-O'!AE51*Harga!$D$51</f>
        <v>1050000</v>
      </c>
      <c r="AF51" s="49">
        <f>'I-O'!AF51*Harga!$D$51</f>
        <v>1050000</v>
      </c>
    </row>
    <row r="52" spans="1:33">
      <c r="A52" s="16" t="s">
        <v>233</v>
      </c>
      <c r="B52" s="8" t="s">
        <v>30</v>
      </c>
      <c r="C52" s="49">
        <f>'I-O'!C52*Harga!$D$52</f>
        <v>300000</v>
      </c>
      <c r="D52" s="49">
        <f>'I-O'!D52*Harga!$D$52</f>
        <v>300000</v>
      </c>
      <c r="E52" s="49">
        <f>'I-O'!E52*Harga!$D$52</f>
        <v>300000</v>
      </c>
      <c r="F52" s="49">
        <f>'I-O'!F52*Harga!$D$52</f>
        <v>300000</v>
      </c>
      <c r="G52" s="49">
        <f>'I-O'!G52*Harga!$D$52</f>
        <v>150000</v>
      </c>
      <c r="H52" s="49">
        <f>'I-O'!H52*Harga!$D$52</f>
        <v>150000</v>
      </c>
      <c r="I52" s="49">
        <f>'I-O'!I52*Harga!$D$52</f>
        <v>150000</v>
      </c>
      <c r="J52" s="49">
        <f>'I-O'!J52*Harga!$D$52</f>
        <v>150000</v>
      </c>
      <c r="K52" s="49">
        <f>'I-O'!K52*Harga!$D$52</f>
        <v>150000</v>
      </c>
      <c r="L52" s="49">
        <f>'I-O'!L52*Harga!$D$52</f>
        <v>150000</v>
      </c>
      <c r="M52" s="49">
        <f>'I-O'!M52*Harga!$D$52</f>
        <v>150000</v>
      </c>
      <c r="N52" s="49">
        <f>'I-O'!N52*Harga!$D$52</f>
        <v>150000</v>
      </c>
      <c r="O52" s="49">
        <f>'I-O'!O52*Harga!$D$52</f>
        <v>150000</v>
      </c>
      <c r="P52" s="49">
        <f>'I-O'!P52*Harga!$D$52</f>
        <v>150000</v>
      </c>
      <c r="Q52" s="49">
        <f>'I-O'!Q52*Harga!$D$52</f>
        <v>150000</v>
      </c>
      <c r="R52" s="49">
        <f>'I-O'!R52*Harga!$D$52</f>
        <v>150000</v>
      </c>
      <c r="S52" s="49">
        <f>'I-O'!S52*Harga!$D$52</f>
        <v>150000</v>
      </c>
      <c r="T52" s="49">
        <f>'I-O'!T52*Harga!$D$52</f>
        <v>150000</v>
      </c>
      <c r="U52" s="49">
        <f>'I-O'!U52*Harga!$D$52</f>
        <v>150000</v>
      </c>
      <c r="V52" s="49">
        <f>'I-O'!V52*Harga!$D$52</f>
        <v>150000</v>
      </c>
      <c r="W52" s="49">
        <f>'I-O'!W52*Harga!$D$52</f>
        <v>150000</v>
      </c>
      <c r="X52" s="49">
        <f>'I-O'!X52*Harga!$D$52</f>
        <v>150000</v>
      </c>
      <c r="Y52" s="49">
        <f>'I-O'!Y52*Harga!$D$52</f>
        <v>150000</v>
      </c>
      <c r="Z52" s="49">
        <f>'I-O'!Z52*Harga!$D$52</f>
        <v>150000</v>
      </c>
      <c r="AA52" s="49">
        <f>'I-O'!AA52*Harga!$D$52</f>
        <v>150000</v>
      </c>
      <c r="AB52" s="49">
        <f>'I-O'!AB52*Harga!$D$52</f>
        <v>150000</v>
      </c>
      <c r="AC52" s="49">
        <f>'I-O'!AC52*Harga!$D$52</f>
        <v>150000</v>
      </c>
      <c r="AD52" s="49">
        <f>'I-O'!AD52*Harga!$D$52</f>
        <v>150000</v>
      </c>
      <c r="AE52" s="49">
        <f>'I-O'!AE52*Harga!$D$52</f>
        <v>150000</v>
      </c>
      <c r="AF52" s="49">
        <f>'I-O'!AF52*Harga!$D$52</f>
        <v>150000</v>
      </c>
    </row>
    <row r="53" spans="1:33">
      <c r="A53" s="16" t="s">
        <v>234</v>
      </c>
      <c r="B53" s="8" t="s">
        <v>30</v>
      </c>
      <c r="C53" s="49">
        <f>'I-O'!C53*Harga!$D$53</f>
        <v>450000</v>
      </c>
      <c r="D53" s="49">
        <f>'I-O'!D53*Harga!$D$53</f>
        <v>450000</v>
      </c>
      <c r="E53" s="49">
        <f>'I-O'!E53*Harga!$D$53</f>
        <v>450000</v>
      </c>
      <c r="F53" s="49">
        <f>'I-O'!F53*Harga!$D$53</f>
        <v>450000</v>
      </c>
      <c r="G53" s="49">
        <f>'I-O'!G53*Harga!$D$53</f>
        <v>450000</v>
      </c>
      <c r="H53" s="49">
        <f>'I-O'!H53*Harga!$D$53</f>
        <v>450000</v>
      </c>
      <c r="I53" s="49">
        <f>'I-O'!I53*Harga!$D$53</f>
        <v>450000</v>
      </c>
      <c r="J53" s="49">
        <f>'I-O'!J53*Harga!$D$53</f>
        <v>450000</v>
      </c>
      <c r="K53" s="49">
        <f>'I-O'!K53*Harga!$D$53</f>
        <v>450000</v>
      </c>
      <c r="L53" s="49">
        <f>'I-O'!L53*Harga!$D$53</f>
        <v>450000</v>
      </c>
      <c r="M53" s="49">
        <f>'I-O'!M53*Harga!$D$53</f>
        <v>450000</v>
      </c>
      <c r="N53" s="49">
        <f>'I-O'!N53*Harga!$D$53</f>
        <v>450000</v>
      </c>
      <c r="O53" s="49">
        <f>'I-O'!O53*Harga!$D$53</f>
        <v>450000</v>
      </c>
      <c r="P53" s="49">
        <f>'I-O'!P53*Harga!$D$53</f>
        <v>450000</v>
      </c>
      <c r="Q53" s="49">
        <f>'I-O'!Q53*Harga!$D$53</f>
        <v>450000</v>
      </c>
      <c r="R53" s="49">
        <f>'I-O'!R53*Harga!$D$53</f>
        <v>450000</v>
      </c>
      <c r="S53" s="49">
        <f>'I-O'!S53*Harga!$D$53</f>
        <v>450000</v>
      </c>
      <c r="T53" s="49">
        <f>'I-O'!T53*Harga!$D$53</f>
        <v>450000</v>
      </c>
      <c r="U53" s="49">
        <f>'I-O'!U53*Harga!$D$53</f>
        <v>450000</v>
      </c>
      <c r="V53" s="49">
        <f>'I-O'!V53*Harga!$D$53</f>
        <v>450000</v>
      </c>
      <c r="W53" s="49">
        <f>'I-O'!W53*Harga!$D$53</f>
        <v>450000</v>
      </c>
      <c r="X53" s="49">
        <f>'I-O'!X53*Harga!$D$53</f>
        <v>450000</v>
      </c>
      <c r="Y53" s="49">
        <f>'I-O'!Y53*Harga!$D$53</f>
        <v>450000</v>
      </c>
      <c r="Z53" s="49">
        <f>'I-O'!Z53*Harga!$D$53</f>
        <v>450000</v>
      </c>
      <c r="AA53" s="49">
        <f>'I-O'!AA53*Harga!$D$53</f>
        <v>450000</v>
      </c>
      <c r="AB53" s="49">
        <f>'I-O'!AB53*Harga!$D$53</f>
        <v>450000</v>
      </c>
      <c r="AC53" s="49">
        <f>'I-O'!AC53*Harga!$D$53</f>
        <v>450000</v>
      </c>
      <c r="AD53" s="49">
        <f>'I-O'!AD53*Harga!$D$53</f>
        <v>450000</v>
      </c>
      <c r="AE53" s="49">
        <f>'I-O'!AE53*Harga!$D$53</f>
        <v>450000</v>
      </c>
      <c r="AF53" s="49">
        <f>'I-O'!AF53*Harga!$D$53</f>
        <v>450000</v>
      </c>
    </row>
    <row r="54" spans="1:33">
      <c r="A54" s="166" t="s">
        <v>239</v>
      </c>
      <c r="B54" s="8" t="s">
        <v>30</v>
      </c>
      <c r="C54" s="49">
        <f>'I-O'!C60*Harga!$D$54</f>
        <v>0</v>
      </c>
      <c r="D54" s="49">
        <f>'I-O'!D60*Harga!$D$54</f>
        <v>0</v>
      </c>
      <c r="E54" s="49">
        <f>'I-O'!E60*Harga!$D$54</f>
        <v>218412</v>
      </c>
      <c r="F54" s="49">
        <f>'I-O'!F60*Harga!$D$54</f>
        <v>396768</v>
      </c>
      <c r="G54" s="49">
        <f>'I-O'!G60*Harga!$D$54</f>
        <v>563003.99999999988</v>
      </c>
      <c r="H54" s="49">
        <f>'I-O'!H60*Harga!$D$54</f>
        <v>717120.00000000012</v>
      </c>
      <c r="I54" s="49">
        <f>'I-O'!I60*Harga!$D$54</f>
        <v>859116</v>
      </c>
      <c r="J54" s="49">
        <f>'I-O'!J60*Harga!$D$54</f>
        <v>988992</v>
      </c>
      <c r="K54" s="49">
        <f>'I-O'!K60*Harga!$D$54</f>
        <v>1106748</v>
      </c>
      <c r="L54" s="49">
        <f>'I-O'!L60*Harga!$D$54</f>
        <v>1212383.9999999998</v>
      </c>
      <c r="M54" s="49">
        <f>'I-O'!M60*Harga!$D$54</f>
        <v>1305900</v>
      </c>
      <c r="N54" s="49">
        <f>'I-O'!N60*Harga!$D$54</f>
        <v>1387295.9999999995</v>
      </c>
      <c r="O54" s="49">
        <f>'I-O'!O60*Harga!$D$54</f>
        <v>1456571.9999999998</v>
      </c>
      <c r="P54" s="49">
        <f>'I-O'!P60*Harga!$D$54</f>
        <v>1513728</v>
      </c>
      <c r="Q54" s="49">
        <f>'I-O'!Q60*Harga!$D$54</f>
        <v>1558764</v>
      </c>
      <c r="R54" s="49">
        <f>'I-O'!R60*Harga!$D$54</f>
        <v>1591680</v>
      </c>
      <c r="S54" s="49">
        <f>'I-O'!S60*Harga!$D$54</f>
        <v>1612476</v>
      </c>
      <c r="T54" s="49">
        <f>'I-O'!T60*Harga!$D$54</f>
        <v>1621151.9999999995</v>
      </c>
      <c r="U54" s="49">
        <f>'I-O'!U60*Harga!$D$54</f>
        <v>1617708.0000000002</v>
      </c>
      <c r="V54" s="49">
        <f>'I-O'!V60*Harga!$D$54</f>
        <v>1602143.9999999998</v>
      </c>
      <c r="W54" s="49">
        <f>'I-O'!W60*Harga!$D$54</f>
        <v>1574460.0000000005</v>
      </c>
      <c r="X54" s="49">
        <f>'I-O'!X60*Harga!$D$54</f>
        <v>1534655.9999999998</v>
      </c>
      <c r="Y54" s="49">
        <f>'I-O'!Y60*Harga!$D$54</f>
        <v>1482732.0000000002</v>
      </c>
      <c r="Z54" s="49">
        <f>'I-O'!Z60*Harga!$D$54</f>
        <v>1418687.9999999993</v>
      </c>
      <c r="AA54" s="49">
        <f>'I-O'!AA60*Harga!$D$54</f>
        <v>1342524</v>
      </c>
      <c r="AB54" s="49">
        <f>'I-O'!AB60*Harga!$D$54</f>
        <v>1254239.9999999993</v>
      </c>
      <c r="AC54" s="49">
        <f>'I-O'!AC60*Harga!$D$54</f>
        <v>1153836.0000000002</v>
      </c>
      <c r="AD54" s="49">
        <f>'I-O'!AD60*Harga!$D$54</f>
        <v>1041311.9999999995</v>
      </c>
      <c r="AE54" s="49">
        <f>'I-O'!AE60*Harga!$D$54</f>
        <v>916668.00000000058</v>
      </c>
      <c r="AF54" s="49">
        <f>'I-O'!AF60*Harga!$D$54</f>
        <v>779904</v>
      </c>
    </row>
    <row r="55" spans="1:33">
      <c r="A55" s="38" t="s">
        <v>107</v>
      </c>
      <c r="B55" s="8"/>
      <c r="C55" s="48">
        <f>SUM(C29:C54)</f>
        <v>2275000</v>
      </c>
      <c r="D55" s="48">
        <f t="shared" ref="D55:AF55" si="1">SUM(D29:D54)</f>
        <v>1650000</v>
      </c>
      <c r="E55" s="48">
        <f t="shared" si="1"/>
        <v>2918412</v>
      </c>
      <c r="F55" s="48">
        <f t="shared" si="1"/>
        <v>3096768</v>
      </c>
      <c r="G55" s="48">
        <f t="shared" si="1"/>
        <v>3113004</v>
      </c>
      <c r="H55" s="48">
        <f t="shared" si="1"/>
        <v>3267120</v>
      </c>
      <c r="I55" s="48">
        <f t="shared" si="1"/>
        <v>3409116</v>
      </c>
      <c r="J55" s="48">
        <f t="shared" si="1"/>
        <v>3538992</v>
      </c>
      <c r="K55" s="48">
        <f t="shared" si="1"/>
        <v>3656748</v>
      </c>
      <c r="L55" s="48">
        <f t="shared" si="1"/>
        <v>3762384</v>
      </c>
      <c r="M55" s="48">
        <f t="shared" si="1"/>
        <v>3855900</v>
      </c>
      <c r="N55" s="48">
        <f t="shared" si="1"/>
        <v>3937295.9999999995</v>
      </c>
      <c r="O55" s="48">
        <f t="shared" si="1"/>
        <v>4006572</v>
      </c>
      <c r="P55" s="48">
        <f t="shared" si="1"/>
        <v>4063728</v>
      </c>
      <c r="Q55" s="48">
        <f t="shared" si="1"/>
        <v>4108764</v>
      </c>
      <c r="R55" s="48">
        <f t="shared" si="1"/>
        <v>4141680</v>
      </c>
      <c r="S55" s="48">
        <f t="shared" si="1"/>
        <v>4162476</v>
      </c>
      <c r="T55" s="48">
        <f t="shared" si="1"/>
        <v>4171151.9999999995</v>
      </c>
      <c r="U55" s="48">
        <f t="shared" si="1"/>
        <v>4167708</v>
      </c>
      <c r="V55" s="48">
        <f t="shared" si="1"/>
        <v>4152144</v>
      </c>
      <c r="W55" s="48">
        <f t="shared" si="1"/>
        <v>4124460.0000000005</v>
      </c>
      <c r="X55" s="48">
        <f t="shared" si="1"/>
        <v>4084656</v>
      </c>
      <c r="Y55" s="48">
        <f t="shared" si="1"/>
        <v>4032732</v>
      </c>
      <c r="Z55" s="48">
        <f t="shared" si="1"/>
        <v>3968687.9999999991</v>
      </c>
      <c r="AA55" s="48">
        <f t="shared" si="1"/>
        <v>3892524</v>
      </c>
      <c r="AB55" s="48">
        <f t="shared" si="1"/>
        <v>3804239.9999999991</v>
      </c>
      <c r="AC55" s="48">
        <f t="shared" si="1"/>
        <v>3703836</v>
      </c>
      <c r="AD55" s="48">
        <f t="shared" si="1"/>
        <v>3591311.9999999995</v>
      </c>
      <c r="AE55" s="48">
        <f t="shared" si="1"/>
        <v>3466668.0000000005</v>
      </c>
      <c r="AF55" s="48">
        <f t="shared" si="1"/>
        <v>3329904</v>
      </c>
    </row>
    <row r="56" spans="1:33">
      <c r="A56" s="37"/>
      <c r="B56" s="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211"/>
      <c r="AB56" s="48"/>
      <c r="AC56" s="48"/>
      <c r="AD56" s="48"/>
      <c r="AE56" s="48"/>
      <c r="AF56" s="48"/>
    </row>
    <row r="57" spans="1:33">
      <c r="A57" s="37" t="s">
        <v>105</v>
      </c>
      <c r="B57" s="8" t="s">
        <v>30</v>
      </c>
      <c r="C57" s="48">
        <f>C80</f>
        <v>0</v>
      </c>
      <c r="D57" s="48">
        <f t="shared" ref="D57:AA57" si="2">D80</f>
        <v>0</v>
      </c>
      <c r="E57" s="48">
        <f t="shared" si="2"/>
        <v>37946.653846153844</v>
      </c>
      <c r="F57" s="48">
        <f t="shared" si="2"/>
        <v>7431.5</v>
      </c>
      <c r="G57" s="48">
        <f t="shared" si="2"/>
        <v>6926.5</v>
      </c>
      <c r="H57" s="48">
        <f t="shared" si="2"/>
        <v>6421.5000000000073</v>
      </c>
      <c r="I57" s="48">
        <f t="shared" si="2"/>
        <v>5916.4999999999927</v>
      </c>
      <c r="J57" s="48">
        <f t="shared" si="2"/>
        <v>5411.5</v>
      </c>
      <c r="K57" s="48">
        <f t="shared" si="2"/>
        <v>4906.5</v>
      </c>
      <c r="L57" s="48">
        <f t="shared" si="2"/>
        <v>4401.5</v>
      </c>
      <c r="M57" s="48">
        <f t="shared" si="2"/>
        <v>3896.5</v>
      </c>
      <c r="N57" s="48">
        <f t="shared" si="2"/>
        <v>3391.4999999999854</v>
      </c>
      <c r="O57" s="48">
        <f t="shared" si="2"/>
        <v>2886.5000000000146</v>
      </c>
      <c r="P57" s="48">
        <f t="shared" si="2"/>
        <v>2381.5</v>
      </c>
      <c r="Q57" s="48">
        <f t="shared" si="2"/>
        <v>1876.5</v>
      </c>
      <c r="R57" s="48">
        <f t="shared" si="2"/>
        <v>1371.5</v>
      </c>
      <c r="S57" s="48">
        <f t="shared" si="2"/>
        <v>866.5</v>
      </c>
      <c r="T57" s="48">
        <f t="shared" si="2"/>
        <v>361.49999999998545</v>
      </c>
      <c r="U57" s="48">
        <f t="shared" si="2"/>
        <v>-143.4999999999709</v>
      </c>
      <c r="V57" s="48">
        <f t="shared" si="2"/>
        <v>-648.5000000000291</v>
      </c>
      <c r="W57" s="48">
        <f t="shared" si="2"/>
        <v>-1153.4999999999709</v>
      </c>
      <c r="X57" s="48">
        <f t="shared" si="2"/>
        <v>-1658.5000000000146</v>
      </c>
      <c r="Y57" s="48">
        <f t="shared" si="2"/>
        <v>-2163.4999999999854</v>
      </c>
      <c r="Z57" s="48">
        <f t="shared" si="2"/>
        <v>-2668.5000000000437</v>
      </c>
      <c r="AA57" s="211">
        <f t="shared" si="2"/>
        <v>-3173.4999999999709</v>
      </c>
      <c r="AB57" s="48">
        <f>AB80</f>
        <v>-3678.5000000000291</v>
      </c>
      <c r="AC57" s="48">
        <f>AC80</f>
        <v>-4183.4999999999563</v>
      </c>
      <c r="AD57" s="48">
        <f>AD80</f>
        <v>-4688.5000000000291</v>
      </c>
      <c r="AE57" s="48">
        <f>AE80</f>
        <v>-5193.4999999999563</v>
      </c>
      <c r="AF57" s="48">
        <f>AF80</f>
        <v>-67040.653846153873</v>
      </c>
      <c r="AG57" s="42"/>
    </row>
    <row r="58" spans="1:33">
      <c r="A58" s="37"/>
      <c r="B58" s="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211"/>
      <c r="AB58" s="48"/>
      <c r="AC58" s="48"/>
      <c r="AD58" s="48"/>
      <c r="AE58" s="48"/>
      <c r="AF58" s="48"/>
    </row>
    <row r="59" spans="1:33" ht="15.75">
      <c r="A59" s="31" t="s">
        <v>172</v>
      </c>
      <c r="B59" s="239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5"/>
      <c r="AB59" s="245"/>
      <c r="AC59" s="245"/>
      <c r="AD59" s="245"/>
      <c r="AE59" s="245"/>
      <c r="AF59" s="245"/>
    </row>
    <row r="60" spans="1:33">
      <c r="A60" s="224" t="s">
        <v>319</v>
      </c>
      <c r="B60" s="40" t="s">
        <v>30</v>
      </c>
      <c r="C60" s="225">
        <f>'I-O'!C59*Harga!D57</f>
        <v>0</v>
      </c>
      <c r="D60" s="225">
        <f>'I-O'!D59*Harga!E57</f>
        <v>0</v>
      </c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6"/>
      <c r="AB60" s="226"/>
      <c r="AC60" s="226"/>
      <c r="AD60" s="226"/>
      <c r="AE60" s="226"/>
      <c r="AF60" s="226"/>
    </row>
    <row r="61" spans="1:33">
      <c r="A61" s="39" t="s">
        <v>33</v>
      </c>
      <c r="B61" s="40" t="s">
        <v>30</v>
      </c>
      <c r="C61" s="50">
        <f>'I-O'!C60*Harga!$D$58*1000</f>
        <v>0</v>
      </c>
      <c r="D61" s="50">
        <f>'I-O'!D60*Harga!$D$58*1000</f>
        <v>0</v>
      </c>
      <c r="E61" s="50">
        <f>'I-O'!E60*Harga!$D$58*1000</f>
        <v>2617565.9179936191</v>
      </c>
      <c r="F61" s="50">
        <f>'I-O'!F60*Harga!$D$58*1000</f>
        <v>4755079.3644602513</v>
      </c>
      <c r="G61" s="50">
        <f>'I-O'!G60*Harga!$D$58*1000</f>
        <v>6747340.265617637</v>
      </c>
      <c r="H61" s="50">
        <f>'I-O'!H60*Harga!$D$58*1000</f>
        <v>8594348.6214657817</v>
      </c>
      <c r="I61" s="50">
        <f>'I-O'!I60*Harga!$D$58*1000</f>
        <v>10296104.432004679</v>
      </c>
      <c r="J61" s="50">
        <f>'I-O'!J60*Harga!$D$58*1000</f>
        <v>11852607.697234334</v>
      </c>
      <c r="K61" s="50">
        <f>'I-O'!K60*Harga!$D$58*1000</f>
        <v>13263858.417154742</v>
      </c>
      <c r="L61" s="50">
        <f>'I-O'!L60*Harga!$D$58*1000</f>
        <v>14529856.591765905</v>
      </c>
      <c r="M61" s="50">
        <f>'I-O'!M60*Harga!$D$58*1000</f>
        <v>15650602.221067831</v>
      </c>
      <c r="N61" s="50">
        <f>'I-O'!N60*Harga!$D$58*1000</f>
        <v>16626095.305060502</v>
      </c>
      <c r="O61" s="50">
        <f>'I-O'!O60*Harga!$D$58*1000</f>
        <v>17456335.843743939</v>
      </c>
      <c r="P61" s="50">
        <f>'I-O'!P60*Harga!$D$58*1000</f>
        <v>18141323.83711813</v>
      </c>
      <c r="Q61" s="50">
        <f>'I-O'!Q60*Harga!$D$58*1000</f>
        <v>18681059.285183072</v>
      </c>
      <c r="R61" s="50">
        <f>'I-O'!R60*Harga!$D$58*1000</f>
        <v>19075542.187938772</v>
      </c>
      <c r="S61" s="50">
        <f>'I-O'!S60*Harga!$D$58*1000</f>
        <v>19324772.54538523</v>
      </c>
      <c r="T61" s="50">
        <f>'I-O'!T60*Harga!$D$58*1000</f>
        <v>19428750.357522435</v>
      </c>
      <c r="U61" s="50">
        <f>'I-O'!U60*Harga!$D$58*1000</f>
        <v>19387475.624350414</v>
      </c>
      <c r="V61" s="50">
        <f>'I-O'!V60*Harga!$D$58*1000</f>
        <v>19200948.345869128</v>
      </c>
      <c r="W61" s="50">
        <f>'I-O'!W60*Harga!$D$58*1000</f>
        <v>18869168.522078618</v>
      </c>
      <c r="X61" s="50">
        <f>'I-O'!X60*Harga!$D$58*1000</f>
        <v>18392136.152978841</v>
      </c>
      <c r="Y61" s="50">
        <f>'I-O'!Y60*Harga!$D$58*1000</f>
        <v>17769851.238569837</v>
      </c>
      <c r="Z61" s="50">
        <f>'I-O'!Z60*Harga!$D$58*1000</f>
        <v>17002313.778851572</v>
      </c>
      <c r="AA61" s="50">
        <f>'I-O'!AA60*Harga!$D$58*1000</f>
        <v>16089523.773824081</v>
      </c>
      <c r="AB61" s="50">
        <f>'I-O'!AB60*Harga!$D$58*1000</f>
        <v>15031481.223487332</v>
      </c>
      <c r="AC61" s="50">
        <f>'I-O'!AC60*Harga!$D$58*1000</f>
        <v>13828186.127841355</v>
      </c>
      <c r="AD61" s="50">
        <f>'I-O'!AD60*Harga!$D$58*1000</f>
        <v>12479638.486886116</v>
      </c>
      <c r="AE61" s="50">
        <f>'I-O'!AE60*Harga!$D$58*1000</f>
        <v>10985838.300621651</v>
      </c>
      <c r="AF61" s="50">
        <f>'I-O'!AF60*Harga!$D$58*1000</f>
        <v>9346785.569047926</v>
      </c>
    </row>
    <row r="62" spans="1:33">
      <c r="A62" s="216"/>
      <c r="B62" s="194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</row>
    <row r="63" spans="1:33">
      <c r="A63" s="228" t="s">
        <v>34</v>
      </c>
      <c r="B63" s="219" t="s">
        <v>30</v>
      </c>
      <c r="C63" s="229">
        <f>C60+C61</f>
        <v>0</v>
      </c>
      <c r="D63" s="229">
        <f t="shared" ref="D63:AF63" si="3">D60+D61</f>
        <v>0</v>
      </c>
      <c r="E63" s="229">
        <f t="shared" si="3"/>
        <v>2617565.9179936191</v>
      </c>
      <c r="F63" s="229">
        <f t="shared" si="3"/>
        <v>4755079.3644602513</v>
      </c>
      <c r="G63" s="229">
        <f t="shared" si="3"/>
        <v>6747340.265617637</v>
      </c>
      <c r="H63" s="229">
        <f t="shared" si="3"/>
        <v>8594348.6214657817</v>
      </c>
      <c r="I63" s="229">
        <f t="shared" si="3"/>
        <v>10296104.432004679</v>
      </c>
      <c r="J63" s="229">
        <f t="shared" si="3"/>
        <v>11852607.697234334</v>
      </c>
      <c r="K63" s="229">
        <f t="shared" si="3"/>
        <v>13263858.417154742</v>
      </c>
      <c r="L63" s="229">
        <f t="shared" si="3"/>
        <v>14529856.591765905</v>
      </c>
      <c r="M63" s="229">
        <f t="shared" si="3"/>
        <v>15650602.221067831</v>
      </c>
      <c r="N63" s="229">
        <f t="shared" si="3"/>
        <v>16626095.305060502</v>
      </c>
      <c r="O63" s="229">
        <f t="shared" si="3"/>
        <v>17456335.843743939</v>
      </c>
      <c r="P63" s="229">
        <f t="shared" si="3"/>
        <v>18141323.83711813</v>
      </c>
      <c r="Q63" s="229">
        <f t="shared" si="3"/>
        <v>18681059.285183072</v>
      </c>
      <c r="R63" s="229">
        <f t="shared" si="3"/>
        <v>19075542.187938772</v>
      </c>
      <c r="S63" s="229">
        <f t="shared" si="3"/>
        <v>19324772.54538523</v>
      </c>
      <c r="T63" s="229">
        <f t="shared" si="3"/>
        <v>19428750.357522435</v>
      </c>
      <c r="U63" s="229">
        <f t="shared" si="3"/>
        <v>19387475.624350414</v>
      </c>
      <c r="V63" s="229">
        <f t="shared" si="3"/>
        <v>19200948.345869128</v>
      </c>
      <c r="W63" s="229">
        <f t="shared" si="3"/>
        <v>18869168.522078618</v>
      </c>
      <c r="X63" s="229">
        <f t="shared" si="3"/>
        <v>18392136.152978841</v>
      </c>
      <c r="Y63" s="229">
        <f t="shared" si="3"/>
        <v>17769851.238569837</v>
      </c>
      <c r="Z63" s="229">
        <f t="shared" si="3"/>
        <v>17002313.778851572</v>
      </c>
      <c r="AA63" s="229">
        <f t="shared" si="3"/>
        <v>16089523.773824081</v>
      </c>
      <c r="AB63" s="229">
        <f t="shared" si="3"/>
        <v>15031481.223487332</v>
      </c>
      <c r="AC63" s="229">
        <f t="shared" si="3"/>
        <v>13828186.127841355</v>
      </c>
      <c r="AD63" s="229">
        <f t="shared" si="3"/>
        <v>12479638.486886116</v>
      </c>
      <c r="AE63" s="229">
        <f t="shared" si="3"/>
        <v>10985838.300621651</v>
      </c>
      <c r="AF63" s="229">
        <f t="shared" si="3"/>
        <v>9346785.569047926</v>
      </c>
    </row>
    <row r="64" spans="1:33">
      <c r="A64" s="228" t="s">
        <v>108</v>
      </c>
      <c r="B64" s="219" t="s">
        <v>30</v>
      </c>
      <c r="C64" s="229">
        <f t="shared" ref="C64:AF64" si="4">C25+C55+C57</f>
        <v>5380000</v>
      </c>
      <c r="D64" s="229">
        <f t="shared" si="4"/>
        <v>2704000</v>
      </c>
      <c r="E64" s="229">
        <f t="shared" si="4"/>
        <v>4285358.653846154</v>
      </c>
      <c r="F64" s="229">
        <f t="shared" si="4"/>
        <v>4213199.5</v>
      </c>
      <c r="G64" s="229">
        <f t="shared" si="4"/>
        <v>4587930.5</v>
      </c>
      <c r="H64" s="229">
        <f t="shared" si="4"/>
        <v>4636541.5</v>
      </c>
      <c r="I64" s="229">
        <f t="shared" si="4"/>
        <v>4303032.5</v>
      </c>
      <c r="J64" s="229">
        <f t="shared" si="4"/>
        <v>4796403.5</v>
      </c>
      <c r="K64" s="229">
        <f t="shared" si="4"/>
        <v>5038654.5</v>
      </c>
      <c r="L64" s="229">
        <f t="shared" si="4"/>
        <v>5268785.5</v>
      </c>
      <c r="M64" s="229">
        <f t="shared" si="4"/>
        <v>4936796.5</v>
      </c>
      <c r="N64" s="229">
        <f t="shared" si="4"/>
        <v>5492687.5</v>
      </c>
      <c r="O64" s="229">
        <f t="shared" si="4"/>
        <v>5086458.5</v>
      </c>
      <c r="P64" s="229">
        <f t="shared" si="4"/>
        <v>5318109.5</v>
      </c>
      <c r="Q64" s="229">
        <f t="shared" si="4"/>
        <v>5737640.5</v>
      </c>
      <c r="R64" s="229">
        <f t="shared" si="4"/>
        <v>5395051.5</v>
      </c>
      <c r="S64" s="229">
        <f t="shared" si="4"/>
        <v>5240342.5</v>
      </c>
      <c r="T64" s="229">
        <f t="shared" si="4"/>
        <v>5723513.5</v>
      </c>
      <c r="U64" s="229">
        <f t="shared" si="4"/>
        <v>5244564.5</v>
      </c>
      <c r="V64" s="229">
        <f t="shared" si="4"/>
        <v>5653495.5</v>
      </c>
      <c r="W64" s="229">
        <f t="shared" si="4"/>
        <v>5500306.5</v>
      </c>
      <c r="X64" s="229">
        <f t="shared" si="4"/>
        <v>5334997.5</v>
      </c>
      <c r="Y64" s="229">
        <f t="shared" si="4"/>
        <v>5107568.5</v>
      </c>
      <c r="Z64" s="229">
        <f t="shared" si="4"/>
        <v>5518019.4999999991</v>
      </c>
      <c r="AA64" s="230">
        <f t="shared" si="4"/>
        <v>5216350.5</v>
      </c>
      <c r="AB64" s="230">
        <f t="shared" si="4"/>
        <v>5052561.4999999991</v>
      </c>
      <c r="AC64" s="230">
        <f t="shared" si="4"/>
        <v>5076652.5</v>
      </c>
      <c r="AD64" s="230">
        <f t="shared" si="4"/>
        <v>4838623.5</v>
      </c>
      <c r="AE64" s="230">
        <f t="shared" si="4"/>
        <v>4538474.5</v>
      </c>
      <c r="AF64" s="230">
        <f t="shared" si="4"/>
        <v>5064863.346153846</v>
      </c>
    </row>
    <row r="65" spans="1:34" s="42" customFormat="1" ht="13.5" thickBot="1">
      <c r="A65" s="231" t="s">
        <v>109</v>
      </c>
      <c r="B65" s="222"/>
      <c r="C65" s="232">
        <f>C63-C64</f>
        <v>-5380000</v>
      </c>
      <c r="D65" s="232">
        <f t="shared" ref="D65:AA65" si="5">D63-D64</f>
        <v>-2704000</v>
      </c>
      <c r="E65" s="232">
        <f t="shared" si="5"/>
        <v>-1667792.7358525349</v>
      </c>
      <c r="F65" s="232">
        <f t="shared" si="5"/>
        <v>541879.86446025129</v>
      </c>
      <c r="G65" s="232">
        <f t="shared" si="5"/>
        <v>2159409.765617637</v>
      </c>
      <c r="H65" s="232">
        <f t="shared" si="5"/>
        <v>3957807.1214657817</v>
      </c>
      <c r="I65" s="232">
        <f t="shared" si="5"/>
        <v>5993071.932004679</v>
      </c>
      <c r="J65" s="232">
        <f t="shared" si="5"/>
        <v>7056204.1972343344</v>
      </c>
      <c r="K65" s="232">
        <f t="shared" si="5"/>
        <v>8225203.9171547424</v>
      </c>
      <c r="L65" s="232">
        <f t="shared" si="5"/>
        <v>9261071.0917659048</v>
      </c>
      <c r="M65" s="232">
        <f t="shared" si="5"/>
        <v>10713805.721067831</v>
      </c>
      <c r="N65" s="232">
        <f t="shared" si="5"/>
        <v>11133407.805060502</v>
      </c>
      <c r="O65" s="232">
        <f t="shared" si="5"/>
        <v>12369877.343743939</v>
      </c>
      <c r="P65" s="232">
        <f t="shared" si="5"/>
        <v>12823214.33711813</v>
      </c>
      <c r="Q65" s="232">
        <f t="shared" si="5"/>
        <v>12943418.785183072</v>
      </c>
      <c r="R65" s="232">
        <f t="shared" si="5"/>
        <v>13680490.687938772</v>
      </c>
      <c r="S65" s="232">
        <f t="shared" si="5"/>
        <v>14084430.04538523</v>
      </c>
      <c r="T65" s="232">
        <f t="shared" si="5"/>
        <v>13705236.857522435</v>
      </c>
      <c r="U65" s="232">
        <f t="shared" si="5"/>
        <v>14142911.124350414</v>
      </c>
      <c r="V65" s="232">
        <f t="shared" si="5"/>
        <v>13547452.845869128</v>
      </c>
      <c r="W65" s="232">
        <f t="shared" si="5"/>
        <v>13368862.022078618</v>
      </c>
      <c r="X65" s="232">
        <f t="shared" si="5"/>
        <v>13057138.652978841</v>
      </c>
      <c r="Y65" s="232">
        <f t="shared" si="5"/>
        <v>12662282.738569837</v>
      </c>
      <c r="Z65" s="232">
        <f t="shared" si="5"/>
        <v>11484294.278851572</v>
      </c>
      <c r="AA65" s="233">
        <f t="shared" si="5"/>
        <v>10873173.273824081</v>
      </c>
      <c r="AB65" s="233">
        <f>AB63-AB64</f>
        <v>9978919.7234873325</v>
      </c>
      <c r="AC65" s="233">
        <f>AC63-AC64</f>
        <v>8751533.6278413553</v>
      </c>
      <c r="AD65" s="233">
        <f>AD63-AD64</f>
        <v>7641014.9868861157</v>
      </c>
      <c r="AE65" s="233">
        <f>AE63-AE64</f>
        <v>6447363.8006216511</v>
      </c>
      <c r="AF65" s="233">
        <f>AF63-AF64</f>
        <v>4281922.22289408</v>
      </c>
      <c r="AG65" s="42">
        <f>SUM(C65:AA65)</f>
        <v>218032851.67339319</v>
      </c>
    </row>
    <row r="67" spans="1:34">
      <c r="A67" s="64" t="s">
        <v>141</v>
      </c>
      <c r="B67" s="68">
        <f>IRR(C65:AF65,Asumsi!D48)</f>
        <v>0.32812590664683927</v>
      </c>
      <c r="C67" s="210"/>
    </row>
    <row r="68" spans="1:34">
      <c r="A68" s="64" t="s">
        <v>127</v>
      </c>
      <c r="B68" s="53">
        <f>NPV(Asumsi!D8,C64:E64)</f>
        <v>11736813.599380331</v>
      </c>
      <c r="C68" s="3"/>
    </row>
    <row r="69" spans="1:34">
      <c r="A69" s="64" t="s">
        <v>128</v>
      </c>
      <c r="B69" s="65">
        <f>COUNTIF(C65:AA65,"&lt;=0")+1</f>
        <v>4</v>
      </c>
      <c r="C69" s="3"/>
    </row>
    <row r="70" spans="1:34">
      <c r="A70" s="64" t="s">
        <v>129</v>
      </c>
      <c r="B70" s="53">
        <f>SUM(C64:E64)</f>
        <v>12369358.653846154</v>
      </c>
      <c r="C70" s="53" t="s">
        <v>30</v>
      </c>
    </row>
    <row r="71" spans="1:34">
      <c r="A71" s="64" t="s">
        <v>130</v>
      </c>
      <c r="B71" s="53">
        <f>AVERAGE(C64:E64)</f>
        <v>4123119.5512820515</v>
      </c>
      <c r="C71" s="53" t="s">
        <v>131</v>
      </c>
    </row>
    <row r="72" spans="1:34">
      <c r="A72" s="303" t="s">
        <v>332</v>
      </c>
      <c r="B72" s="304">
        <f>SUM(C64:AF64)</f>
        <v>150290984</v>
      </c>
    </row>
    <row r="73" spans="1:34">
      <c r="A73" s="305" t="s">
        <v>333</v>
      </c>
      <c r="B73" s="304">
        <f>SUM(C55:AF55)</f>
        <v>109453984</v>
      </c>
    </row>
    <row r="74" spans="1:34">
      <c r="A74" s="305" t="s">
        <v>334</v>
      </c>
      <c r="B74" s="304">
        <f>B72-B73</f>
        <v>40837000</v>
      </c>
    </row>
    <row r="75" spans="1:34">
      <c r="A75" s="43" t="s">
        <v>100</v>
      </c>
    </row>
    <row r="76" spans="1:34">
      <c r="A76" s="44" t="s">
        <v>104</v>
      </c>
    </row>
    <row r="77" spans="1:34" s="24" customFormat="1">
      <c r="A77" s="45" t="s">
        <v>28</v>
      </c>
      <c r="B77" s="46"/>
      <c r="E77" s="24">
        <f>E54/24</f>
        <v>9100.5</v>
      </c>
      <c r="F77" s="24">
        <f t="shared" ref="F77:AF77" si="6">F54/24</f>
        <v>16532</v>
      </c>
      <c r="G77" s="24">
        <f t="shared" si="6"/>
        <v>23458.499999999996</v>
      </c>
      <c r="H77" s="24">
        <f t="shared" si="6"/>
        <v>29880.000000000004</v>
      </c>
      <c r="I77" s="24">
        <f t="shared" si="6"/>
        <v>35796.5</v>
      </c>
      <c r="J77" s="24">
        <f t="shared" si="6"/>
        <v>41208</v>
      </c>
      <c r="K77" s="24">
        <f t="shared" si="6"/>
        <v>46114.5</v>
      </c>
      <c r="L77" s="24">
        <f t="shared" si="6"/>
        <v>50515.999999999993</v>
      </c>
      <c r="M77" s="24">
        <f t="shared" si="6"/>
        <v>54412.5</v>
      </c>
      <c r="N77" s="24">
        <f t="shared" si="6"/>
        <v>57803.999999999978</v>
      </c>
      <c r="O77" s="24">
        <f t="shared" si="6"/>
        <v>60690.499999999993</v>
      </c>
      <c r="P77" s="24">
        <f t="shared" si="6"/>
        <v>63072</v>
      </c>
      <c r="Q77" s="24">
        <f t="shared" si="6"/>
        <v>64948.5</v>
      </c>
      <c r="R77" s="24">
        <f t="shared" si="6"/>
        <v>66320</v>
      </c>
      <c r="S77" s="24">
        <f t="shared" si="6"/>
        <v>67186.5</v>
      </c>
      <c r="T77" s="24">
        <f t="shared" si="6"/>
        <v>67547.999999999985</v>
      </c>
      <c r="U77" s="24">
        <f t="shared" si="6"/>
        <v>67404.500000000015</v>
      </c>
      <c r="V77" s="24">
        <f t="shared" si="6"/>
        <v>66755.999999999985</v>
      </c>
      <c r="W77" s="24">
        <f t="shared" si="6"/>
        <v>65602.500000000015</v>
      </c>
      <c r="X77" s="24">
        <f t="shared" si="6"/>
        <v>63943.999999999993</v>
      </c>
      <c r="Y77" s="24">
        <f t="shared" si="6"/>
        <v>61780.500000000007</v>
      </c>
      <c r="Z77" s="24">
        <f t="shared" si="6"/>
        <v>59111.999999999971</v>
      </c>
      <c r="AA77" s="24">
        <f t="shared" si="6"/>
        <v>55938.5</v>
      </c>
      <c r="AB77" s="24">
        <f t="shared" si="6"/>
        <v>52259.999999999971</v>
      </c>
      <c r="AC77" s="24">
        <f t="shared" si="6"/>
        <v>48076.500000000007</v>
      </c>
      <c r="AD77" s="24">
        <f t="shared" si="6"/>
        <v>43387.999999999978</v>
      </c>
      <c r="AE77" s="24">
        <f t="shared" si="6"/>
        <v>38194.500000000022</v>
      </c>
      <c r="AF77" s="24">
        <f t="shared" si="6"/>
        <v>32496</v>
      </c>
    </row>
    <row r="78" spans="1:34">
      <c r="A78" s="25" t="s">
        <v>103</v>
      </c>
      <c r="C78" s="24">
        <f t="shared" ref="C78:AF78" si="7">IF(C77&gt;0,C53+C51,0)/52</f>
        <v>0</v>
      </c>
      <c r="D78" s="24">
        <f t="shared" si="7"/>
        <v>0</v>
      </c>
      <c r="E78" s="24">
        <f t="shared" si="7"/>
        <v>28846.153846153848</v>
      </c>
      <c r="F78" s="24">
        <f t="shared" si="7"/>
        <v>28846.153846153848</v>
      </c>
      <c r="G78" s="24">
        <f t="shared" si="7"/>
        <v>28846.153846153848</v>
      </c>
      <c r="H78" s="24">
        <f t="shared" si="7"/>
        <v>28846.153846153848</v>
      </c>
      <c r="I78" s="24">
        <f t="shared" si="7"/>
        <v>28846.153846153848</v>
      </c>
      <c r="J78" s="24">
        <f t="shared" si="7"/>
        <v>28846.153846153848</v>
      </c>
      <c r="K78" s="24">
        <f t="shared" si="7"/>
        <v>28846.153846153848</v>
      </c>
      <c r="L78" s="24">
        <f t="shared" si="7"/>
        <v>28846.153846153848</v>
      </c>
      <c r="M78" s="24">
        <f t="shared" si="7"/>
        <v>28846.153846153848</v>
      </c>
      <c r="N78" s="24">
        <f t="shared" si="7"/>
        <v>28846.153846153848</v>
      </c>
      <c r="O78" s="24">
        <f t="shared" si="7"/>
        <v>28846.153846153848</v>
      </c>
      <c r="P78" s="24">
        <f t="shared" si="7"/>
        <v>28846.153846153848</v>
      </c>
      <c r="Q78" s="24">
        <f t="shared" si="7"/>
        <v>28846.153846153848</v>
      </c>
      <c r="R78" s="24">
        <f t="shared" si="7"/>
        <v>28846.153846153848</v>
      </c>
      <c r="S78" s="24">
        <f t="shared" si="7"/>
        <v>28846.153846153848</v>
      </c>
      <c r="T78" s="24">
        <f t="shared" si="7"/>
        <v>28846.153846153848</v>
      </c>
      <c r="U78" s="24">
        <f t="shared" si="7"/>
        <v>28846.153846153848</v>
      </c>
      <c r="V78" s="24">
        <f t="shared" si="7"/>
        <v>28846.153846153848</v>
      </c>
      <c r="W78" s="24">
        <f t="shared" si="7"/>
        <v>28846.153846153848</v>
      </c>
      <c r="X78" s="24">
        <f t="shared" si="7"/>
        <v>28846.153846153848</v>
      </c>
      <c r="Y78" s="24">
        <f t="shared" si="7"/>
        <v>28846.153846153848</v>
      </c>
      <c r="Z78" s="24">
        <f t="shared" si="7"/>
        <v>28846.153846153848</v>
      </c>
      <c r="AA78" s="24">
        <f t="shared" si="7"/>
        <v>28846.153846153848</v>
      </c>
      <c r="AB78" s="24">
        <f t="shared" si="7"/>
        <v>28846.153846153848</v>
      </c>
      <c r="AC78" s="24">
        <f t="shared" si="7"/>
        <v>28846.153846153848</v>
      </c>
      <c r="AD78" s="24">
        <f t="shared" si="7"/>
        <v>28846.153846153848</v>
      </c>
      <c r="AE78" s="24">
        <f t="shared" si="7"/>
        <v>28846.153846153848</v>
      </c>
      <c r="AF78" s="24">
        <f t="shared" si="7"/>
        <v>28846.153846153848</v>
      </c>
    </row>
    <row r="79" spans="1:34">
      <c r="A79" s="25" t="s">
        <v>101</v>
      </c>
      <c r="C79" s="24">
        <f>SUM(C77:C78)</f>
        <v>0</v>
      </c>
      <c r="D79" s="24">
        <f t="shared" ref="D79:AF79" si="8">SUM(D77:D78)</f>
        <v>0</v>
      </c>
      <c r="E79" s="24">
        <f t="shared" si="8"/>
        <v>37946.653846153844</v>
      </c>
      <c r="F79" s="24">
        <f t="shared" si="8"/>
        <v>45378.153846153844</v>
      </c>
      <c r="G79" s="24">
        <f t="shared" si="8"/>
        <v>52304.653846153844</v>
      </c>
      <c r="H79" s="24">
        <f t="shared" si="8"/>
        <v>58726.153846153851</v>
      </c>
      <c r="I79" s="24">
        <f t="shared" si="8"/>
        <v>64642.653846153844</v>
      </c>
      <c r="J79" s="24">
        <f t="shared" si="8"/>
        <v>70054.153846153844</v>
      </c>
      <c r="K79" s="24">
        <f t="shared" si="8"/>
        <v>74960.653846153844</v>
      </c>
      <c r="L79" s="24">
        <f t="shared" si="8"/>
        <v>79362.153846153844</v>
      </c>
      <c r="M79" s="24">
        <f t="shared" si="8"/>
        <v>83258.653846153844</v>
      </c>
      <c r="N79" s="24">
        <f t="shared" si="8"/>
        <v>86650.153846153829</v>
      </c>
      <c r="O79" s="24">
        <f t="shared" si="8"/>
        <v>89536.653846153844</v>
      </c>
      <c r="P79" s="24">
        <f t="shared" si="8"/>
        <v>91918.153846153844</v>
      </c>
      <c r="Q79" s="24">
        <f t="shared" si="8"/>
        <v>93794.653846153844</v>
      </c>
      <c r="R79" s="24">
        <f t="shared" si="8"/>
        <v>95166.153846153844</v>
      </c>
      <c r="S79" s="24">
        <f t="shared" si="8"/>
        <v>96032.653846153844</v>
      </c>
      <c r="T79" s="24">
        <f t="shared" si="8"/>
        <v>96394.153846153829</v>
      </c>
      <c r="U79" s="24">
        <f t="shared" si="8"/>
        <v>96250.653846153858</v>
      </c>
      <c r="V79" s="24">
        <f t="shared" si="8"/>
        <v>95602.153846153829</v>
      </c>
      <c r="W79" s="24">
        <f t="shared" si="8"/>
        <v>94448.653846153858</v>
      </c>
      <c r="X79" s="24">
        <f t="shared" si="8"/>
        <v>92790.153846153844</v>
      </c>
      <c r="Y79" s="24">
        <f t="shared" si="8"/>
        <v>90626.653846153858</v>
      </c>
      <c r="Z79" s="24">
        <f t="shared" si="8"/>
        <v>87958.153846153815</v>
      </c>
      <c r="AA79" s="24">
        <f t="shared" si="8"/>
        <v>84784.653846153844</v>
      </c>
      <c r="AB79" s="24">
        <f t="shared" si="8"/>
        <v>81106.153846153815</v>
      </c>
      <c r="AC79" s="24">
        <f t="shared" si="8"/>
        <v>76922.653846153858</v>
      </c>
      <c r="AD79" s="24">
        <f t="shared" si="8"/>
        <v>72234.153846153829</v>
      </c>
      <c r="AE79" s="24">
        <f t="shared" si="8"/>
        <v>67040.653846153873</v>
      </c>
      <c r="AF79" s="24">
        <f t="shared" si="8"/>
        <v>61342.153846153844</v>
      </c>
      <c r="AG79" s="3" t="s">
        <v>47</v>
      </c>
    </row>
    <row r="80" spans="1:34">
      <c r="A80" s="25" t="s">
        <v>102</v>
      </c>
      <c r="C80" s="24">
        <f>C79</f>
        <v>0</v>
      </c>
      <c r="D80" s="24">
        <f t="shared" ref="D80:Z80" si="9">D79-C79</f>
        <v>0</v>
      </c>
      <c r="E80" s="24">
        <f t="shared" si="9"/>
        <v>37946.653846153844</v>
      </c>
      <c r="F80" s="24">
        <f t="shared" si="9"/>
        <v>7431.5</v>
      </c>
      <c r="G80" s="24">
        <f t="shared" si="9"/>
        <v>6926.5</v>
      </c>
      <c r="H80" s="24">
        <f t="shared" si="9"/>
        <v>6421.5000000000073</v>
      </c>
      <c r="I80" s="24">
        <f t="shared" si="9"/>
        <v>5916.4999999999927</v>
      </c>
      <c r="J80" s="24">
        <f t="shared" si="9"/>
        <v>5411.5</v>
      </c>
      <c r="K80" s="24">
        <f t="shared" si="9"/>
        <v>4906.5</v>
      </c>
      <c r="L80" s="24">
        <f t="shared" si="9"/>
        <v>4401.5</v>
      </c>
      <c r="M80" s="24">
        <f t="shared" si="9"/>
        <v>3896.5</v>
      </c>
      <c r="N80" s="24">
        <f t="shared" si="9"/>
        <v>3391.4999999999854</v>
      </c>
      <c r="O80" s="24">
        <f t="shared" si="9"/>
        <v>2886.5000000000146</v>
      </c>
      <c r="P80" s="24">
        <f t="shared" si="9"/>
        <v>2381.5</v>
      </c>
      <c r="Q80" s="24">
        <f t="shared" si="9"/>
        <v>1876.5</v>
      </c>
      <c r="R80" s="24">
        <f t="shared" si="9"/>
        <v>1371.5</v>
      </c>
      <c r="S80" s="24">
        <f t="shared" si="9"/>
        <v>866.5</v>
      </c>
      <c r="T80" s="24">
        <f t="shared" si="9"/>
        <v>361.49999999998545</v>
      </c>
      <c r="U80" s="24">
        <f t="shared" si="9"/>
        <v>-143.4999999999709</v>
      </c>
      <c r="V80" s="24">
        <f t="shared" si="9"/>
        <v>-648.5000000000291</v>
      </c>
      <c r="W80" s="24">
        <f t="shared" si="9"/>
        <v>-1153.4999999999709</v>
      </c>
      <c r="X80" s="24">
        <f t="shared" si="9"/>
        <v>-1658.5000000000146</v>
      </c>
      <c r="Y80" s="24">
        <f t="shared" si="9"/>
        <v>-2163.4999999999854</v>
      </c>
      <c r="Z80" s="24">
        <f t="shared" si="9"/>
        <v>-2668.5000000000437</v>
      </c>
      <c r="AA80" s="24">
        <f>AA79-Z79</f>
        <v>-3173.4999999999709</v>
      </c>
      <c r="AB80" s="24">
        <f>AB79-AA79</f>
        <v>-3678.5000000000291</v>
      </c>
      <c r="AC80" s="24">
        <f>AC79-AB79</f>
        <v>-4183.4999999999563</v>
      </c>
      <c r="AD80" s="24">
        <f>AD79-AC79</f>
        <v>-4688.5000000000291</v>
      </c>
      <c r="AE80" s="24">
        <f>AE79-AD79</f>
        <v>-5193.4999999999563</v>
      </c>
      <c r="AF80" s="24">
        <f>AF79-AE79-AF79</f>
        <v>-67040.653846153873</v>
      </c>
      <c r="AG80" s="24">
        <f>SUM(C80:AF80)</f>
        <v>0</v>
      </c>
      <c r="AH80" s="3" t="str">
        <f>IF(AG80=0,"YES","NO")</f>
        <v>YES</v>
      </c>
    </row>
    <row r="83" spans="4:33">
      <c r="AG83" s="3" t="s">
        <v>115</v>
      </c>
    </row>
    <row r="84" spans="4:33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6" spans="4:33">
      <c r="F86" s="24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44"/>
  <sheetViews>
    <sheetView workbookViewId="0">
      <selection activeCell="C30" sqref="C30"/>
    </sheetView>
  </sheetViews>
  <sheetFormatPr defaultColWidth="23" defaultRowHeight="11.25"/>
  <cols>
    <col min="1" max="1" width="30.140625" style="74" bestFit="1" customWidth="1"/>
    <col min="2" max="6" width="15.140625" style="53" customWidth="1"/>
    <col min="7" max="16384" width="23" style="74"/>
  </cols>
  <sheetData>
    <row r="1" spans="1:6" s="71" customFormat="1" ht="19.5" thickBot="1">
      <c r="A1" s="69" t="s">
        <v>114</v>
      </c>
      <c r="B1" s="51"/>
      <c r="C1" s="51"/>
      <c r="D1" s="70"/>
      <c r="E1" s="70"/>
      <c r="F1" s="70"/>
    </row>
    <row r="2" spans="1:6">
      <c r="A2" s="72"/>
      <c r="B2" s="319" t="s">
        <v>49</v>
      </c>
      <c r="C2" s="73" t="s">
        <v>50</v>
      </c>
      <c r="D2" s="315" t="s">
        <v>51</v>
      </c>
      <c r="E2" s="316"/>
      <c r="F2" s="317" t="s">
        <v>112</v>
      </c>
    </row>
    <row r="3" spans="1:6" ht="12" thickBot="1">
      <c r="A3" s="72"/>
      <c r="B3" s="320"/>
      <c r="C3" s="75" t="s">
        <v>53</v>
      </c>
      <c r="D3" s="76" t="s">
        <v>58</v>
      </c>
      <c r="E3" s="77" t="s">
        <v>29</v>
      </c>
      <c r="F3" s="318"/>
    </row>
    <row r="4" spans="1:6" ht="19.5" customHeight="1">
      <c r="A4" s="78" t="s">
        <v>54</v>
      </c>
      <c r="B4" s="79">
        <f>'P-Cashflow'!AG7</f>
        <v>119842511.92306596</v>
      </c>
      <c r="C4" s="79">
        <f>'P-Cashflow'!AG9</f>
        <v>15090182.199803429</v>
      </c>
      <c r="D4" s="79">
        <f>'P-Cashflow'!AG10</f>
        <v>47285025.041718245</v>
      </c>
      <c r="E4" s="79">
        <f>'P-Cashflow'!AG11</f>
        <v>51268.800225459046</v>
      </c>
      <c r="F4" s="80">
        <f>B4-C4-D4-E4</f>
        <v>57416035.88131883</v>
      </c>
    </row>
    <row r="5" spans="1:6" ht="19.5" customHeight="1">
      <c r="A5" s="81" t="s">
        <v>55</v>
      </c>
      <c r="B5" s="60">
        <f>'S-Cashflow'!AB7</f>
        <v>225053222.50523996</v>
      </c>
      <c r="C5" s="60">
        <f>'S-Cashflow'!AB9</f>
        <v>24617250.303989653</v>
      </c>
      <c r="D5" s="60">
        <f>'S-Cashflow'!AB10</f>
        <v>63341372.284892313</v>
      </c>
      <c r="E5" s="60">
        <f>'S-Cashflow'!AB11</f>
        <v>75147.233671549664</v>
      </c>
      <c r="F5" s="61">
        <f>B5-C5-D5-E5</f>
        <v>137019452.68268645</v>
      </c>
    </row>
    <row r="6" spans="1:6" ht="19.5" customHeight="1" thickBot="1">
      <c r="A6" s="82" t="s">
        <v>111</v>
      </c>
      <c r="B6" s="63">
        <f>B4-B5</f>
        <v>-105210710.582174</v>
      </c>
      <c r="C6" s="63">
        <f>C4-C5</f>
        <v>-9527068.1041862238</v>
      </c>
      <c r="D6" s="63">
        <f>D4-D5</f>
        <v>-16056347.243174069</v>
      </c>
      <c r="E6" s="63">
        <f>E4-E5</f>
        <v>-23878.433446090618</v>
      </c>
      <c r="F6" s="83">
        <f>F4-F5</f>
        <v>-79603416.801367611</v>
      </c>
    </row>
    <row r="9" spans="1:6" ht="13.5" thickBot="1">
      <c r="A9" s="84" t="s">
        <v>120</v>
      </c>
    </row>
    <row r="10" spans="1:6">
      <c r="A10" s="72"/>
      <c r="B10" s="319" t="s">
        <v>49</v>
      </c>
      <c r="C10" s="85" t="s">
        <v>25</v>
      </c>
      <c r="D10" s="321" t="s">
        <v>57</v>
      </c>
      <c r="E10" s="316"/>
      <c r="F10" s="317" t="s">
        <v>52</v>
      </c>
    </row>
    <row r="11" spans="1:6" ht="12" thickBot="1">
      <c r="A11" s="72"/>
      <c r="B11" s="320"/>
      <c r="C11" s="77" t="s">
        <v>53</v>
      </c>
      <c r="D11" s="77" t="s">
        <v>58</v>
      </c>
      <c r="E11" s="77" t="s">
        <v>29</v>
      </c>
      <c r="F11" s="318"/>
    </row>
    <row r="12" spans="1:6">
      <c r="A12" s="78" t="s">
        <v>54</v>
      </c>
      <c r="B12" s="60">
        <f>B4/Asumsi!$D$9</f>
        <v>13192.702765639142</v>
      </c>
      <c r="C12" s="60">
        <f>C4/Asumsi!D9</f>
        <v>1661.1825407093163</v>
      </c>
      <c r="D12" s="60">
        <f>D4/Asumsi!D9</f>
        <v>5205.3087892688509</v>
      </c>
      <c r="E12" s="60">
        <f>E4/Asumsi!D9</f>
        <v>5.6438573563913526</v>
      </c>
      <c r="F12" s="60">
        <f>F4/Asumsi!D9</f>
        <v>6320.5675783045826</v>
      </c>
    </row>
    <row r="13" spans="1:6">
      <c r="A13" s="81" t="s">
        <v>55</v>
      </c>
      <c r="B13" s="60">
        <f>B5/Asumsi!D9</f>
        <v>24774.683234834869</v>
      </c>
      <c r="C13" s="60">
        <f>C5/Asumsi!D9</f>
        <v>2709.9571008354969</v>
      </c>
      <c r="D13" s="60">
        <f>D5/Asumsi!D9</f>
        <v>6972.8503175795149</v>
      </c>
      <c r="E13" s="60">
        <f>E5/Asumsi!D9</f>
        <v>8.2724827907914644</v>
      </c>
      <c r="F13" s="60">
        <f>F5/Asumsi!D9</f>
        <v>15083.603333629067</v>
      </c>
    </row>
    <row r="14" spans="1:6" ht="12" thickBot="1">
      <c r="A14" s="82" t="s">
        <v>56</v>
      </c>
      <c r="B14" s="60">
        <f>B6/Asumsi!D9</f>
        <v>-11581.980469195729</v>
      </c>
      <c r="C14" s="60">
        <f>C6/Asumsi!D9</f>
        <v>-1048.7745601261804</v>
      </c>
      <c r="D14" s="60">
        <f>D6/Asumsi!D9</f>
        <v>-1767.5415283106636</v>
      </c>
      <c r="E14" s="60">
        <f>E6/Asumsi!D9</f>
        <v>-2.6286254344001119</v>
      </c>
      <c r="F14" s="60">
        <f>F6/Asumsi!D9</f>
        <v>-8763.035755324483</v>
      </c>
    </row>
    <row r="17" spans="1:4">
      <c r="A17" s="86" t="s">
        <v>126</v>
      </c>
    </row>
    <row r="18" spans="1:4">
      <c r="A18" s="87" t="s">
        <v>96</v>
      </c>
      <c r="B18" s="88">
        <v>160150.62821882253</v>
      </c>
    </row>
    <row r="19" spans="1:4">
      <c r="A19" s="87" t="s">
        <v>97</v>
      </c>
      <c r="B19" s="53">
        <v>273332.91222000256</v>
      </c>
    </row>
    <row r="20" spans="1:4">
      <c r="A20" s="89" t="s">
        <v>135</v>
      </c>
      <c r="B20" s="90"/>
      <c r="C20" s="90"/>
    </row>
    <row r="21" spans="1:4">
      <c r="A21" s="91" t="s">
        <v>96</v>
      </c>
      <c r="B21" s="53">
        <f>'P-Cashflow'!B18</f>
        <v>5</v>
      </c>
      <c r="C21" s="90"/>
    </row>
    <row r="22" spans="1:4">
      <c r="A22" s="91" t="s">
        <v>97</v>
      </c>
      <c r="B22" s="53">
        <f>'S-Cashflow'!B18</f>
        <v>4</v>
      </c>
      <c r="C22" s="90"/>
    </row>
    <row r="23" spans="1:4">
      <c r="A23" s="89" t="s">
        <v>136</v>
      </c>
      <c r="C23" s="90"/>
    </row>
    <row r="24" spans="1:4">
      <c r="A24" s="91" t="s">
        <v>96</v>
      </c>
      <c r="B24" s="53">
        <f>'P-Cashflow'!B17</f>
        <v>9997650.7722333316</v>
      </c>
      <c r="C24" s="90"/>
    </row>
    <row r="25" spans="1:4">
      <c r="A25" s="91" t="s">
        <v>97</v>
      </c>
      <c r="B25" s="53">
        <f>'S-Cashflow'!B17</f>
        <v>7792169.4499538224</v>
      </c>
      <c r="C25" s="90"/>
    </row>
    <row r="26" spans="1:4">
      <c r="A26" s="89" t="s">
        <v>137</v>
      </c>
      <c r="B26" s="92" t="s">
        <v>144</v>
      </c>
      <c r="C26" s="93" t="s">
        <v>145</v>
      </c>
    </row>
    <row r="27" spans="1:4">
      <c r="A27" s="91" t="s">
        <v>138</v>
      </c>
      <c r="B27" s="53">
        <f>SUM('I-O'!C64:F64)</f>
        <v>220.33333333333334</v>
      </c>
      <c r="C27" s="53">
        <f>SUM('I-O'!C64:E64)</f>
        <v>152.33333333333334</v>
      </c>
      <c r="D27" s="94" t="s">
        <v>139</v>
      </c>
    </row>
    <row r="28" spans="1:4">
      <c r="A28" s="91" t="s">
        <v>140</v>
      </c>
      <c r="B28" s="53">
        <f>AVERAGE('I-O'!G64:AA65)</f>
        <v>88.857142857142861</v>
      </c>
      <c r="C28" s="53">
        <f>AVERAGE('I-O'!F64:AA64)</f>
        <v>87.909090909090907</v>
      </c>
      <c r="D28" s="94" t="s">
        <v>124</v>
      </c>
    </row>
    <row r="29" spans="1:4">
      <c r="A29" s="91" t="s">
        <v>122</v>
      </c>
      <c r="B29" s="53">
        <f>AVERAGE('I-O'!C64:AA64)</f>
        <v>83.453333333333333</v>
      </c>
      <c r="C29" s="53">
        <f>AVERAGE('I-O'!C64:AA64)</f>
        <v>83.453333333333333</v>
      </c>
      <c r="D29" s="94" t="s">
        <v>124</v>
      </c>
    </row>
    <row r="30" spans="1:4" ht="12.75">
      <c r="A30" s="64" t="s">
        <v>147</v>
      </c>
      <c r="B30" s="68">
        <f>'P-Cashflow'!B25</f>
        <v>0.25776307389267766</v>
      </c>
      <c r="C30" s="95"/>
    </row>
    <row r="31" spans="1:4" ht="12.75">
      <c r="A31" s="64" t="s">
        <v>148</v>
      </c>
      <c r="B31" s="68">
        <f>'S-Cashflow'!B25</f>
        <v>0.32772011091172593</v>
      </c>
      <c r="C31" s="95"/>
    </row>
    <row r="32" spans="1:4" ht="12.75">
      <c r="A32" s="95"/>
      <c r="B32" s="95"/>
      <c r="C32" s="95"/>
    </row>
    <row r="33" spans="1:3" ht="12.75">
      <c r="A33" s="42"/>
      <c r="B33" s="96"/>
      <c r="C33" s="97"/>
    </row>
    <row r="34" spans="1:3" ht="12.75">
      <c r="A34" s="42"/>
      <c r="B34" s="96"/>
      <c r="C34" s="97"/>
    </row>
    <row r="35" spans="1:3" ht="12.75">
      <c r="A35" s="42"/>
      <c r="B35" s="96"/>
      <c r="C35" s="98"/>
    </row>
    <row r="36" spans="1:3" ht="12.75">
      <c r="A36" s="42"/>
      <c r="B36" s="96"/>
      <c r="C36" s="98"/>
    </row>
    <row r="37" spans="1:3" ht="12.75">
      <c r="A37" s="42"/>
      <c r="B37" s="96"/>
      <c r="C37" s="97"/>
    </row>
    <row r="38" spans="1:3" ht="12.75">
      <c r="A38" s="99"/>
      <c r="B38" s="96"/>
      <c r="C38" s="98"/>
    </row>
    <row r="39" spans="1:3" ht="12.75">
      <c r="A39" s="99"/>
      <c r="B39" s="96"/>
      <c r="C39" s="98"/>
    </row>
    <row r="40" spans="1:3" ht="12.75">
      <c r="A40" s="42"/>
      <c r="B40" s="96"/>
      <c r="C40" s="98"/>
    </row>
    <row r="41" spans="1:3" ht="12.75">
      <c r="A41" s="42"/>
      <c r="B41" s="96"/>
      <c r="C41" s="98"/>
    </row>
    <row r="42" spans="1:3" ht="12.75">
      <c r="A42" s="42"/>
      <c r="B42" s="96"/>
      <c r="C42" s="98"/>
    </row>
    <row r="43" spans="1:3" ht="12.75">
      <c r="A43" s="95"/>
      <c r="B43" s="95"/>
      <c r="C43" s="100"/>
    </row>
    <row r="44" spans="1:3" ht="12.75">
      <c r="A44" s="95"/>
      <c r="B44" s="95"/>
      <c r="C44" s="100"/>
    </row>
  </sheetData>
  <mergeCells count="6">
    <mergeCell ref="D2:E2"/>
    <mergeCell ref="F2:F3"/>
    <mergeCell ref="B10:B11"/>
    <mergeCell ref="D10:E10"/>
    <mergeCell ref="F10:F11"/>
    <mergeCell ref="B2:B3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36"/>
  <sheetViews>
    <sheetView topLeftCell="A7" workbookViewId="0">
      <selection activeCell="F8" sqref="F8"/>
    </sheetView>
  </sheetViews>
  <sheetFormatPr defaultRowHeight="12.75"/>
  <cols>
    <col min="1" max="1" width="11" customWidth="1"/>
    <col min="2" max="2" width="5.140625" customWidth="1"/>
    <col min="3" max="3" width="9" customWidth="1"/>
    <col min="6" max="7" width="9.85546875" customWidth="1"/>
  </cols>
  <sheetData>
    <row r="1" spans="1:12" ht="18.75">
      <c r="A1" s="118" t="s">
        <v>183</v>
      </c>
      <c r="C1" s="119"/>
    </row>
    <row r="2" spans="1:12" ht="18.75">
      <c r="A2" s="118" t="s">
        <v>184</v>
      </c>
      <c r="B2" s="120"/>
      <c r="C2" s="119"/>
    </row>
    <row r="3" spans="1:12">
      <c r="A3" s="322" t="s">
        <v>185</v>
      </c>
      <c r="B3" s="322" t="s">
        <v>186</v>
      </c>
      <c r="C3" s="323" t="s">
        <v>309</v>
      </c>
      <c r="D3" s="324"/>
      <c r="E3" s="324"/>
      <c r="H3" s="3"/>
    </row>
    <row r="4" spans="1:12" s="122" customFormat="1">
      <c r="A4" s="322"/>
      <c r="B4" s="322"/>
      <c r="C4" s="260" t="s">
        <v>310</v>
      </c>
      <c r="D4" s="121" t="s">
        <v>311</v>
      </c>
      <c r="E4" s="121" t="s">
        <v>314</v>
      </c>
      <c r="F4" s="121" t="s">
        <v>314</v>
      </c>
      <c r="G4" s="121" t="s">
        <v>314</v>
      </c>
      <c r="H4" s="21" t="s">
        <v>187</v>
      </c>
    </row>
    <row r="5" spans="1:12" s="122" customFormat="1">
      <c r="A5" s="322"/>
      <c r="B5" s="322"/>
      <c r="C5" s="261" t="s">
        <v>188</v>
      </c>
      <c r="D5" s="123" t="s">
        <v>188</v>
      </c>
      <c r="E5" s="259" t="s">
        <v>188</v>
      </c>
      <c r="F5" s="259" t="s">
        <v>321</v>
      </c>
      <c r="G5" s="259" t="s">
        <v>322</v>
      </c>
      <c r="H5" s="21" t="s">
        <v>189</v>
      </c>
    </row>
    <row r="6" spans="1:12">
      <c r="A6" s="124"/>
      <c r="B6" s="124">
        <v>1</v>
      </c>
      <c r="C6" s="125">
        <v>0</v>
      </c>
      <c r="D6" s="125">
        <v>0</v>
      </c>
      <c r="E6" s="262"/>
      <c r="F6" s="265"/>
      <c r="G6" s="265"/>
    </row>
    <row r="7" spans="1:12">
      <c r="A7" s="124"/>
      <c r="B7" s="124">
        <v>2</v>
      </c>
      <c r="C7" s="125">
        <v>0</v>
      </c>
      <c r="D7" s="125">
        <v>0</v>
      </c>
      <c r="E7" s="262"/>
      <c r="F7" s="265"/>
      <c r="G7" s="265"/>
      <c r="H7" s="21" t="s">
        <v>190</v>
      </c>
    </row>
    <row r="8" spans="1:12">
      <c r="A8" s="124"/>
      <c r="B8" s="124">
        <v>3</v>
      </c>
      <c r="C8" s="126">
        <v>0.6</v>
      </c>
      <c r="D8" s="126">
        <v>0.6</v>
      </c>
      <c r="E8" s="266">
        <f>(-0.0505*B8*B8)+(1.8398*B8)+3.7552</f>
        <v>8.8201000000000001</v>
      </c>
      <c r="F8" s="282">
        <f>E8-7</f>
        <v>1.8201000000000001</v>
      </c>
      <c r="G8" s="282">
        <f>E8-3</f>
        <v>5.8201000000000001</v>
      </c>
      <c r="H8" s="3" t="s">
        <v>191</v>
      </c>
    </row>
    <row r="9" spans="1:12">
      <c r="A9" s="124"/>
      <c r="B9" s="124">
        <v>4</v>
      </c>
      <c r="C9" s="126">
        <v>2.4</v>
      </c>
      <c r="D9" s="126">
        <v>2.4</v>
      </c>
      <c r="E9" s="266">
        <f t="shared" ref="E9:E35" si="0">(-0.0505*B9*B9)+(1.8398*B9)+3.7552</f>
        <v>10.3064</v>
      </c>
      <c r="F9" s="282">
        <f t="shared" ref="F9:F35" si="1">E9-7</f>
        <v>3.3064</v>
      </c>
      <c r="G9" s="282">
        <f t="shared" ref="G9:G35" si="2">E9-3</f>
        <v>7.3064</v>
      </c>
    </row>
    <row r="10" spans="1:12">
      <c r="A10" s="124"/>
      <c r="B10" s="124">
        <v>5</v>
      </c>
      <c r="C10" s="125">
        <v>12</v>
      </c>
      <c r="D10" s="125">
        <v>6</v>
      </c>
      <c r="E10" s="266">
        <f t="shared" si="0"/>
        <v>11.691699999999999</v>
      </c>
      <c r="F10" s="282">
        <f t="shared" si="1"/>
        <v>4.6916999999999991</v>
      </c>
      <c r="G10" s="282">
        <f t="shared" si="2"/>
        <v>8.6916999999999991</v>
      </c>
      <c r="H10" s="3" t="s">
        <v>256</v>
      </c>
      <c r="I10" s="3"/>
    </row>
    <row r="11" spans="1:12">
      <c r="A11" s="124"/>
      <c r="B11" s="124">
        <v>6</v>
      </c>
      <c r="C11" s="125">
        <v>18</v>
      </c>
      <c r="D11" s="125">
        <v>12</v>
      </c>
      <c r="E11" s="266">
        <f t="shared" si="0"/>
        <v>12.976000000000001</v>
      </c>
      <c r="F11" s="282">
        <f t="shared" si="1"/>
        <v>5.9760000000000009</v>
      </c>
      <c r="G11" s="282">
        <f t="shared" si="2"/>
        <v>9.9760000000000009</v>
      </c>
      <c r="H11" s="47" t="s">
        <v>192</v>
      </c>
      <c r="I11" s="47" t="s">
        <v>193</v>
      </c>
      <c r="K11" s="47" t="s">
        <v>194</v>
      </c>
    </row>
    <row r="12" spans="1:12">
      <c r="A12" s="124"/>
      <c r="B12" s="124">
        <v>7</v>
      </c>
      <c r="C12" s="125">
        <v>18</v>
      </c>
      <c r="D12" s="125">
        <v>12</v>
      </c>
      <c r="E12" s="266">
        <f t="shared" si="0"/>
        <v>14.1593</v>
      </c>
      <c r="F12" s="282">
        <f t="shared" si="1"/>
        <v>7.1593</v>
      </c>
      <c r="G12" s="282">
        <f t="shared" si="2"/>
        <v>11.1593</v>
      </c>
      <c r="H12" s="3" t="s">
        <v>195</v>
      </c>
      <c r="I12" s="3" t="s">
        <v>196</v>
      </c>
      <c r="J12" s="3" t="s">
        <v>196</v>
      </c>
      <c r="K12" s="3">
        <f>50*12/1000</f>
        <v>0.6</v>
      </c>
      <c r="L12" s="3">
        <f>50*12/1000</f>
        <v>0.6</v>
      </c>
    </row>
    <row r="13" spans="1:12">
      <c r="A13" s="124"/>
      <c r="B13" s="124">
        <v>8</v>
      </c>
      <c r="C13" s="125">
        <v>30</v>
      </c>
      <c r="D13" s="125">
        <v>24</v>
      </c>
      <c r="E13" s="266">
        <f t="shared" si="0"/>
        <v>15.2416</v>
      </c>
      <c r="F13" s="282">
        <f t="shared" si="1"/>
        <v>8.2416</v>
      </c>
      <c r="G13" s="282">
        <f t="shared" si="2"/>
        <v>12.2416</v>
      </c>
      <c r="H13" s="3" t="s">
        <v>197</v>
      </c>
      <c r="I13" s="3" t="s">
        <v>198</v>
      </c>
      <c r="J13" s="3" t="s">
        <v>198</v>
      </c>
      <c r="K13" s="3">
        <f>200*12/1000</f>
        <v>2.4</v>
      </c>
      <c r="L13" s="3">
        <f>200*12/1000</f>
        <v>2.4</v>
      </c>
    </row>
    <row r="14" spans="1:12">
      <c r="A14" s="124"/>
      <c r="B14" s="124">
        <v>9</v>
      </c>
      <c r="C14" s="125">
        <v>30</v>
      </c>
      <c r="D14" s="125">
        <v>24</v>
      </c>
      <c r="E14" s="266">
        <f t="shared" si="0"/>
        <v>16.222899999999999</v>
      </c>
      <c r="F14" s="282">
        <f t="shared" si="1"/>
        <v>9.2228999999999992</v>
      </c>
      <c r="G14" s="282">
        <f t="shared" si="2"/>
        <v>13.222899999999999</v>
      </c>
      <c r="H14" s="3" t="s">
        <v>199</v>
      </c>
      <c r="I14" s="3" t="s">
        <v>200</v>
      </c>
      <c r="J14" s="3" t="s">
        <v>200</v>
      </c>
      <c r="K14" s="3">
        <f>500*12/1000</f>
        <v>6</v>
      </c>
      <c r="L14" s="3">
        <f>500*12/1000</f>
        <v>6</v>
      </c>
    </row>
    <row r="15" spans="1:12">
      <c r="A15" s="124"/>
      <c r="B15" s="124">
        <v>10</v>
      </c>
      <c r="C15" s="125">
        <v>30</v>
      </c>
      <c r="D15" s="125">
        <v>24</v>
      </c>
      <c r="E15" s="266">
        <f t="shared" si="0"/>
        <v>17.103199999999998</v>
      </c>
      <c r="F15" s="282">
        <f t="shared" si="1"/>
        <v>10.103199999999998</v>
      </c>
      <c r="G15" s="282">
        <f t="shared" si="2"/>
        <v>14.103199999999998</v>
      </c>
      <c r="H15" s="3" t="s">
        <v>201</v>
      </c>
      <c r="I15" s="3" t="s">
        <v>202</v>
      </c>
      <c r="J15" s="3" t="s">
        <v>258</v>
      </c>
      <c r="K15" s="3">
        <f>1.5*12</f>
        <v>18</v>
      </c>
      <c r="L15" s="3">
        <f>1*12</f>
        <v>12</v>
      </c>
    </row>
    <row r="16" spans="1:12">
      <c r="A16" s="124"/>
      <c r="B16" s="124">
        <v>11</v>
      </c>
      <c r="C16" s="125">
        <v>42</v>
      </c>
      <c r="D16" s="125">
        <v>30</v>
      </c>
      <c r="E16" s="266">
        <f t="shared" si="0"/>
        <v>17.8825</v>
      </c>
      <c r="F16" s="282">
        <f t="shared" si="1"/>
        <v>10.8825</v>
      </c>
      <c r="G16" s="282">
        <f t="shared" si="2"/>
        <v>14.8825</v>
      </c>
      <c r="H16" s="3" t="s">
        <v>203</v>
      </c>
      <c r="I16" s="3" t="s">
        <v>204</v>
      </c>
      <c r="J16" s="3" t="s">
        <v>208</v>
      </c>
      <c r="K16" s="3">
        <f>2.5*12</f>
        <v>30</v>
      </c>
      <c r="L16" s="3">
        <f>2*12</f>
        <v>24</v>
      </c>
    </row>
    <row r="17" spans="1:12">
      <c r="A17" s="124"/>
      <c r="B17" s="124">
        <v>12</v>
      </c>
      <c r="C17" s="125">
        <v>42</v>
      </c>
      <c r="D17" s="125">
        <v>30</v>
      </c>
      <c r="E17" s="266">
        <f t="shared" si="0"/>
        <v>18.560799999999997</v>
      </c>
      <c r="F17" s="282">
        <f t="shared" si="1"/>
        <v>11.560799999999997</v>
      </c>
      <c r="G17" s="282">
        <f t="shared" si="2"/>
        <v>15.560799999999997</v>
      </c>
      <c r="H17" s="3" t="s">
        <v>205</v>
      </c>
      <c r="I17" s="3" t="s">
        <v>206</v>
      </c>
      <c r="J17" s="3" t="s">
        <v>204</v>
      </c>
      <c r="K17" s="3">
        <f>3.5*12</f>
        <v>42</v>
      </c>
      <c r="L17" s="3">
        <f>2.5*12</f>
        <v>30</v>
      </c>
    </row>
    <row r="18" spans="1:12">
      <c r="A18" s="124"/>
      <c r="B18" s="124">
        <v>13</v>
      </c>
      <c r="C18" s="125">
        <v>42</v>
      </c>
      <c r="D18" s="125">
        <v>30</v>
      </c>
      <c r="E18" s="266">
        <f t="shared" si="0"/>
        <v>19.138099999999998</v>
      </c>
      <c r="F18" s="282">
        <f t="shared" si="1"/>
        <v>12.138099999999998</v>
      </c>
      <c r="G18" s="282">
        <f t="shared" si="2"/>
        <v>16.138099999999998</v>
      </c>
      <c r="H18" s="3" t="s">
        <v>207</v>
      </c>
      <c r="I18" s="3" t="s">
        <v>208</v>
      </c>
      <c r="J18" s="3" t="s">
        <v>208</v>
      </c>
      <c r="K18" s="3">
        <f>2*12</f>
        <v>24</v>
      </c>
      <c r="L18" s="3">
        <f>2*12</f>
        <v>24</v>
      </c>
    </row>
    <row r="19" spans="1:12">
      <c r="A19" s="124"/>
      <c r="B19" s="124">
        <v>14</v>
      </c>
      <c r="C19" s="125">
        <v>42</v>
      </c>
      <c r="D19" s="125">
        <v>30</v>
      </c>
      <c r="E19" s="266">
        <f t="shared" si="0"/>
        <v>19.6144</v>
      </c>
      <c r="F19" s="282">
        <f t="shared" si="1"/>
        <v>12.6144</v>
      </c>
      <c r="G19" s="282">
        <f t="shared" si="2"/>
        <v>16.6144</v>
      </c>
      <c r="H19" s="3" t="s">
        <v>209</v>
      </c>
      <c r="I19" s="3" t="s">
        <v>202</v>
      </c>
      <c r="J19" s="3" t="s">
        <v>258</v>
      </c>
      <c r="K19" s="3">
        <f>1.5*12</f>
        <v>18</v>
      </c>
      <c r="L19" s="3">
        <f>1*12</f>
        <v>12</v>
      </c>
    </row>
    <row r="20" spans="1:12">
      <c r="A20" s="124"/>
      <c r="B20" s="124">
        <v>15</v>
      </c>
      <c r="C20" s="125">
        <v>42</v>
      </c>
      <c r="D20" s="125">
        <v>30</v>
      </c>
      <c r="E20" s="266">
        <f t="shared" si="0"/>
        <v>19.989699999999999</v>
      </c>
      <c r="F20" s="282">
        <f t="shared" si="1"/>
        <v>12.989699999999999</v>
      </c>
      <c r="G20" s="282">
        <f t="shared" si="2"/>
        <v>16.989699999999999</v>
      </c>
    </row>
    <row r="21" spans="1:12">
      <c r="A21" s="124"/>
      <c r="B21" s="124">
        <v>16</v>
      </c>
      <c r="C21" s="125">
        <v>24</v>
      </c>
      <c r="D21" s="125">
        <v>24</v>
      </c>
      <c r="E21" s="266">
        <f t="shared" si="0"/>
        <v>20.263999999999999</v>
      </c>
      <c r="F21" s="282">
        <f t="shared" si="1"/>
        <v>13.263999999999999</v>
      </c>
      <c r="G21" s="282">
        <f t="shared" si="2"/>
        <v>17.263999999999999</v>
      </c>
      <c r="H21" s="268" t="s">
        <v>313</v>
      </c>
    </row>
    <row r="22" spans="1:12">
      <c r="A22" s="124"/>
      <c r="B22" s="124">
        <v>17</v>
      </c>
      <c r="C22" s="125">
        <v>24</v>
      </c>
      <c r="D22" s="125">
        <v>24</v>
      </c>
      <c r="E22" s="266">
        <f t="shared" si="0"/>
        <v>20.4373</v>
      </c>
      <c r="F22" s="282">
        <f t="shared" si="1"/>
        <v>13.4373</v>
      </c>
      <c r="G22" s="282">
        <f t="shared" si="2"/>
        <v>17.4373</v>
      </c>
      <c r="H22" s="119" t="s">
        <v>312</v>
      </c>
    </row>
    <row r="23" spans="1:12">
      <c r="A23" s="124"/>
      <c r="B23" s="124">
        <v>18</v>
      </c>
      <c r="C23" s="125">
        <v>24</v>
      </c>
      <c r="D23" s="125">
        <v>24</v>
      </c>
      <c r="E23" s="266">
        <f t="shared" si="0"/>
        <v>20.509599999999995</v>
      </c>
      <c r="F23" s="282">
        <f t="shared" si="1"/>
        <v>13.509599999999995</v>
      </c>
      <c r="G23" s="282">
        <f t="shared" si="2"/>
        <v>17.509599999999995</v>
      </c>
      <c r="H23" s="267" t="s">
        <v>315</v>
      </c>
    </row>
    <row r="24" spans="1:12">
      <c r="A24" s="124"/>
      <c r="B24" s="124">
        <v>19</v>
      </c>
      <c r="C24" s="125">
        <v>24</v>
      </c>
      <c r="D24" s="125">
        <v>24</v>
      </c>
      <c r="E24" s="266">
        <f t="shared" si="0"/>
        <v>20.480900000000002</v>
      </c>
      <c r="F24" s="282">
        <f t="shared" si="1"/>
        <v>13.480900000000002</v>
      </c>
      <c r="G24" s="282">
        <f t="shared" si="2"/>
        <v>17.480900000000002</v>
      </c>
    </row>
    <row r="25" spans="1:12">
      <c r="A25" s="124"/>
      <c r="B25" s="124">
        <v>20</v>
      </c>
      <c r="C25" s="127">
        <v>18</v>
      </c>
      <c r="D25" s="127">
        <v>24</v>
      </c>
      <c r="E25" s="266">
        <f t="shared" si="0"/>
        <v>20.351199999999999</v>
      </c>
      <c r="F25" s="282">
        <f t="shared" si="1"/>
        <v>13.351199999999999</v>
      </c>
      <c r="G25" s="282">
        <f t="shared" si="2"/>
        <v>17.351199999999999</v>
      </c>
    </row>
    <row r="26" spans="1:12">
      <c r="A26" s="124"/>
      <c r="B26" s="124">
        <v>21</v>
      </c>
      <c r="C26" s="127">
        <v>18</v>
      </c>
      <c r="D26" s="127">
        <v>12</v>
      </c>
      <c r="E26" s="266">
        <f t="shared" si="0"/>
        <v>20.120500000000003</v>
      </c>
      <c r="F26" s="282">
        <f t="shared" si="1"/>
        <v>13.120500000000003</v>
      </c>
      <c r="G26" s="282">
        <f t="shared" si="2"/>
        <v>17.120500000000003</v>
      </c>
    </row>
    <row r="27" spans="1:12">
      <c r="A27" s="124"/>
      <c r="B27" s="124">
        <v>22</v>
      </c>
      <c r="C27" s="127">
        <v>18</v>
      </c>
      <c r="D27" s="127">
        <v>12</v>
      </c>
      <c r="E27" s="266">
        <f t="shared" si="0"/>
        <v>19.788799999999998</v>
      </c>
      <c r="F27" s="282">
        <f t="shared" si="1"/>
        <v>12.788799999999998</v>
      </c>
      <c r="G27" s="282">
        <f t="shared" si="2"/>
        <v>16.788799999999998</v>
      </c>
    </row>
    <row r="28" spans="1:12">
      <c r="A28" s="124"/>
      <c r="B28" s="124">
        <v>23</v>
      </c>
      <c r="C28" s="127">
        <v>18</v>
      </c>
      <c r="D28" s="127">
        <v>12</v>
      </c>
      <c r="E28" s="266">
        <f t="shared" si="0"/>
        <v>19.356100000000001</v>
      </c>
      <c r="F28" s="282">
        <f t="shared" si="1"/>
        <v>12.356100000000001</v>
      </c>
      <c r="G28" s="282">
        <f t="shared" si="2"/>
        <v>16.356100000000001</v>
      </c>
    </row>
    <row r="29" spans="1:12">
      <c r="A29" s="124"/>
      <c r="B29" s="124">
        <v>24</v>
      </c>
      <c r="C29" s="127">
        <v>18</v>
      </c>
      <c r="D29" s="127">
        <v>12</v>
      </c>
      <c r="E29" s="266">
        <f t="shared" si="0"/>
        <v>18.822399999999995</v>
      </c>
      <c r="F29" s="282">
        <f t="shared" si="1"/>
        <v>11.822399999999995</v>
      </c>
      <c r="G29" s="282">
        <f t="shared" si="2"/>
        <v>15.822399999999995</v>
      </c>
    </row>
    <row r="30" spans="1:12">
      <c r="A30" s="263"/>
      <c r="B30" s="263">
        <v>25</v>
      </c>
      <c r="C30" s="264">
        <v>18</v>
      </c>
      <c r="D30" s="264">
        <v>12</v>
      </c>
      <c r="E30" s="266">
        <f t="shared" si="0"/>
        <v>18.1877</v>
      </c>
      <c r="F30" s="282">
        <f t="shared" si="1"/>
        <v>11.1877</v>
      </c>
      <c r="G30" s="282">
        <f t="shared" si="2"/>
        <v>15.1877</v>
      </c>
    </row>
    <row r="31" spans="1:12">
      <c r="A31" s="265"/>
      <c r="B31" s="124">
        <v>26</v>
      </c>
      <c r="C31" s="265"/>
      <c r="D31" s="264">
        <v>12</v>
      </c>
      <c r="E31" s="266">
        <f t="shared" si="0"/>
        <v>17.451999999999995</v>
      </c>
      <c r="F31" s="282">
        <f t="shared" si="1"/>
        <v>10.451999999999995</v>
      </c>
      <c r="G31" s="282">
        <f t="shared" si="2"/>
        <v>14.451999999999995</v>
      </c>
    </row>
    <row r="32" spans="1:12">
      <c r="A32" s="265"/>
      <c r="B32" s="124">
        <v>27</v>
      </c>
      <c r="C32" s="265"/>
      <c r="D32" s="264">
        <v>12</v>
      </c>
      <c r="E32" s="266">
        <f t="shared" si="0"/>
        <v>16.615300000000001</v>
      </c>
      <c r="F32" s="282">
        <f t="shared" si="1"/>
        <v>9.6153000000000013</v>
      </c>
      <c r="G32" s="282">
        <f t="shared" si="2"/>
        <v>13.615300000000001</v>
      </c>
    </row>
    <row r="33" spans="1:7">
      <c r="A33" s="265"/>
      <c r="B33" s="124">
        <v>28</v>
      </c>
      <c r="C33" s="265"/>
      <c r="D33" s="264">
        <v>12</v>
      </c>
      <c r="E33" s="266">
        <f t="shared" si="0"/>
        <v>15.677599999999996</v>
      </c>
      <c r="F33" s="282">
        <f t="shared" si="1"/>
        <v>8.6775999999999964</v>
      </c>
      <c r="G33" s="282">
        <f t="shared" si="2"/>
        <v>12.677599999999996</v>
      </c>
    </row>
    <row r="34" spans="1:7">
      <c r="A34" s="265"/>
      <c r="B34" s="124">
        <v>29</v>
      </c>
      <c r="C34" s="265"/>
      <c r="D34" s="264">
        <v>12</v>
      </c>
      <c r="E34" s="266">
        <f t="shared" si="0"/>
        <v>14.638900000000005</v>
      </c>
      <c r="F34" s="282">
        <f t="shared" si="1"/>
        <v>7.6389000000000049</v>
      </c>
      <c r="G34" s="282">
        <f t="shared" si="2"/>
        <v>11.638900000000005</v>
      </c>
    </row>
    <row r="35" spans="1:7">
      <c r="A35" s="265"/>
      <c r="B35" s="124">
        <v>30</v>
      </c>
      <c r="C35" s="265"/>
      <c r="D35" s="127">
        <v>12</v>
      </c>
      <c r="E35" s="266">
        <f t="shared" si="0"/>
        <v>13.4992</v>
      </c>
      <c r="F35" s="282">
        <f t="shared" si="1"/>
        <v>6.4992000000000001</v>
      </c>
      <c r="G35" s="282">
        <f t="shared" si="2"/>
        <v>10.4992</v>
      </c>
    </row>
    <row r="36" spans="1:7">
      <c r="D36" s="281">
        <f>AVERAGE(D8:D35)</f>
        <v>17.678571428571427</v>
      </c>
      <c r="E36" s="281">
        <f>AVERAGE(E8:E35)</f>
        <v>17.068149999999999</v>
      </c>
      <c r="F36" s="281">
        <f>AVERAGE(F8:F35)</f>
        <v>10.068149999999997</v>
      </c>
      <c r="G36" s="281">
        <f>AVERAGE(G6:G35)</f>
        <v>14.068149999999999</v>
      </c>
    </row>
  </sheetData>
  <mergeCells count="3">
    <mergeCell ref="A3:A5"/>
    <mergeCell ref="B3:B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G31"/>
  <sheetViews>
    <sheetView workbookViewId="0">
      <selection activeCell="D28" sqref="D28"/>
    </sheetView>
  </sheetViews>
  <sheetFormatPr defaultRowHeight="12.75"/>
  <cols>
    <col min="2" max="2" width="14.28515625" customWidth="1"/>
  </cols>
  <sheetData>
    <row r="1" spans="1:28" s="3" customFormat="1" ht="18.75">
      <c r="A1" s="1" t="s">
        <v>26</v>
      </c>
    </row>
    <row r="2" spans="1:28" s="3" customFormat="1"/>
    <row r="3" spans="1:28" s="3" customFormat="1" ht="15.75">
      <c r="A3" s="150" t="s">
        <v>210</v>
      </c>
    </row>
    <row r="4" spans="1:28" s="3" customFormat="1">
      <c r="A4" s="3" t="s">
        <v>211</v>
      </c>
      <c r="D4" s="3">
        <v>140</v>
      </c>
    </row>
    <row r="5" spans="1:28" s="3" customFormat="1" ht="14.25">
      <c r="A5" s="151" t="s">
        <v>212</v>
      </c>
      <c r="B5" s="325" t="s">
        <v>223</v>
      </c>
      <c r="C5" s="325"/>
      <c r="D5" s="326"/>
    </row>
    <row r="6" spans="1:28" s="3" customFormat="1">
      <c r="A6" s="152" t="s">
        <v>213</v>
      </c>
      <c r="B6" s="153" t="s">
        <v>27</v>
      </c>
      <c r="C6" s="153" t="s">
        <v>174</v>
      </c>
      <c r="D6" s="159" t="s">
        <v>301</v>
      </c>
    </row>
    <row r="7" spans="1:28" s="3" customFormat="1">
      <c r="A7" s="154" t="s">
        <v>214</v>
      </c>
      <c r="B7" s="155">
        <v>0.5</v>
      </c>
      <c r="C7" s="250" t="s">
        <v>305</v>
      </c>
      <c r="D7" s="251" t="s">
        <v>306</v>
      </c>
    </row>
    <row r="8" spans="1:28" s="3" customFormat="1">
      <c r="A8" s="154" t="s">
        <v>215</v>
      </c>
      <c r="B8" s="155">
        <v>0.75</v>
      </c>
      <c r="C8" s="155">
        <v>0.75</v>
      </c>
      <c r="D8" s="160">
        <v>3</v>
      </c>
    </row>
    <row r="9" spans="1:28" s="3" customFormat="1">
      <c r="A9" s="154" t="s">
        <v>216</v>
      </c>
      <c r="B9" s="155">
        <v>1</v>
      </c>
      <c r="C9" s="155">
        <v>1</v>
      </c>
      <c r="D9" s="160">
        <v>3</v>
      </c>
    </row>
    <row r="10" spans="1:28" s="3" customFormat="1">
      <c r="A10" s="154" t="s">
        <v>217</v>
      </c>
      <c r="B10" s="156">
        <v>1</v>
      </c>
      <c r="C10" s="156">
        <v>1</v>
      </c>
      <c r="D10" s="160">
        <v>3</v>
      </c>
    </row>
    <row r="11" spans="1:28" s="3" customFormat="1">
      <c r="A11" s="157"/>
      <c r="B11" s="158"/>
      <c r="C11" s="158"/>
      <c r="D11" s="161"/>
    </row>
    <row r="13" spans="1:28" s="129" customForma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s="129" customFormat="1"/>
    <row r="15" spans="1:28" s="136" customFormat="1"/>
    <row r="16" spans="1:28" s="136" customFormat="1" ht="13.5" customHeight="1">
      <c r="A16" s="137" t="s">
        <v>218</v>
      </c>
    </row>
    <row r="17" spans="1:33" s="3" customFormat="1">
      <c r="A17" s="138"/>
      <c r="B17" s="138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 t="s">
        <v>219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2"/>
      <c r="AC17" s="132"/>
      <c r="AD17" s="132"/>
      <c r="AE17" s="132"/>
      <c r="AF17" s="132"/>
      <c r="AG17" s="132"/>
    </row>
    <row r="18" spans="1:33" s="2" customFormat="1" ht="13.5" thickBot="1">
      <c r="A18" s="139" t="s">
        <v>26</v>
      </c>
      <c r="B18" s="139" t="s">
        <v>32</v>
      </c>
      <c r="C18" s="140"/>
      <c r="D18" s="141">
        <v>1</v>
      </c>
      <c r="E18" s="141">
        <v>2</v>
      </c>
      <c r="F18" s="141">
        <v>3</v>
      </c>
      <c r="G18" s="141">
        <v>4</v>
      </c>
      <c r="H18" s="141">
        <v>5</v>
      </c>
      <c r="I18" s="141">
        <v>6</v>
      </c>
      <c r="J18" s="141">
        <v>7</v>
      </c>
      <c r="K18" s="141">
        <v>8</v>
      </c>
      <c r="L18" s="141">
        <v>9</v>
      </c>
      <c r="M18" s="141">
        <v>10</v>
      </c>
      <c r="N18" s="141">
        <v>11</v>
      </c>
      <c r="O18" s="141">
        <v>12</v>
      </c>
      <c r="P18" s="141">
        <v>13</v>
      </c>
      <c r="Q18" s="141">
        <v>14</v>
      </c>
      <c r="R18" s="141">
        <v>15</v>
      </c>
      <c r="S18" s="141">
        <v>16</v>
      </c>
      <c r="T18" s="141">
        <v>17</v>
      </c>
      <c r="U18" s="141">
        <v>18</v>
      </c>
      <c r="V18" s="141">
        <v>19</v>
      </c>
      <c r="W18" s="141">
        <v>20</v>
      </c>
      <c r="X18" s="141">
        <v>21</v>
      </c>
      <c r="Y18" s="141">
        <v>22</v>
      </c>
      <c r="Z18" s="141">
        <v>23</v>
      </c>
      <c r="AA18" s="141">
        <v>24</v>
      </c>
      <c r="AB18" s="142">
        <v>25</v>
      </c>
      <c r="AC18" s="142">
        <v>26</v>
      </c>
      <c r="AD18" s="142">
        <v>27</v>
      </c>
      <c r="AE18" s="142">
        <v>28</v>
      </c>
      <c r="AF18" s="142">
        <v>29</v>
      </c>
      <c r="AG18" s="142">
        <v>30</v>
      </c>
    </row>
    <row r="19" spans="1:33" s="3" customFormat="1" ht="6.75" customHeight="1">
      <c r="A19" s="143"/>
      <c r="B19" s="143"/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5"/>
    </row>
    <row r="20" spans="1:33" s="2" customFormat="1" ht="14.25">
      <c r="A20" s="144" t="s">
        <v>27</v>
      </c>
      <c r="B20" s="144" t="s">
        <v>221</v>
      </c>
      <c r="C20" s="145"/>
      <c r="D20" s="112">
        <v>0.5</v>
      </c>
      <c r="E20" s="112">
        <v>0.5</v>
      </c>
      <c r="F20" s="112">
        <v>0.5</v>
      </c>
      <c r="G20" s="112">
        <v>0.5</v>
      </c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</row>
    <row r="21" spans="1:33" s="2" customFormat="1" ht="14.25">
      <c r="A21" s="144" t="s">
        <v>174</v>
      </c>
      <c r="B21" s="144" t="s">
        <v>221</v>
      </c>
      <c r="C21" s="145"/>
      <c r="D21" s="112"/>
      <c r="E21" s="112"/>
      <c r="F21" s="112"/>
      <c r="G21" s="112">
        <v>0.5</v>
      </c>
      <c r="H21" s="112">
        <v>0.5</v>
      </c>
      <c r="I21" s="112">
        <v>0.75</v>
      </c>
      <c r="J21" s="112">
        <v>0.75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  <c r="Q21" s="112">
        <v>1</v>
      </c>
      <c r="R21" s="112">
        <v>1</v>
      </c>
      <c r="S21" s="112">
        <v>1</v>
      </c>
      <c r="T21" s="112">
        <v>1</v>
      </c>
      <c r="U21" s="112">
        <v>1</v>
      </c>
      <c r="V21" s="112">
        <v>1</v>
      </c>
      <c r="W21" s="112">
        <v>1</v>
      </c>
      <c r="X21" s="112">
        <v>1</v>
      </c>
      <c r="Y21" s="112">
        <v>1</v>
      </c>
      <c r="Z21" s="112">
        <v>1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</row>
    <row r="22" spans="1:33" s="2" customFormat="1" ht="14.25">
      <c r="A22" s="117" t="s">
        <v>301</v>
      </c>
      <c r="B22" s="117" t="s">
        <v>221</v>
      </c>
      <c r="C22" s="146"/>
      <c r="D22" s="147"/>
      <c r="E22" s="147">
        <v>1</v>
      </c>
      <c r="F22" s="147">
        <v>1</v>
      </c>
      <c r="G22" s="147">
        <v>1</v>
      </c>
      <c r="H22" s="147">
        <v>2</v>
      </c>
      <c r="I22" s="147">
        <v>2</v>
      </c>
      <c r="J22" s="147">
        <v>2</v>
      </c>
      <c r="K22" s="147">
        <v>3</v>
      </c>
      <c r="L22" s="147">
        <v>3</v>
      </c>
      <c r="M22" s="147">
        <v>3</v>
      </c>
      <c r="N22" s="147">
        <v>3</v>
      </c>
      <c r="O22" s="147">
        <v>3</v>
      </c>
      <c r="P22" s="147">
        <v>3</v>
      </c>
      <c r="Q22" s="147">
        <v>3</v>
      </c>
      <c r="R22" s="147">
        <v>3</v>
      </c>
      <c r="S22" s="147">
        <v>3</v>
      </c>
      <c r="T22" s="147">
        <v>3</v>
      </c>
      <c r="U22" s="147">
        <v>3</v>
      </c>
      <c r="V22" s="147">
        <v>3</v>
      </c>
      <c r="W22" s="147">
        <v>3</v>
      </c>
      <c r="X22" s="147">
        <v>3</v>
      </c>
      <c r="Y22" s="147">
        <v>3</v>
      </c>
      <c r="Z22" s="147">
        <v>3</v>
      </c>
      <c r="AA22" s="147">
        <v>3</v>
      </c>
      <c r="AB22" s="147">
        <v>3</v>
      </c>
      <c r="AC22" s="147">
        <v>3</v>
      </c>
      <c r="AD22" s="147">
        <v>3</v>
      </c>
      <c r="AE22" s="147">
        <v>3</v>
      </c>
      <c r="AF22" s="147">
        <v>3</v>
      </c>
      <c r="AG22" s="147">
        <v>3</v>
      </c>
    </row>
    <row r="23" spans="1:33" s="2" customForma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</row>
    <row r="24" spans="1:33" s="3" customFormat="1">
      <c r="A24" s="4" t="s">
        <v>220</v>
      </c>
    </row>
    <row r="25" spans="1:33" s="3" customFormat="1" ht="6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</row>
    <row r="26" spans="1:33" s="3" customFormat="1" ht="13.5" thickBot="1">
      <c r="A26" s="139" t="s">
        <v>26</v>
      </c>
      <c r="B26" s="139" t="s">
        <v>32</v>
      </c>
      <c r="C26" s="139"/>
      <c r="D26" s="139">
        <v>1</v>
      </c>
      <c r="E26" s="139">
        <v>2</v>
      </c>
      <c r="F26" s="139">
        <v>3</v>
      </c>
      <c r="G26" s="139">
        <v>4</v>
      </c>
      <c r="H26" s="139">
        <v>5</v>
      </c>
      <c r="I26" s="139">
        <v>6</v>
      </c>
      <c r="J26" s="139">
        <v>7</v>
      </c>
      <c r="K26" s="139">
        <v>8</v>
      </c>
      <c r="L26" s="139">
        <v>9</v>
      </c>
      <c r="M26" s="139">
        <v>10</v>
      </c>
      <c r="N26" s="139">
        <v>11</v>
      </c>
      <c r="O26" s="139">
        <v>12</v>
      </c>
      <c r="P26" s="139">
        <v>13</v>
      </c>
      <c r="Q26" s="139">
        <v>14</v>
      </c>
      <c r="R26" s="139">
        <v>15</v>
      </c>
      <c r="S26" s="139">
        <v>16</v>
      </c>
      <c r="T26" s="139">
        <v>17</v>
      </c>
      <c r="U26" s="139">
        <v>18</v>
      </c>
      <c r="V26" s="139">
        <v>19</v>
      </c>
      <c r="W26" s="139">
        <v>20</v>
      </c>
      <c r="X26" s="139">
        <v>21</v>
      </c>
      <c r="Y26" s="139">
        <v>22</v>
      </c>
      <c r="Z26" s="139">
        <v>23</v>
      </c>
      <c r="AA26" s="139">
        <v>24</v>
      </c>
      <c r="AB26" s="139">
        <v>25</v>
      </c>
      <c r="AC26" s="139">
        <v>26</v>
      </c>
      <c r="AD26" s="139">
        <v>27</v>
      </c>
      <c r="AE26" s="139">
        <v>28</v>
      </c>
      <c r="AF26" s="139">
        <v>29</v>
      </c>
      <c r="AG26" s="139">
        <v>30</v>
      </c>
    </row>
    <row r="27" spans="1:33" s="3" customFormat="1" ht="6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</row>
    <row r="28" spans="1:33" s="3" customFormat="1" ht="14.25">
      <c r="A28" s="144" t="s">
        <v>27</v>
      </c>
      <c r="B28" s="144" t="s">
        <v>222</v>
      </c>
      <c r="C28" s="144"/>
      <c r="D28" s="149">
        <f>D20*$D$4</f>
        <v>70</v>
      </c>
      <c r="E28" s="149">
        <f t="shared" ref="E28:AG28" si="0">E20*$D$4</f>
        <v>70</v>
      </c>
      <c r="F28" s="149">
        <f t="shared" si="0"/>
        <v>70</v>
      </c>
      <c r="G28" s="149">
        <f t="shared" si="0"/>
        <v>70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49">
        <f t="shared" si="0"/>
        <v>0</v>
      </c>
      <c r="R28" s="149">
        <f t="shared" si="0"/>
        <v>0</v>
      </c>
      <c r="S28" s="149">
        <f t="shared" si="0"/>
        <v>0</v>
      </c>
      <c r="T28" s="149">
        <f t="shared" si="0"/>
        <v>0</v>
      </c>
      <c r="U28" s="149">
        <f t="shared" si="0"/>
        <v>0</v>
      </c>
      <c r="V28" s="149">
        <f t="shared" si="0"/>
        <v>0</v>
      </c>
      <c r="W28" s="149">
        <f t="shared" si="0"/>
        <v>0</v>
      </c>
      <c r="X28" s="149">
        <f t="shared" si="0"/>
        <v>0</v>
      </c>
      <c r="Y28" s="149">
        <f t="shared" si="0"/>
        <v>0</v>
      </c>
      <c r="Z28" s="149">
        <f t="shared" si="0"/>
        <v>0</v>
      </c>
      <c r="AA28" s="149">
        <f t="shared" si="0"/>
        <v>0</v>
      </c>
      <c r="AB28" s="149">
        <f t="shared" si="0"/>
        <v>0</v>
      </c>
      <c r="AC28" s="149">
        <f t="shared" si="0"/>
        <v>0</v>
      </c>
      <c r="AD28" s="149">
        <f t="shared" si="0"/>
        <v>0</v>
      </c>
      <c r="AE28" s="149">
        <f t="shared" si="0"/>
        <v>0</v>
      </c>
      <c r="AF28" s="149">
        <f t="shared" si="0"/>
        <v>0</v>
      </c>
      <c r="AG28" s="149">
        <f t="shared" si="0"/>
        <v>0</v>
      </c>
    </row>
    <row r="29" spans="1:33" s="3" customFormat="1" ht="14.25">
      <c r="A29" s="144" t="s">
        <v>174</v>
      </c>
      <c r="B29" s="144" t="s">
        <v>222</v>
      </c>
      <c r="C29" s="144"/>
      <c r="D29" s="149">
        <f>D21*$D$4</f>
        <v>0</v>
      </c>
      <c r="E29" s="149">
        <f t="shared" ref="E29:AG29" si="1">E21*$D$4</f>
        <v>0</v>
      </c>
      <c r="F29" s="149">
        <f t="shared" si="1"/>
        <v>0</v>
      </c>
      <c r="G29" s="149">
        <f t="shared" si="1"/>
        <v>70</v>
      </c>
      <c r="H29" s="149">
        <f t="shared" si="1"/>
        <v>70</v>
      </c>
      <c r="I29" s="149">
        <f t="shared" si="1"/>
        <v>105</v>
      </c>
      <c r="J29" s="149">
        <f t="shared" si="1"/>
        <v>105</v>
      </c>
      <c r="K29" s="149">
        <f t="shared" si="1"/>
        <v>140</v>
      </c>
      <c r="L29" s="149">
        <f t="shared" si="1"/>
        <v>140</v>
      </c>
      <c r="M29" s="149">
        <f t="shared" si="1"/>
        <v>140</v>
      </c>
      <c r="N29" s="149">
        <f t="shared" si="1"/>
        <v>140</v>
      </c>
      <c r="O29" s="149">
        <f t="shared" si="1"/>
        <v>140</v>
      </c>
      <c r="P29" s="149">
        <f t="shared" si="1"/>
        <v>140</v>
      </c>
      <c r="Q29" s="149">
        <f t="shared" si="1"/>
        <v>140</v>
      </c>
      <c r="R29" s="149">
        <f t="shared" si="1"/>
        <v>140</v>
      </c>
      <c r="S29" s="149">
        <f t="shared" si="1"/>
        <v>140</v>
      </c>
      <c r="T29" s="149">
        <f t="shared" si="1"/>
        <v>140</v>
      </c>
      <c r="U29" s="149">
        <f t="shared" si="1"/>
        <v>140</v>
      </c>
      <c r="V29" s="149">
        <f t="shared" si="1"/>
        <v>140</v>
      </c>
      <c r="W29" s="149">
        <f t="shared" si="1"/>
        <v>140</v>
      </c>
      <c r="X29" s="149">
        <f t="shared" si="1"/>
        <v>140</v>
      </c>
      <c r="Y29" s="149">
        <f t="shared" si="1"/>
        <v>140</v>
      </c>
      <c r="Z29" s="149">
        <f t="shared" si="1"/>
        <v>140</v>
      </c>
      <c r="AA29" s="149">
        <f t="shared" si="1"/>
        <v>140</v>
      </c>
      <c r="AB29" s="149">
        <f t="shared" si="1"/>
        <v>140</v>
      </c>
      <c r="AC29" s="149">
        <f t="shared" si="1"/>
        <v>140</v>
      </c>
      <c r="AD29" s="149">
        <f t="shared" si="1"/>
        <v>140</v>
      </c>
      <c r="AE29" s="149">
        <f t="shared" si="1"/>
        <v>140</v>
      </c>
      <c r="AF29" s="149">
        <f t="shared" si="1"/>
        <v>140</v>
      </c>
      <c r="AG29" s="149">
        <f t="shared" si="1"/>
        <v>140</v>
      </c>
    </row>
    <row r="30" spans="1:33" s="3" customFormat="1" ht="14.25">
      <c r="A30" s="117" t="s">
        <v>301</v>
      </c>
      <c r="B30" s="117" t="s">
        <v>222</v>
      </c>
      <c r="C30" s="117"/>
      <c r="D30" s="117">
        <f>D22*$D$4</f>
        <v>0</v>
      </c>
      <c r="E30" s="117">
        <f t="shared" ref="E30:AG30" si="2">E22*$D$4</f>
        <v>140</v>
      </c>
      <c r="F30" s="163">
        <f t="shared" si="2"/>
        <v>140</v>
      </c>
      <c r="G30" s="163">
        <f t="shared" si="2"/>
        <v>140</v>
      </c>
      <c r="H30" s="162">
        <f t="shared" si="2"/>
        <v>280</v>
      </c>
      <c r="I30" s="117">
        <f t="shared" si="2"/>
        <v>280</v>
      </c>
      <c r="J30" s="117">
        <f t="shared" si="2"/>
        <v>280</v>
      </c>
      <c r="K30" s="117">
        <f t="shared" si="2"/>
        <v>420</v>
      </c>
      <c r="L30" s="117">
        <f t="shared" si="2"/>
        <v>420</v>
      </c>
      <c r="M30" s="117">
        <f t="shared" si="2"/>
        <v>420</v>
      </c>
      <c r="N30" s="117">
        <f t="shared" si="2"/>
        <v>420</v>
      </c>
      <c r="O30" s="117">
        <f t="shared" si="2"/>
        <v>420</v>
      </c>
      <c r="P30" s="117">
        <f t="shared" si="2"/>
        <v>420</v>
      </c>
      <c r="Q30" s="117">
        <f t="shared" si="2"/>
        <v>420</v>
      </c>
      <c r="R30" s="117">
        <f t="shared" si="2"/>
        <v>420</v>
      </c>
      <c r="S30" s="117">
        <f t="shared" si="2"/>
        <v>420</v>
      </c>
      <c r="T30" s="117">
        <f t="shared" si="2"/>
        <v>420</v>
      </c>
      <c r="U30" s="117">
        <f t="shared" si="2"/>
        <v>420</v>
      </c>
      <c r="V30" s="117">
        <f t="shared" si="2"/>
        <v>420</v>
      </c>
      <c r="W30" s="117">
        <f t="shared" si="2"/>
        <v>420</v>
      </c>
      <c r="X30" s="117">
        <f t="shared" si="2"/>
        <v>420</v>
      </c>
      <c r="Y30" s="117">
        <f t="shared" si="2"/>
        <v>420</v>
      </c>
      <c r="Z30" s="117">
        <f t="shared" si="2"/>
        <v>420</v>
      </c>
      <c r="AA30" s="117">
        <f t="shared" si="2"/>
        <v>420</v>
      </c>
      <c r="AB30" s="117">
        <f t="shared" si="2"/>
        <v>420</v>
      </c>
      <c r="AC30" s="117">
        <f t="shared" si="2"/>
        <v>420</v>
      </c>
      <c r="AD30" s="117">
        <f t="shared" si="2"/>
        <v>420</v>
      </c>
      <c r="AE30" s="117">
        <f t="shared" si="2"/>
        <v>420</v>
      </c>
      <c r="AF30" s="117">
        <f t="shared" si="2"/>
        <v>420</v>
      </c>
      <c r="AG30" s="117">
        <f t="shared" si="2"/>
        <v>420</v>
      </c>
    </row>
    <row r="31" spans="1:33" s="3" customFormat="1"/>
  </sheetData>
  <mergeCells count="1">
    <mergeCell ref="B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3:G26"/>
  <sheetViews>
    <sheetView workbookViewId="0">
      <selection activeCell="D25" sqref="D25"/>
    </sheetView>
  </sheetViews>
  <sheetFormatPr defaultRowHeight="12.75"/>
  <sheetData>
    <row r="3" spans="2:5">
      <c r="B3" s="47" t="s">
        <v>276</v>
      </c>
      <c r="C3" s="3"/>
      <c r="D3" s="3"/>
      <c r="E3" s="3"/>
    </row>
    <row r="4" spans="2:5">
      <c r="B4" s="3"/>
      <c r="C4" s="3"/>
      <c r="D4" s="3"/>
      <c r="E4" s="3"/>
    </row>
    <row r="5" spans="2:5">
      <c r="B5" s="47" t="s">
        <v>272</v>
      </c>
      <c r="C5" s="3"/>
      <c r="D5" s="3"/>
      <c r="E5" s="3"/>
    </row>
    <row r="6" spans="2:5">
      <c r="B6" s="3" t="s">
        <v>277</v>
      </c>
      <c r="C6" s="3" t="s">
        <v>278</v>
      </c>
      <c r="D6" s="20" t="s">
        <v>279</v>
      </c>
      <c r="E6" s="3"/>
    </row>
    <row r="7" spans="2:5">
      <c r="B7" s="3" t="s">
        <v>298</v>
      </c>
      <c r="C7" s="3"/>
      <c r="D7" s="3"/>
      <c r="E7" s="3"/>
    </row>
    <row r="8" spans="2:5">
      <c r="B8" s="3" t="s">
        <v>280</v>
      </c>
      <c r="C8" s="3"/>
      <c r="D8" s="24">
        <v>9</v>
      </c>
      <c r="E8" s="3" t="s">
        <v>177</v>
      </c>
    </row>
    <row r="9" spans="2:5">
      <c r="B9" s="3" t="s">
        <v>281</v>
      </c>
      <c r="C9" s="3"/>
      <c r="D9" s="3"/>
      <c r="E9" s="3"/>
    </row>
    <row r="10" spans="2:5">
      <c r="B10" s="3" t="s">
        <v>282</v>
      </c>
      <c r="C10" s="249">
        <v>60000</v>
      </c>
      <c r="D10" s="3"/>
      <c r="E10" s="3"/>
    </row>
    <row r="11" spans="2:5">
      <c r="B11" s="47"/>
      <c r="C11" s="47"/>
      <c r="D11" s="3"/>
      <c r="E11" s="3"/>
    </row>
    <row r="12" spans="2:5">
      <c r="B12" s="47"/>
      <c r="C12" s="47"/>
      <c r="D12" s="3"/>
      <c r="E12" s="3"/>
    </row>
    <row r="13" spans="2:5">
      <c r="B13" s="47"/>
      <c r="C13" s="47"/>
      <c r="D13" s="3"/>
      <c r="E13" s="3"/>
    </row>
    <row r="14" spans="2:5">
      <c r="B14" s="3"/>
      <c r="C14" s="3"/>
      <c r="D14" s="3"/>
      <c r="E14" s="3"/>
    </row>
    <row r="15" spans="2:5">
      <c r="B15" s="47" t="s">
        <v>283</v>
      </c>
      <c r="C15" s="3"/>
      <c r="D15" s="3"/>
      <c r="E15" s="3"/>
    </row>
    <row r="16" spans="2:5">
      <c r="B16" s="3" t="s">
        <v>284</v>
      </c>
      <c r="C16" s="3" t="s">
        <v>285</v>
      </c>
      <c r="D16" s="2" t="s">
        <v>286</v>
      </c>
      <c r="E16" s="3"/>
    </row>
    <row r="17" spans="2:7">
      <c r="B17" s="3" t="s">
        <v>287</v>
      </c>
      <c r="C17" s="3"/>
      <c r="D17" s="3"/>
      <c r="E17" s="24"/>
    </row>
    <row r="18" spans="2:7">
      <c r="B18" s="3" t="s">
        <v>288</v>
      </c>
      <c r="C18" s="3"/>
      <c r="D18" s="3">
        <f>150/10</f>
        <v>15</v>
      </c>
      <c r="E18" s="3" t="s">
        <v>177</v>
      </c>
      <c r="F18" s="3"/>
      <c r="G18" s="3"/>
    </row>
    <row r="19" spans="2:7">
      <c r="B19" s="3" t="s">
        <v>240</v>
      </c>
      <c r="C19" s="3"/>
      <c r="D19" s="3">
        <v>4</v>
      </c>
      <c r="E19" s="3" t="s">
        <v>177</v>
      </c>
      <c r="F19" s="3">
        <f>2*D19</f>
        <v>8</v>
      </c>
      <c r="G19" s="3" t="s">
        <v>308</v>
      </c>
    </row>
    <row r="20" spans="2:7">
      <c r="B20" s="47" t="s">
        <v>282</v>
      </c>
      <c r="C20" s="3"/>
      <c r="D20" s="3"/>
      <c r="E20" s="3"/>
    </row>
    <row r="21" spans="2:7">
      <c r="B21" s="3" t="s">
        <v>289</v>
      </c>
      <c r="C21" s="3" t="s">
        <v>290</v>
      </c>
      <c r="D21" s="3"/>
      <c r="E21" s="3"/>
    </row>
    <row r="22" spans="2:7">
      <c r="B22" s="3" t="s">
        <v>291</v>
      </c>
      <c r="C22" s="3" t="s">
        <v>292</v>
      </c>
      <c r="D22" s="3"/>
      <c r="E22" s="3"/>
    </row>
    <row r="23" spans="2:7">
      <c r="B23" s="3"/>
      <c r="C23" s="3"/>
      <c r="D23" s="3"/>
      <c r="E23" s="3"/>
    </row>
    <row r="24" spans="2:7">
      <c r="B24" s="47" t="s">
        <v>293</v>
      </c>
      <c r="C24" s="47" t="s">
        <v>294</v>
      </c>
      <c r="D24" s="47" t="s">
        <v>295</v>
      </c>
      <c r="E24" s="3"/>
    </row>
    <row r="25" spans="2:7">
      <c r="B25" s="47" t="s">
        <v>296</v>
      </c>
      <c r="C25" s="47">
        <f>150*6000</f>
        <v>900000</v>
      </c>
      <c r="D25" s="47">
        <f>150*3000</f>
        <v>450000</v>
      </c>
      <c r="E25" s="3"/>
    </row>
    <row r="26" spans="2:7">
      <c r="B26" s="47" t="s">
        <v>297</v>
      </c>
      <c r="C26" s="47">
        <f>C25/15</f>
        <v>60000</v>
      </c>
      <c r="D26" s="47">
        <f>D25/8</f>
        <v>56250</v>
      </c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Asumsi</vt:lpstr>
      <vt:lpstr>Harga</vt:lpstr>
      <vt:lpstr>I-O</vt:lpstr>
      <vt:lpstr>P-Budget</vt:lpstr>
      <vt:lpstr>S-Budget</vt:lpstr>
      <vt:lpstr>PAM Table</vt:lpstr>
      <vt:lpstr>Prod</vt:lpstr>
      <vt:lpstr>Pupuk</vt:lpstr>
      <vt:lpstr>Parit</vt:lpstr>
      <vt:lpstr>P-Cashflow</vt:lpstr>
      <vt:lpstr>S-Cashflow</vt:lpstr>
    </vt:vector>
  </TitlesOfParts>
  <Company>World Agroforestry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kwijaya</dc:creator>
  <cp:lastModifiedBy>msofiyuddin</cp:lastModifiedBy>
  <dcterms:created xsi:type="dcterms:W3CDTF">2005-07-07T09:08:47Z</dcterms:created>
  <dcterms:modified xsi:type="dcterms:W3CDTF">2011-10-27T10:49:29Z</dcterms:modified>
</cp:coreProperties>
</file>