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0" yWindow="-225" windowWidth="9645" windowHeight="8160" tabRatio="783"/>
  </bookViews>
  <sheets>
    <sheet name="Summary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6" r:id="rId7"/>
  </sheets>
  <externalReferences>
    <externalReference r:id="rId8"/>
  </externalReferences>
  <definedNames>
    <definedName name="nilai_tukar">Summary!$D$8</definedName>
    <definedName name="rate_private">Summary!$D$6</definedName>
    <definedName name="rate_social">Summary!$D$7</definedName>
  </definedNames>
  <calcPr calcId="125725"/>
</workbook>
</file>

<file path=xl/calcChain.xml><?xml version="1.0" encoding="utf-8"?>
<calcChain xmlns="http://schemas.openxmlformats.org/spreadsheetml/2006/main">
  <c r="K2" i="15"/>
  <c r="Y31" i="1"/>
  <c r="Z31"/>
  <c r="AA31"/>
  <c r="AB31"/>
  <c r="AC31"/>
  <c r="AD31"/>
  <c r="AE31"/>
  <c r="AF31"/>
  <c r="AG31"/>
  <c r="X31"/>
  <c r="J31"/>
  <c r="K31"/>
  <c r="L31"/>
  <c r="M31"/>
  <c r="N31"/>
  <c r="O31"/>
  <c r="P31"/>
  <c r="Q31"/>
  <c r="R31"/>
  <c r="I31"/>
  <c r="F34" l="1"/>
  <c r="G34"/>
  <c r="H34"/>
  <c r="I34"/>
  <c r="J34"/>
  <c r="K34"/>
  <c r="L34"/>
  <c r="M34"/>
  <c r="N34"/>
  <c r="O34"/>
  <c r="P34"/>
  <c r="Q34"/>
  <c r="R34"/>
  <c r="S34"/>
  <c r="X34"/>
  <c r="Y34"/>
  <c r="Z34"/>
  <c r="AA34"/>
  <c r="AB34"/>
  <c r="AC34"/>
  <c r="AD34"/>
  <c r="AE34"/>
  <c r="AF34"/>
  <c r="AG34"/>
  <c r="T26"/>
  <c r="S26"/>
  <c r="AC10" i="15"/>
  <c r="AD10"/>
  <c r="AE10"/>
  <c r="AF10"/>
  <c r="AB10"/>
  <c r="AA10"/>
  <c r="Z10"/>
  <c r="Y10"/>
  <c r="X10"/>
  <c r="W10"/>
  <c r="Q10"/>
  <c r="P10"/>
  <c r="O10"/>
  <c r="I10"/>
  <c r="H10"/>
  <c r="J10"/>
  <c r="K10"/>
  <c r="L10"/>
  <c r="D5"/>
  <c r="K28" i="1"/>
  <c r="L28"/>
  <c r="M28"/>
  <c r="N28"/>
  <c r="O28"/>
  <c r="P28"/>
  <c r="Q28"/>
  <c r="R28"/>
  <c r="U28"/>
  <c r="V28"/>
  <c r="W28"/>
  <c r="X28"/>
  <c r="Y28"/>
  <c r="Z28"/>
  <c r="AA28"/>
  <c r="AB28"/>
  <c r="AC28"/>
  <c r="AD28"/>
  <c r="AE28"/>
  <c r="AF28"/>
  <c r="AG28"/>
  <c r="J28"/>
  <c r="E28"/>
  <c r="F28"/>
  <c r="G28"/>
  <c r="H28"/>
  <c r="I28"/>
  <c r="D28"/>
  <c r="H11" i="14" l="1"/>
  <c r="H10"/>
  <c r="D14" l="1"/>
  <c r="D15"/>
  <c r="J16" i="15" l="1"/>
  <c r="I16"/>
  <c r="F31" i="4"/>
  <c r="F26"/>
  <c r="E18" i="6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F14"/>
  <c r="G14"/>
  <c r="H14"/>
  <c r="I14"/>
  <c r="J14"/>
  <c r="K14"/>
  <c r="L14"/>
  <c r="M14"/>
  <c r="N14"/>
  <c r="O14"/>
  <c r="S14"/>
  <c r="T14"/>
  <c r="U14"/>
  <c r="V14"/>
  <c r="W14"/>
  <c r="X14"/>
  <c r="Y14"/>
  <c r="Z14"/>
  <c r="AA14"/>
  <c r="AB14"/>
  <c r="AC14"/>
  <c r="AD14"/>
  <c r="AE14"/>
  <c r="AF14"/>
  <c r="AG14"/>
  <c r="D17"/>
  <c r="D9"/>
  <c r="D8"/>
  <c r="B18" i="15"/>
  <c r="E15" s="1"/>
  <c r="F14" i="5"/>
  <c r="G14"/>
  <c r="H14"/>
  <c r="I14"/>
  <c r="J14"/>
  <c r="K14"/>
  <c r="L14"/>
  <c r="M14"/>
  <c r="N14"/>
  <c r="O14"/>
  <c r="S14"/>
  <c r="T14"/>
  <c r="U14"/>
  <c r="V14"/>
  <c r="W14"/>
  <c r="X14"/>
  <c r="Y14"/>
  <c r="Z14"/>
  <c r="AA14"/>
  <c r="AB14"/>
  <c r="AC14"/>
  <c r="AD14"/>
  <c r="AE14"/>
  <c r="AF14"/>
  <c r="AG14"/>
  <c r="E31" i="4"/>
  <c r="E26"/>
  <c r="E10" i="15"/>
  <c r="F26" i="6" l="1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E31"/>
  <c r="F31"/>
  <c r="G31"/>
  <c r="H31"/>
  <c r="I31"/>
  <c r="J31"/>
  <c r="K31"/>
  <c r="L31"/>
  <c r="M31"/>
  <c r="N31"/>
  <c r="O31"/>
  <c r="P31"/>
  <c r="Q31"/>
  <c r="R31"/>
  <c r="S31"/>
  <c r="X31"/>
  <c r="Y31"/>
  <c r="Z31"/>
  <c r="AA31"/>
  <c r="AB31"/>
  <c r="AC31"/>
  <c r="AD31"/>
  <c r="AE31"/>
  <c r="AF31"/>
  <c r="AG31"/>
  <c r="E32"/>
  <c r="F32"/>
  <c r="D31"/>
  <c r="D32"/>
  <c r="F26" i="5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E31"/>
  <c r="F31"/>
  <c r="G31"/>
  <c r="H31"/>
  <c r="I31"/>
  <c r="J31"/>
  <c r="K31"/>
  <c r="L31"/>
  <c r="M31"/>
  <c r="N31"/>
  <c r="O31"/>
  <c r="P31"/>
  <c r="Q31"/>
  <c r="R31"/>
  <c r="S31"/>
  <c r="X31"/>
  <c r="Y31"/>
  <c r="Z31"/>
  <c r="AA31"/>
  <c r="AB31"/>
  <c r="AC31"/>
  <c r="AD31"/>
  <c r="AE31"/>
  <c r="AF31"/>
  <c r="AG31"/>
  <c r="D31"/>
  <c r="E32"/>
  <c r="F32"/>
  <c r="D32"/>
  <c r="E14" i="15"/>
  <c r="E16"/>
  <c r="F24" i="4" l="1"/>
  <c r="E24"/>
  <c r="F39" i="1"/>
  <c r="R39"/>
  <c r="R32" s="1"/>
  <c r="S39"/>
  <c r="E37"/>
  <c r="F37"/>
  <c r="G37"/>
  <c r="H37"/>
  <c r="D37"/>
  <c r="E24" i="6" l="1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D24"/>
  <c r="F39" i="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D24"/>
  <c r="H32" l="1"/>
  <c r="H32" i="6"/>
  <c r="G32" i="5"/>
  <c r="G32" i="6"/>
  <c r="N10" i="15" l="1"/>
  <c r="M10"/>
  <c r="AC39" i="1"/>
  <c r="AC32" s="1"/>
  <c r="Y39"/>
  <c r="Y32" s="1"/>
  <c r="X39"/>
  <c r="X32" s="1"/>
  <c r="W39"/>
  <c r="V39"/>
  <c r="K39"/>
  <c r="K32" s="1"/>
  <c r="J39"/>
  <c r="J32" s="1"/>
  <c r="I39"/>
  <c r="I32" s="1"/>
  <c r="H39"/>
  <c r="L39"/>
  <c r="L32" s="1"/>
  <c r="M39"/>
  <c r="M32" s="1"/>
  <c r="N39"/>
  <c r="N32" s="1"/>
  <c r="O39"/>
  <c r="O32" s="1"/>
  <c r="Z39"/>
  <c r="Z32" s="1"/>
  <c r="AA39"/>
  <c r="AA32" s="1"/>
  <c r="AB39"/>
  <c r="AB32" s="1"/>
  <c r="AG39"/>
  <c r="AG32" s="1"/>
  <c r="AF39"/>
  <c r="AF32" s="1"/>
  <c r="AE39"/>
  <c r="AE32" s="1"/>
  <c r="AD39"/>
  <c r="AD32" s="1"/>
  <c r="Q39"/>
  <c r="Q32" s="1"/>
  <c r="P39"/>
  <c r="P32" s="1"/>
  <c r="U39"/>
  <c r="T39"/>
  <c r="G39"/>
  <c r="G39" i="5" s="1"/>
  <c r="D14" i="1"/>
  <c r="J45" i="15"/>
  <c r="J44"/>
  <c r="G9"/>
  <c r="H40" i="1" s="1"/>
  <c r="F9" i="15"/>
  <c r="G40" i="1" s="1"/>
  <c r="E9" i="15"/>
  <c r="F40" i="1" s="1"/>
  <c r="D9" i="15"/>
  <c r="E40" i="1" s="1"/>
  <c r="C9" i="15"/>
  <c r="D40" i="1" s="1"/>
  <c r="F26" i="15"/>
  <c r="F27"/>
  <c r="F28"/>
  <c r="F29"/>
  <c r="F25"/>
  <c r="C10"/>
  <c r="D39" i="1" s="1"/>
  <c r="D10" i="15"/>
  <c r="E39" i="1" s="1"/>
  <c r="J43" i="15"/>
  <c r="J42"/>
  <c r="K31"/>
  <c r="K32" s="1"/>
  <c r="K33" s="1"/>
  <c r="H29"/>
  <c r="I14"/>
  <c r="I15"/>
  <c r="I17"/>
  <c r="I18"/>
  <c r="I19"/>
  <c r="J17"/>
  <c r="J14"/>
  <c r="D7" i="14"/>
  <c r="F39" i="4"/>
  <c r="F40" i="6" s="1"/>
  <c r="E23" i="4"/>
  <c r="E22"/>
  <c r="F23"/>
  <c r="F22"/>
  <c r="T31" i="1" l="1"/>
  <c r="T32"/>
  <c r="U31"/>
  <c r="U32"/>
  <c r="V31"/>
  <c r="V32"/>
  <c r="W31"/>
  <c r="W32"/>
  <c r="D14" i="6"/>
  <c r="D26" i="1"/>
  <c r="D34" s="1"/>
  <c r="C55"/>
  <c r="C53"/>
  <c r="E22" i="6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G40"/>
  <c r="T40"/>
  <c r="U40"/>
  <c r="P40"/>
  <c r="Q40"/>
  <c r="AD40"/>
  <c r="AE40"/>
  <c r="AF40"/>
  <c r="AG40"/>
  <c r="AB40"/>
  <c r="AA40"/>
  <c r="Z40"/>
  <c r="O40"/>
  <c r="N40"/>
  <c r="M40"/>
  <c r="L40"/>
  <c r="H40"/>
  <c r="I40"/>
  <c r="J40"/>
  <c r="K40"/>
  <c r="V40"/>
  <c r="W40"/>
  <c r="X40"/>
  <c r="Y40"/>
  <c r="AC40"/>
  <c r="E39" i="5"/>
  <c r="E40" i="6"/>
  <c r="D39" i="5"/>
  <c r="D40" i="6"/>
  <c r="D40" i="5"/>
  <c r="D41" i="6"/>
  <c r="E40" i="5"/>
  <c r="E41" i="6"/>
  <c r="F40" i="5"/>
  <c r="F41" s="1"/>
  <c r="F41" i="6"/>
  <c r="F42" s="1"/>
  <c r="G40" i="5"/>
  <c r="G41" i="6"/>
  <c r="H40" i="5"/>
  <c r="H41" i="6"/>
  <c r="G42"/>
  <c r="H42"/>
  <c r="E31" i="15"/>
  <c r="F31" s="1"/>
  <c r="L8"/>
  <c r="K8"/>
  <c r="J8"/>
  <c r="I8"/>
  <c r="H8"/>
  <c r="H9" s="1"/>
  <c r="E50"/>
  <c r="F50" s="1"/>
  <c r="AF8"/>
  <c r="AE8"/>
  <c r="AD8"/>
  <c r="AC8"/>
  <c r="AB8"/>
  <c r="AA8"/>
  <c r="Z8"/>
  <c r="Y8"/>
  <c r="X8"/>
  <c r="W8"/>
  <c r="Q8"/>
  <c r="P8"/>
  <c r="O8"/>
  <c r="N8"/>
  <c r="M8"/>
  <c r="E35"/>
  <c r="E36"/>
  <c r="E37"/>
  <c r="E38"/>
  <c r="E39"/>
  <c r="V8"/>
  <c r="W37" i="1" s="1"/>
  <c r="U8" i="15"/>
  <c r="V37" i="1" s="1"/>
  <c r="T8" i="15"/>
  <c r="U37" i="1" s="1"/>
  <c r="S8" i="15"/>
  <c r="T37" i="1" s="1"/>
  <c r="R8" i="15"/>
  <c r="S37" i="1" s="1"/>
  <c r="E41" i="15"/>
  <c r="E42"/>
  <c r="E43"/>
  <c r="E44"/>
  <c r="E40"/>
  <c r="D14" i="5"/>
  <c r="E14" i="1"/>
  <c r="E26" s="1"/>
  <c r="E34" s="1"/>
  <c r="G41" i="5"/>
  <c r="T39"/>
  <c r="U39"/>
  <c r="P39"/>
  <c r="Q39"/>
  <c r="AD39"/>
  <c r="AE39"/>
  <c r="AF39"/>
  <c r="AG39"/>
  <c r="AB39"/>
  <c r="AA39"/>
  <c r="Z39"/>
  <c r="O39"/>
  <c r="N39"/>
  <c r="M39"/>
  <c r="L39"/>
  <c r="H39"/>
  <c r="H41" s="1"/>
  <c r="I39"/>
  <c r="J39"/>
  <c r="K39"/>
  <c r="V39"/>
  <c r="W39"/>
  <c r="X39"/>
  <c r="Y39"/>
  <c r="AC39"/>
  <c r="E30" i="15"/>
  <c r="F30" s="1"/>
  <c r="E34"/>
  <c r="F34" s="1"/>
  <c r="E33"/>
  <c r="F33" s="1"/>
  <c r="E32"/>
  <c r="F32" s="1"/>
  <c r="F35"/>
  <c r="E49"/>
  <c r="F49" s="1"/>
  <c r="E48"/>
  <c r="F48" s="1"/>
  <c r="E47"/>
  <c r="F47" s="1"/>
  <c r="E46"/>
  <c r="F46" s="1"/>
  <c r="E45"/>
  <c r="F45" s="1"/>
  <c r="F44"/>
  <c r="F43"/>
  <c r="F42"/>
  <c r="F41"/>
  <c r="F40"/>
  <c r="F39"/>
  <c r="F38"/>
  <c r="F37"/>
  <c r="F36"/>
  <c r="E54"/>
  <c r="F54" s="1"/>
  <c r="E53"/>
  <c r="F53" s="1"/>
  <c r="E52"/>
  <c r="F52" s="1"/>
  <c r="E51"/>
  <c r="F51" s="1"/>
  <c r="F22" i="5"/>
  <c r="H22"/>
  <c r="J22"/>
  <c r="L22"/>
  <c r="N22"/>
  <c r="P22"/>
  <c r="R22"/>
  <c r="T22"/>
  <c r="V22"/>
  <c r="X22"/>
  <c r="Z22"/>
  <c r="AB22"/>
  <c r="AD22"/>
  <c r="AF22"/>
  <c r="E22"/>
  <c r="G22"/>
  <c r="I22"/>
  <c r="K22"/>
  <c r="M22"/>
  <c r="O22"/>
  <c r="Q22"/>
  <c r="S22"/>
  <c r="U22"/>
  <c r="W22"/>
  <c r="Y22"/>
  <c r="AA22"/>
  <c r="AC22"/>
  <c r="AE22"/>
  <c r="AG22"/>
  <c r="E23"/>
  <c r="G23"/>
  <c r="I23"/>
  <c r="K23"/>
  <c r="M23"/>
  <c r="O23"/>
  <c r="Q23"/>
  <c r="S23"/>
  <c r="U23"/>
  <c r="W23"/>
  <c r="Y23"/>
  <c r="AA23"/>
  <c r="AC23"/>
  <c r="AE23"/>
  <c r="AG23"/>
  <c r="F23"/>
  <c r="H23"/>
  <c r="J23"/>
  <c r="L23"/>
  <c r="N23"/>
  <c r="P23"/>
  <c r="R23"/>
  <c r="T23"/>
  <c r="V23"/>
  <c r="X23"/>
  <c r="Z23"/>
  <c r="AB23"/>
  <c r="AD23"/>
  <c r="AF23"/>
  <c r="W34" i="1" l="1"/>
  <c r="W31" i="6"/>
  <c r="W31" i="5"/>
  <c r="V34" i="1"/>
  <c r="V31" i="6"/>
  <c r="V31" i="5"/>
  <c r="U34" i="1"/>
  <c r="U31" i="6"/>
  <c r="U31" i="5"/>
  <c r="T34" i="1"/>
  <c r="T31" i="6"/>
  <c r="T31" i="5"/>
  <c r="E26" i="6"/>
  <c r="E26" i="5"/>
  <c r="D26" i="6"/>
  <c r="D26" i="5"/>
  <c r="N37" i="1"/>
  <c r="M9" i="15"/>
  <c r="N40" i="1" s="1"/>
  <c r="O37"/>
  <c r="N9" i="15"/>
  <c r="O40" i="1" s="1"/>
  <c r="P37"/>
  <c r="O9" i="15"/>
  <c r="P40" i="1" s="1"/>
  <c r="Q37"/>
  <c r="P9" i="15"/>
  <c r="Q40" i="1" s="1"/>
  <c r="R37"/>
  <c r="Q9" i="15"/>
  <c r="X37" i="1"/>
  <c r="W9" i="15"/>
  <c r="X40" i="1" s="1"/>
  <c r="Y37"/>
  <c r="X9" i="15"/>
  <c r="Y40" i="1" s="1"/>
  <c r="Z37"/>
  <c r="Y9" i="15"/>
  <c r="Z40" i="1" s="1"/>
  <c r="AA37"/>
  <c r="Z9" i="15"/>
  <c r="AA40" i="1" s="1"/>
  <c r="AB37"/>
  <c r="AA9" i="15"/>
  <c r="AB40" i="1" s="1"/>
  <c r="AC37"/>
  <c r="AB9" i="15"/>
  <c r="AC40" i="1" s="1"/>
  <c r="AD37"/>
  <c r="AC9" i="15"/>
  <c r="AD40" i="1" s="1"/>
  <c r="AE37"/>
  <c r="AD9" i="15"/>
  <c r="AE40" i="1" s="1"/>
  <c r="AF37"/>
  <c r="AE9" i="15"/>
  <c r="AF40" i="1" s="1"/>
  <c r="AG37"/>
  <c r="AF9" i="15"/>
  <c r="AG40" i="1" s="1"/>
  <c r="J37"/>
  <c r="I9" i="15"/>
  <c r="J40" i="1" s="1"/>
  <c r="K37"/>
  <c r="J9" i="15"/>
  <c r="K40" i="1" s="1"/>
  <c r="L37"/>
  <c r="K9" i="15"/>
  <c r="L40" i="1" s="1"/>
  <c r="M37"/>
  <c r="L9" i="15"/>
  <c r="M40" i="1" s="1"/>
  <c r="AG40" i="5"/>
  <c r="AG41" i="6"/>
  <c r="AG42" s="1"/>
  <c r="AF40" i="5"/>
  <c r="AF41" i="6"/>
  <c r="AF42" s="1"/>
  <c r="AE40" i="5"/>
  <c r="AE41" i="6"/>
  <c r="AE42" s="1"/>
  <c r="AD40" i="5"/>
  <c r="AD41" i="6"/>
  <c r="AD42" s="1"/>
  <c r="AC40" i="5"/>
  <c r="AC41" i="6"/>
  <c r="AC42" s="1"/>
  <c r="AB40" i="5"/>
  <c r="AB41" i="6"/>
  <c r="AB42" s="1"/>
  <c r="AA40" i="5"/>
  <c r="AA41" i="6"/>
  <c r="AA42" s="1"/>
  <c r="Z40" i="5"/>
  <c r="Z41" i="6"/>
  <c r="Z42" s="1"/>
  <c r="Y40" i="5"/>
  <c r="Y41" i="6"/>
  <c r="Y42" s="1"/>
  <c r="X40" i="5"/>
  <c r="X41" i="6"/>
  <c r="X42" s="1"/>
  <c r="Q40" i="5"/>
  <c r="Q41" i="6"/>
  <c r="Q42" s="1"/>
  <c r="P40" i="5"/>
  <c r="P41" i="6"/>
  <c r="P42" s="1"/>
  <c r="O40" i="5"/>
  <c r="O41" i="6"/>
  <c r="O42" s="1"/>
  <c r="N40" i="5"/>
  <c r="N41" i="6"/>
  <c r="N42" s="1"/>
  <c r="M40" i="5"/>
  <c r="M41" i="6"/>
  <c r="M42" s="1"/>
  <c r="L40" i="5"/>
  <c r="L41" i="6"/>
  <c r="L42" s="1"/>
  <c r="K40" i="5"/>
  <c r="K41" i="6"/>
  <c r="K42" s="1"/>
  <c r="J40" i="5"/>
  <c r="J41" i="6"/>
  <c r="J42" s="1"/>
  <c r="Q14" i="5"/>
  <c r="Q14" i="6"/>
  <c r="R14" i="5"/>
  <c r="R14" i="6"/>
  <c r="P14" i="5"/>
  <c r="P14" i="6"/>
  <c r="E14" i="5"/>
  <c r="E14" i="6"/>
  <c r="D42"/>
  <c r="D41" i="5"/>
  <c r="E42" i="6"/>
  <c r="E41" i="5"/>
  <c r="AC41"/>
  <c r="Y41"/>
  <c r="X41"/>
  <c r="K41"/>
  <c r="J41"/>
  <c r="L41"/>
  <c r="M41"/>
  <c r="N41"/>
  <c r="O41"/>
  <c r="Z41"/>
  <c r="AA41"/>
  <c r="AB41"/>
  <c r="AG41"/>
  <c r="AF41"/>
  <c r="AE41"/>
  <c r="AD41"/>
  <c r="Q41"/>
  <c r="P41"/>
  <c r="S32" i="6"/>
  <c r="T32"/>
  <c r="U32"/>
  <c r="V32"/>
  <c r="W32"/>
  <c r="N32"/>
  <c r="O32"/>
  <c r="P32"/>
  <c r="Q32"/>
  <c r="R32"/>
  <c r="X32"/>
  <c r="Y32"/>
  <c r="Z32"/>
  <c r="AA32"/>
  <c r="AB32"/>
  <c r="AC32"/>
  <c r="AD32"/>
  <c r="AE32"/>
  <c r="AF32"/>
  <c r="AG32"/>
  <c r="I37" i="1"/>
  <c r="I40"/>
  <c r="J32" i="6"/>
  <c r="K32"/>
  <c r="L32"/>
  <c r="M32"/>
  <c r="R9" i="15" l="1"/>
  <c r="R40" i="1"/>
  <c r="I40" i="5"/>
  <c r="I41" s="1"/>
  <c r="I41" i="6"/>
  <c r="I42" s="1"/>
  <c r="M32" i="5"/>
  <c r="L32"/>
  <c r="K32"/>
  <c r="J32"/>
  <c r="I32" i="6"/>
  <c r="AG32" i="5"/>
  <c r="AF32"/>
  <c r="AE32"/>
  <c r="AD32"/>
  <c r="AC32"/>
  <c r="AB32"/>
  <c r="AA32"/>
  <c r="Z32"/>
  <c r="Y32"/>
  <c r="X32"/>
  <c r="R32"/>
  <c r="Q32"/>
  <c r="P32"/>
  <c r="O32"/>
  <c r="N32"/>
  <c r="W32"/>
  <c r="V32"/>
  <c r="U32"/>
  <c r="T32"/>
  <c r="S32"/>
  <c r="R40" l="1"/>
  <c r="R41" s="1"/>
  <c r="R41" i="6"/>
  <c r="R42" s="1"/>
  <c r="S9" i="15"/>
  <c r="S40" i="1"/>
  <c r="C50"/>
  <c r="I32" i="5"/>
  <c r="D23" i="1"/>
  <c r="S40" i="5" l="1"/>
  <c r="S41" s="1"/>
  <c r="S41" i="6"/>
  <c r="S42" s="1"/>
  <c r="T9" i="15"/>
  <c r="T40" i="1"/>
  <c r="C51"/>
  <c r="L13" i="14" s="1"/>
  <c r="D23" i="6"/>
  <c r="D23" i="5"/>
  <c r="D22"/>
  <c r="F29" i="4"/>
  <c r="E29"/>
  <c r="F11"/>
  <c r="B2" i="1"/>
  <c r="C2" i="4" s="1"/>
  <c r="B2" i="5" s="1"/>
  <c r="B2" i="6" s="1"/>
  <c r="F28" i="4"/>
  <c r="E28"/>
  <c r="T40" i="5" l="1"/>
  <c r="T41" s="1"/>
  <c r="T41" i="6"/>
  <c r="T42" s="1"/>
  <c r="U9" i="15"/>
  <c r="U40" i="1"/>
  <c r="C45"/>
  <c r="C44"/>
  <c r="E28" i="6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28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D11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E28" i="5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E8" i="6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17" i="5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8"/>
  <c r="D17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D1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E33" s="1"/>
  <c r="F8"/>
  <c r="F33" s="1"/>
  <c r="G8"/>
  <c r="G33" s="1"/>
  <c r="H8"/>
  <c r="H33" s="1"/>
  <c r="I8"/>
  <c r="I33" s="1"/>
  <c r="J8"/>
  <c r="J33" s="1"/>
  <c r="K8"/>
  <c r="K33" s="1"/>
  <c r="L8"/>
  <c r="L33" s="1"/>
  <c r="M8"/>
  <c r="M33" s="1"/>
  <c r="N8"/>
  <c r="N33" s="1"/>
  <c r="O8"/>
  <c r="O33" s="1"/>
  <c r="P8"/>
  <c r="Q8"/>
  <c r="Q33" s="1"/>
  <c r="R8"/>
  <c r="R33" s="1"/>
  <c r="S8"/>
  <c r="S33" s="1"/>
  <c r="T8"/>
  <c r="T33" s="1"/>
  <c r="U8"/>
  <c r="U33" s="1"/>
  <c r="V8"/>
  <c r="V33" s="1"/>
  <c r="W8"/>
  <c r="W33" s="1"/>
  <c r="X8"/>
  <c r="X33" s="1"/>
  <c r="Y8"/>
  <c r="Y33" s="1"/>
  <c r="Z8"/>
  <c r="Z33" s="1"/>
  <c r="AA8"/>
  <c r="AA33" s="1"/>
  <c r="AB8"/>
  <c r="AB33" s="1"/>
  <c r="AC8"/>
  <c r="AC33" s="1"/>
  <c r="AD8"/>
  <c r="AD33" s="1"/>
  <c r="AE8"/>
  <c r="AE33" s="1"/>
  <c r="AF8"/>
  <c r="AF33" s="1"/>
  <c r="AG8"/>
  <c r="AG33" s="1"/>
  <c r="D8"/>
  <c r="D33" s="1"/>
  <c r="U40" l="1"/>
  <c r="U41" s="1"/>
  <c r="U41" i="6"/>
  <c r="U42" s="1"/>
  <c r="V9" i="15"/>
  <c r="W40" i="1" s="1"/>
  <c r="V40"/>
  <c r="J10" i="14"/>
  <c r="C50" i="5"/>
  <c r="C57" i="1"/>
  <c r="G14" i="14" s="1"/>
  <c r="C47" i="5"/>
  <c r="C49" i="6"/>
  <c r="AG34"/>
  <c r="AG43" s="1"/>
  <c r="AF34"/>
  <c r="AF43" s="1"/>
  <c r="AE34"/>
  <c r="AD34"/>
  <c r="AD43" s="1"/>
  <c r="AC34"/>
  <c r="AC43" s="1"/>
  <c r="AB34"/>
  <c r="AB43" s="1"/>
  <c r="AA34"/>
  <c r="AA43" s="1"/>
  <c r="Z34"/>
  <c r="Z43" s="1"/>
  <c r="Y34"/>
  <c r="Y43" s="1"/>
  <c r="X34"/>
  <c r="X43" s="1"/>
  <c r="W34"/>
  <c r="V34"/>
  <c r="U34"/>
  <c r="T34"/>
  <c r="T43" s="1"/>
  <c r="S34"/>
  <c r="R34"/>
  <c r="R43" s="1"/>
  <c r="Q34"/>
  <c r="P34"/>
  <c r="P43" s="1"/>
  <c r="O34"/>
  <c r="O43" s="1"/>
  <c r="N34"/>
  <c r="N43" s="1"/>
  <c r="M34"/>
  <c r="M43" s="1"/>
  <c r="L34"/>
  <c r="L43" s="1"/>
  <c r="K34"/>
  <c r="K43" s="1"/>
  <c r="J34"/>
  <c r="J43" s="1"/>
  <c r="I34"/>
  <c r="I43" s="1"/>
  <c r="H34"/>
  <c r="H43" s="1"/>
  <c r="G34"/>
  <c r="G43" s="1"/>
  <c r="F34"/>
  <c r="E34"/>
  <c r="E43" s="1"/>
  <c r="D34"/>
  <c r="P33" i="5"/>
  <c r="C46" s="1"/>
  <c r="F43" i="6"/>
  <c r="Q43"/>
  <c r="S43"/>
  <c r="U43"/>
  <c r="AE43"/>
  <c r="C52" l="1"/>
  <c r="V40" i="5"/>
  <c r="V41" s="1"/>
  <c r="V41" i="6"/>
  <c r="V42" s="1"/>
  <c r="V43" s="1"/>
  <c r="C54" i="1"/>
  <c r="C58" s="1"/>
  <c r="G15" i="14" s="1"/>
  <c r="W40" i="5"/>
  <c r="W41" s="1"/>
  <c r="W41" i="6"/>
  <c r="W42" s="1"/>
  <c r="W43" s="1"/>
  <c r="C48"/>
  <c r="C50" s="1"/>
  <c r="J11" i="14"/>
  <c r="C48" i="5"/>
  <c r="D47"/>
  <c r="D49" i="6"/>
  <c r="AG42" i="5"/>
  <c r="AG46" i="1" s="1"/>
  <c r="AF42" i="5"/>
  <c r="AF46" i="1" s="1"/>
  <c r="AE42" i="5"/>
  <c r="AE46" i="1" s="1"/>
  <c r="AD42" i="5"/>
  <c r="AD46" i="1" s="1"/>
  <c r="AC42" i="5"/>
  <c r="AC46" i="1" s="1"/>
  <c r="AB42" i="5"/>
  <c r="AB46" i="1" s="1"/>
  <c r="AA42" i="5"/>
  <c r="AA46" i="1" s="1"/>
  <c r="Z42" i="5"/>
  <c r="Z46" i="1" s="1"/>
  <c r="Y42" i="5"/>
  <c r="Y46" i="1" s="1"/>
  <c r="X42" i="5"/>
  <c r="X46" i="1" s="1"/>
  <c r="W42" i="5"/>
  <c r="W46" i="1" s="1"/>
  <c r="V42" i="5"/>
  <c r="V46" i="1" s="1"/>
  <c r="U42" i="5"/>
  <c r="U46" i="1" s="1"/>
  <c r="T42" i="5"/>
  <c r="T46" i="1" s="1"/>
  <c r="S42" i="5"/>
  <c r="S46" i="1" s="1"/>
  <c r="R42" i="5"/>
  <c r="R46" i="1" s="1"/>
  <c r="Q42" i="5"/>
  <c r="Q46" i="1" s="1"/>
  <c r="P42" i="5"/>
  <c r="P46" i="1" s="1"/>
  <c r="O42" i="5"/>
  <c r="O46" i="1" s="1"/>
  <c r="N42" i="5"/>
  <c r="N46" i="1" s="1"/>
  <c r="M42" i="5"/>
  <c r="M46" i="1" s="1"/>
  <c r="L42" i="5"/>
  <c r="L46" i="1" s="1"/>
  <c r="K42" i="5"/>
  <c r="K46" i="1" s="1"/>
  <c r="J42" i="5"/>
  <c r="J46" i="1" s="1"/>
  <c r="D43" i="6"/>
  <c r="D42" i="5"/>
  <c r="E42"/>
  <c r="E46" i="1" s="1"/>
  <c r="F42" i="5"/>
  <c r="F46" i="1" s="1"/>
  <c r="G42" i="5"/>
  <c r="G46" i="1" s="1"/>
  <c r="H42" i="5"/>
  <c r="H46" i="1" s="1"/>
  <c r="I42" i="5"/>
  <c r="I46" i="1" s="1"/>
  <c r="C45" i="6" l="1"/>
  <c r="G8" i="14" s="1"/>
  <c r="H8" s="1"/>
  <c r="D48" i="5"/>
  <c r="J7" i="14"/>
  <c r="D50" i="6"/>
  <c r="J8" i="14"/>
  <c r="C48" i="1"/>
  <c r="D46"/>
  <c r="C47" s="1"/>
  <c r="C44" i="5"/>
  <c r="C45"/>
  <c r="G7" i="14"/>
  <c r="C46" i="6" l="1"/>
  <c r="C49" i="1"/>
  <c r="H7" i="14"/>
</calcChain>
</file>

<file path=xl/comments1.xml><?xml version="1.0" encoding="utf-8"?>
<comments xmlns="http://schemas.openxmlformats.org/spreadsheetml/2006/main">
  <authors>
    <author>msofiyuddin</author>
  </authors>
  <commentList>
    <comment ref="F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</commentList>
</comments>
</file>

<file path=xl/comments2.xml><?xml version="1.0" encoding="utf-8"?>
<comments xmlns="http://schemas.openxmlformats.org/spreadsheetml/2006/main">
  <authors>
    <author>msofiyuddin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4 lt /ha x 2 kali setahun
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mulai penyisipan unutk mengganti tanaman tua, asumsi 30-40 % dari total
</t>
        </r>
      </text>
    </comment>
    <comment ref="T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50 ph/hr/org
</t>
        </r>
      </text>
    </comment>
  </commentList>
</comments>
</file>

<file path=xl/sharedStrings.xml><?xml version="1.0" encoding="utf-8"?>
<sst xmlns="http://schemas.openxmlformats.org/spreadsheetml/2006/main" count="474" uniqueCount="207">
  <si>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</si>
  <si>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</si>
  <si>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</si>
  <si>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</si>
  <si>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</si>
  <si>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</si>
  <si>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</si>
  <si>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</si>
  <si>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</si>
  <si>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</si>
  <si>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</si>
  <si>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</si>
  <si>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</si>
  <si>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</si>
  <si>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</si>
  <si>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</si>
  <si>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</si>
  <si>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</si>
  <si>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</si>
  <si>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</si>
  <si>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</si>
  <si>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</si>
  <si>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</si>
  <si>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</si>
  <si>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</si>
  <si>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</si>
  <si>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</si>
  <si>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</si>
  <si>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</si>
  <si>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</si>
  <si>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</si>
  <si>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</si>
  <si>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</si>
  <si>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</si>
  <si>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</si>
  <si>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</si>
  <si>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</si>
  <si>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</si>
  <si>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</si>
  <si>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</si>
  <si>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</si>
  <si>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</si>
  <si>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</si>
  <si>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</si>
  <si>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</si>
  <si>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</si>
  <si>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</si>
  <si>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</si>
  <si>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</si>
  <si>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</si>
  <si>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</si>
  <si>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</si>
  <si>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</si>
  <si>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</si>
  <si>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</si>
  <si>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</si>
  <si>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</si>
  <si>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</si>
  <si>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</si>
  <si>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</si>
  <si>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</si>
  <si>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</si>
  <si>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</si>
  <si>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</si>
  <si>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</si>
  <si>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</si>
  <si>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</si>
  <si>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</si>
  <si>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</si>
  <si>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</si>
  <si>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</si>
  <si>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</si>
  <si>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</si>
  <si>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</si>
  <si>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</si>
  <si>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</si>
  <si>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</si>
  <si>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</si>
  <si>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</si>
  <si>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</si>
  <si>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Rp/btng</t>
  </si>
  <si>
    <t>Penyiangan</t>
  </si>
  <si>
    <t>Penyemprotan</t>
  </si>
  <si>
    <t>Kelapa</t>
  </si>
  <si>
    <t>Butir</t>
  </si>
  <si>
    <t>bakar</t>
  </si>
  <si>
    <t>tebas</t>
  </si>
  <si>
    <t>Pemanenan</t>
  </si>
  <si>
    <t>Transport ke langkau</t>
  </si>
  <si>
    <t xml:space="preserve">Penanaman </t>
  </si>
  <si>
    <t>Paska panen</t>
  </si>
  <si>
    <t>Pendapatan</t>
  </si>
  <si>
    <t>kg</t>
  </si>
  <si>
    <t>liter</t>
  </si>
  <si>
    <t>USD/ha</t>
  </si>
  <si>
    <t>IDR/ha</t>
  </si>
  <si>
    <t>3 x 3</t>
  </si>
  <si>
    <t>5 x 5</t>
  </si>
  <si>
    <t>2 x 2</t>
  </si>
  <si>
    <t>9 x 8</t>
  </si>
  <si>
    <t>9 x 9</t>
  </si>
  <si>
    <t>Pinang Agroforest</t>
  </si>
  <si>
    <t>Pinang</t>
  </si>
  <si>
    <t>Jmlh ph pinang</t>
  </si>
  <si>
    <t>0.5</t>
  </si>
  <si>
    <t>COCONUT YIELD SCENARIO</t>
  </si>
  <si>
    <t>YEAR</t>
  </si>
  <si>
    <t>WARINTEK</t>
  </si>
  <si>
    <t>FARMER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</si>
  <si>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</si>
  <si>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</si>
  <si>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</si>
  <si>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</si>
  <si>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Seedlings: spacing 9 x 9 m2 = 125 trees/ha</t>
  </si>
  <si>
    <t>7-10 year prod</t>
  </si>
  <si>
    <t>&gt; 10 year prod</t>
  </si>
  <si>
    <t>Perkiraan Produksi Warintek</t>
  </si>
  <si>
    <t>Kopra (kg/ha/year)</t>
  </si>
  <si>
    <t>Kelapa (butir/ha/year)</t>
  </si>
  <si>
    <t>butir/tree/year</t>
  </si>
  <si>
    <t>Jmlh ph/ha</t>
  </si>
  <si>
    <t>Jarak tanam</t>
  </si>
  <si>
    <t>Harvesting year 7-10 = 4 piece/tree/harvest</t>
  </si>
  <si>
    <t>Harvesting year &gt;10 = 15 piece/tree/harvest</t>
  </si>
  <si>
    <t>Tungkal Farmer Scenario harvesting periode every 3-4 month</t>
  </si>
  <si>
    <t>-</t>
  </si>
  <si>
    <t>Kopra</t>
  </si>
  <si>
    <t>hasil per tahun</t>
  </si>
  <si>
    <t>Kelapa (btr)</t>
  </si>
  <si>
    <t>Kopra (kg)</t>
  </si>
  <si>
    <t>Pinang (kg)</t>
  </si>
  <si>
    <t>Penanaman pinang</t>
  </si>
  <si>
    <t xml:space="preserve">Pemeliharaan </t>
  </si>
  <si>
    <t>x</t>
  </si>
  <si>
    <t>o</t>
  </si>
  <si>
    <t>Skema penanaman</t>
  </si>
  <si>
    <t>o = Pinang</t>
  </si>
  <si>
    <t>i</t>
  </si>
  <si>
    <t>kopi</t>
  </si>
  <si>
    <t>x = kopi</t>
  </si>
  <si>
    <t>I = pinang</t>
  </si>
  <si>
    <t>Kopi</t>
  </si>
  <si>
    <t>12 ph x 82 ph</t>
  </si>
  <si>
    <t xml:space="preserve">5 ph x 25 ph </t>
  </si>
  <si>
    <t>kelapa</t>
  </si>
  <si>
    <t>8 ph x 120 ph</t>
  </si>
  <si>
    <t>pinang</t>
  </si>
  <si>
    <t>10 ph x 80 ph</t>
  </si>
  <si>
    <t>5 ph x 25 ph</t>
  </si>
  <si>
    <t>4 ph x 120 ph</t>
  </si>
  <si>
    <t>Pemeliharaan</t>
  </si>
  <si>
    <t>Tahun mulai produksi = 7 th</t>
  </si>
  <si>
    <t>Harvesting year &gt;15 = 20 piece/tree/harvest</t>
  </si>
  <si>
    <t>Harvesting year &gt;20 = 15 piece/tree/harvest</t>
  </si>
  <si>
    <t>&gt; 15 year prod</t>
  </si>
  <si>
    <t>x = Kelapa (9 x 9 )</t>
  </si>
  <si>
    <t>o = Pinang (3 x 3 )</t>
  </si>
  <si>
    <t>x = kopi ( 3 x 3 )</t>
  </si>
  <si>
    <t>o = Pinang (2.5 x 2.5 )</t>
  </si>
  <si>
    <t xml:space="preserve">Kopra </t>
  </si>
  <si>
    <t>Pancang</t>
  </si>
  <si>
    <t>labor subtotal</t>
  </si>
  <si>
    <t xml:space="preserve">Penanaman pinang 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</si>
  <si>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</si>
  <si>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</si>
  <si>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</si>
  <si>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</si>
  <si>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</si>
  <si>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&gt; 10</t>
  </si>
  <si>
    <t>IRR</t>
  </si>
  <si>
    <t>NPK</t>
  </si>
  <si>
    <t>&gt; 20 year prod</t>
  </si>
  <si>
    <t>Skenario Prod Pinang (field data)</t>
  </si>
  <si>
    <t>tebas+tumbang</t>
  </si>
  <si>
    <t>4 x 4</t>
  </si>
  <si>
    <t>1 kg kopra dihasilkan dari 3-5 butir kelapa</t>
  </si>
  <si>
    <t>Return to Labour</t>
  </si>
  <si>
    <t xml:space="preserve">Harga Komoditas </t>
  </si>
  <si>
    <t>Rp/Kg</t>
  </si>
  <si>
    <t>MRp/ton</t>
  </si>
  <si>
    <t>Non Labor Cost (MRp/ha)</t>
  </si>
  <si>
    <t>Establishment cost (1st year only, MRp/ha)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</si>
  <si>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</si>
  <si>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</si>
  <si>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</si>
  <si>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Total Cost</t>
  </si>
  <si>
    <t>Labor cost</t>
  </si>
  <si>
    <t>Non labor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</si>
  <si>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</si>
  <si>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</si>
  <si>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</si>
  <si>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</si>
  <si>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</si>
  <si>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</si>
  <si>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</si>
  <si>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</si>
  <si>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NPV establisment cost</t>
  </si>
  <si>
    <t>Avg</t>
  </si>
  <si>
    <t>Average operation labor</t>
  </si>
  <si>
    <t>per ha</t>
  </si>
  <si>
    <t xml:space="preserve"> 6 - 7</t>
  </si>
  <si>
    <t>8 - 10</t>
  </si>
  <si>
    <t xml:space="preserve">Transport </t>
  </si>
  <si>
    <t>0.2</t>
  </si>
  <si>
    <t>Transport</t>
  </si>
  <si>
    <t>Pinang, traditional management, homegarden</t>
  </si>
  <si>
    <t>Sentani, Papua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</si>
</sst>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_);_(* \(#,##0\);_(* &quot;-&quot;?_);_(@_)"/>
    <numFmt numFmtId="167" formatCode="0.0"/>
    <numFmt numFmtId="168" formatCode="0.000"/>
    <numFmt numFmtId="169" formatCode="_(* #,##0.000_);_(* \(#,##0.000\);_(* &quot;-&quot;??_);_(@_)"/>
  </numFmts>
  <fonts count="2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2" fillId="0" borderId="0" xfId="0" applyFont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166" fontId="12" fillId="0" borderId="0" xfId="0" applyNumberFormat="1" applyFont="1"/>
    <xf numFmtId="164" fontId="12" fillId="0" borderId="0" xfId="5" applyNumberFormat="1" applyFont="1" applyBorder="1" applyAlignment="1">
      <alignment vertical="top" wrapText="1"/>
    </xf>
    <xf numFmtId="164" fontId="12" fillId="0" borderId="0" xfId="5" applyNumberFormat="1" applyFont="1"/>
    <xf numFmtId="164" fontId="12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12" fillId="0" borderId="1" xfId="0" applyNumberFormat="1" applyFont="1" applyBorder="1"/>
    <xf numFmtId="164" fontId="12" fillId="0" borderId="1" xfId="5" applyNumberFormat="1" applyFont="1" applyBorder="1" applyAlignment="1">
      <alignment vertical="top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/>
    <xf numFmtId="16" fontId="12" fillId="0" borderId="1" xfId="0" applyNumberFormat="1" applyFont="1" applyBorder="1"/>
    <xf numFmtId="1" fontId="12" fillId="0" borderId="0" xfId="0" applyNumberFormat="1" applyFont="1" applyAlignment="1">
      <alignment horizontal="left"/>
    </xf>
    <xf numFmtId="1" fontId="12" fillId="0" borderId="1" xfId="0" applyNumberFormat="1" applyFont="1" applyBorder="1"/>
    <xf numFmtId="164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7" fillId="0" borderId="1" xfId="0" applyFont="1" applyBorder="1"/>
    <xf numFmtId="167" fontId="12" fillId="0" borderId="0" xfId="0" applyNumberFormat="1" applyFont="1"/>
    <xf numFmtId="49" fontId="12" fillId="0" borderId="0" xfId="0" applyNumberFormat="1" applyFont="1" applyFill="1" applyBorder="1"/>
    <xf numFmtId="49" fontId="18" fillId="0" borderId="0" xfId="0" applyNumberFormat="1" applyFont="1" applyFill="1" applyBorder="1"/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0" fontId="5" fillId="0" borderId="1" xfId="0" applyFont="1" applyBorder="1" applyAlignment="1" applyProtection="1">
      <alignment horizontal="left" vertical="center"/>
    </xf>
    <xf numFmtId="0" fontId="12" fillId="0" borderId="1" xfId="0" applyFont="1" applyFill="1" applyBorder="1"/>
    <xf numFmtId="0" fontId="4" fillId="7" borderId="0" xfId="2" applyFont="1" applyFill="1" applyAlignment="1">
      <alignment horizontal="left" indent="1"/>
    </xf>
    <xf numFmtId="164" fontId="4" fillId="7" borderId="0" xfId="5" applyNumberFormat="1" applyFont="1" applyFill="1" applyAlignment="1">
      <alignment horizontal="center"/>
    </xf>
    <xf numFmtId="0" fontId="5" fillId="8" borderId="4" xfId="2" applyFont="1" applyFill="1" applyBorder="1" applyAlignment="1">
      <alignment horizontal="center"/>
    </xf>
    <xf numFmtId="0" fontId="4" fillId="9" borderId="0" xfId="2" applyFont="1" applyFill="1"/>
    <xf numFmtId="0" fontId="6" fillId="9" borderId="0" xfId="2" applyFont="1" applyFill="1"/>
    <xf numFmtId="49" fontId="4" fillId="9" borderId="0" xfId="2" applyNumberFormat="1" applyFont="1" applyFill="1" applyAlignment="1">
      <alignment horizontal="right"/>
    </xf>
    <xf numFmtId="0" fontId="12" fillId="4" borderId="0" xfId="2" applyFont="1" applyFill="1" applyAlignment="1">
      <alignment horizontal="left" indent="1"/>
    </xf>
    <xf numFmtId="0" fontId="12" fillId="4" borderId="0" xfId="2" applyFont="1" applyFill="1"/>
    <xf numFmtId="3" fontId="12" fillId="4" borderId="0" xfId="2" applyNumberFormat="1" applyFont="1" applyFill="1"/>
    <xf numFmtId="0" fontId="12" fillId="7" borderId="0" xfId="2" applyFont="1" applyFill="1" applyAlignment="1">
      <alignment horizontal="left" indent="1"/>
    </xf>
    <xf numFmtId="164" fontId="12" fillId="7" borderId="0" xfId="5" applyNumberFormat="1" applyFont="1" applyFill="1" applyAlignment="1">
      <alignment horizontal="center"/>
    </xf>
    <xf numFmtId="3" fontId="12" fillId="7" borderId="0" xfId="2" applyNumberFormat="1" applyFont="1" applyFill="1"/>
    <xf numFmtId="0" fontId="12" fillId="7" borderId="0" xfId="2" applyFont="1" applyFill="1" applyAlignment="1">
      <alignment horizontal="center"/>
    </xf>
    <xf numFmtId="0" fontId="12" fillId="8" borderId="0" xfId="2" applyFont="1" applyFill="1"/>
    <xf numFmtId="0" fontId="12" fillId="7" borderId="0" xfId="2" applyFont="1" applyFill="1"/>
    <xf numFmtId="9" fontId="12" fillId="7" borderId="0" xfId="1" applyFont="1" applyFill="1"/>
    <xf numFmtId="164" fontId="12" fillId="7" borderId="0" xfId="5" applyNumberFormat="1" applyFont="1" applyFill="1"/>
    <xf numFmtId="0" fontId="12" fillId="4" borderId="0" xfId="2" applyFont="1" applyFill="1" applyAlignment="1">
      <alignment horizontal="center"/>
    </xf>
    <xf numFmtId="0" fontId="5" fillId="7" borderId="0" xfId="2" applyFont="1" applyFill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4" fillId="8" borderId="0" xfId="2" applyFont="1" applyFill="1"/>
    <xf numFmtId="0" fontId="4" fillId="8" borderId="0" xfId="2" applyFont="1" applyFill="1" applyAlignment="1">
      <alignment horizontal="center"/>
    </xf>
    <xf numFmtId="38" fontId="12" fillId="7" borderId="0" xfId="2" applyNumberFormat="1" applyFont="1" applyFill="1" applyAlignment="1">
      <alignment horizontal="right"/>
    </xf>
    <xf numFmtId="0" fontId="19" fillId="4" borderId="0" xfId="2" applyFont="1" applyFill="1"/>
    <xf numFmtId="0" fontId="13" fillId="8" borderId="0" xfId="2" applyFont="1" applyFill="1" applyAlignment="1">
      <alignment horizontal="center"/>
    </xf>
    <xf numFmtId="0" fontId="13" fillId="4" borderId="0" xfId="2" applyFont="1" applyFill="1"/>
    <xf numFmtId="0" fontId="5" fillId="8" borderId="15" xfId="2" applyFont="1" applyFill="1" applyBorder="1" applyAlignment="1">
      <alignment horizontal="center"/>
    </xf>
    <xf numFmtId="0" fontId="5" fillId="8" borderId="16" xfId="2" applyFont="1" applyFill="1" applyBorder="1" applyAlignment="1">
      <alignment horizontal="center"/>
    </xf>
    <xf numFmtId="0" fontId="5" fillId="8" borderId="17" xfId="2" applyFont="1" applyFill="1" applyBorder="1" applyAlignment="1">
      <alignment horizontal="center"/>
    </xf>
    <xf numFmtId="0" fontId="12" fillId="7" borderId="18" xfId="2" applyFont="1" applyFill="1" applyBorder="1" applyAlignment="1">
      <alignment horizontal="left" indent="1"/>
    </xf>
    <xf numFmtId="38" fontId="12" fillId="7" borderId="0" xfId="2" applyNumberFormat="1" applyFont="1" applyFill="1" applyBorder="1" applyAlignment="1">
      <alignment horizontal="right"/>
    </xf>
    <xf numFmtId="164" fontId="12" fillId="7" borderId="19" xfId="5" applyNumberFormat="1" applyFont="1" applyFill="1" applyBorder="1" applyAlignment="1">
      <alignment horizontal="center"/>
    </xf>
    <xf numFmtId="0" fontId="5" fillId="8" borderId="20" xfId="2" applyFont="1" applyFill="1" applyBorder="1" applyAlignment="1">
      <alignment horizontal="center"/>
    </xf>
    <xf numFmtId="0" fontId="4" fillId="8" borderId="21" xfId="2" applyFont="1" applyFill="1" applyBorder="1" applyAlignment="1">
      <alignment horizontal="center"/>
    </xf>
    <xf numFmtId="0" fontId="12" fillId="7" borderId="22" xfId="2" applyFont="1" applyFill="1" applyBorder="1" applyAlignment="1">
      <alignment horizontal="left" indent="1"/>
    </xf>
    <xf numFmtId="3" fontId="12" fillId="7" borderId="23" xfId="2" applyNumberFormat="1" applyFont="1" applyFill="1" applyBorder="1"/>
    <xf numFmtId="0" fontId="4" fillId="7" borderId="0" xfId="0" applyFont="1" applyFill="1"/>
    <xf numFmtId="0" fontId="4" fillId="7" borderId="0" xfId="0" applyFont="1" applyFill="1" applyAlignment="1">
      <alignment horizontal="left" indent="1"/>
    </xf>
    <xf numFmtId="9" fontId="4" fillId="7" borderId="0" xfId="1" applyFont="1" applyFill="1"/>
    <xf numFmtId="164" fontId="4" fillId="7" borderId="0" xfId="0" applyNumberFormat="1" applyFont="1" applyFill="1" applyAlignment="1">
      <alignment horizontal="center"/>
    </xf>
    <xf numFmtId="38" fontId="4" fillId="7" borderId="0" xfId="0" applyNumberFormat="1" applyFont="1" applyFill="1"/>
    <xf numFmtId="9" fontId="4" fillId="7" borderId="0" xfId="0" applyNumberFormat="1" applyFont="1" applyFill="1" applyAlignment="1">
      <alignment horizontal="center"/>
    </xf>
    <xf numFmtId="3" fontId="4" fillId="7" borderId="0" xfId="0" applyNumberFormat="1" applyFont="1" applyFill="1"/>
    <xf numFmtId="0" fontId="5" fillId="7" borderId="0" xfId="0" applyFont="1" applyFill="1"/>
    <xf numFmtId="0" fontId="4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right"/>
    </xf>
    <xf numFmtId="38" fontId="4" fillId="7" borderId="0" xfId="0" applyNumberFormat="1" applyFont="1" applyFill="1" applyAlignment="1">
      <alignment horizontal="right"/>
    </xf>
    <xf numFmtId="164" fontId="4" fillId="7" borderId="0" xfId="5" applyNumberFormat="1" applyFont="1" applyFill="1" applyAlignment="1">
      <alignment horizontal="right"/>
    </xf>
    <xf numFmtId="3" fontId="4" fillId="7" borderId="0" xfId="0" applyNumberFormat="1" applyFont="1" applyFill="1" applyAlignment="1">
      <alignment horizontal="center"/>
    </xf>
    <xf numFmtId="165" fontId="4" fillId="7" borderId="0" xfId="0" applyNumberFormat="1" applyFont="1" applyFill="1" applyAlignment="1">
      <alignment horizontal="left"/>
    </xf>
    <xf numFmtId="0" fontId="4" fillId="7" borderId="0" xfId="2" applyFont="1" applyFill="1"/>
    <xf numFmtId="168" fontId="4" fillId="7" borderId="0" xfId="0" applyNumberFormat="1" applyFont="1" applyFill="1"/>
    <xf numFmtId="169" fontId="12" fillId="7" borderId="0" xfId="5" applyNumberFormat="1" applyFont="1" applyFill="1"/>
    <xf numFmtId="2" fontId="12" fillId="7" borderId="0" xfId="2" applyNumberFormat="1" applyFont="1" applyFill="1" applyAlignment="1">
      <alignment horizontal="center"/>
    </xf>
    <xf numFmtId="3" fontId="4" fillId="4" borderId="0" xfId="2" applyNumberFormat="1" applyFont="1" applyFill="1" applyAlignment="1">
      <alignment horizontal="left"/>
    </xf>
    <xf numFmtId="2" fontId="12" fillId="7" borderId="19" xfId="2" applyNumberFormat="1" applyFont="1" applyFill="1" applyBorder="1" applyAlignment="1">
      <alignment horizontal="right"/>
    </xf>
    <xf numFmtId="2" fontId="12" fillId="7" borderId="24" xfId="2" applyNumberFormat="1" applyFont="1" applyFill="1" applyBorder="1" applyAlignment="1">
      <alignment horizontal="right"/>
    </xf>
    <xf numFmtId="0" fontId="5" fillId="7" borderId="0" xfId="2" applyFont="1" applyFill="1" applyAlignment="1">
      <alignment horizontal="left"/>
    </xf>
    <xf numFmtId="164" fontId="2" fillId="0" borderId="0" xfId="0" applyNumberFormat="1" applyFont="1"/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4" borderId="12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Berau%20Project\PAM_LUS_Berau\PAM%20Coconut_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/>
      <sheetData sheetId="1"/>
      <sheetData sheetId="2">
        <row r="21">
          <cell r="E21">
            <v>0</v>
          </cell>
        </row>
        <row r="29">
          <cell r="F29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0"/>
  <sheetViews>
    <sheetView tabSelected="1" workbookViewId="0">
      <pane ySplit="16" topLeftCell="A17" activePane="bottomLeft" state="frozen"/>
      <selection pane="bottomLeft" activeCell="H17" sqref="H17"/>
    </sheetView>
  </sheetViews>
  <sheetFormatPr defaultRowHeight="15"/>
  <cols>
    <col min="1" max="1" width="4.42578125" style="1" customWidth="1"/>
    <col min="2" max="2" width="17.5703125" style="1" customWidth="1"/>
    <col min="3" max="3" width="8.85546875" style="1" customWidth="1"/>
    <col min="4" max="4" width="10.7109375" style="1" customWidth="1"/>
    <col min="5" max="5" width="5.7109375" style="1" customWidth="1"/>
    <col min="6" max="6" width="16.140625" style="1" customWidth="1"/>
    <col min="7" max="7" width="15.140625" style="1" customWidth="1"/>
    <col min="8" max="8" width="14" style="60" customWidth="1"/>
    <col min="9" max="9" width="5.5703125" style="60" customWidth="1"/>
    <col min="10" max="11" width="12.28515625" style="1" customWidth="1"/>
    <col min="12" max="12" width="13.7109375" style="1" customWidth="1"/>
    <col min="13" max="256" width="12.28515625" style="1" customWidth="1"/>
    <col min="257" max="16384" width="9.140625" style="1"/>
  </cols>
  <sheetData>
    <row r="1" spans="1:12" s="62" customFormat="1" ht="18.75">
      <c r="A1" s="150"/>
      <c r="B1" s="151" t="s">
        <v>101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</row>
    <row r="2" spans="1:12" s="62" customFormat="1">
      <c r="A2" s="150"/>
      <c r="B2" s="150" t="s">
        <v>16</v>
      </c>
      <c r="C2" s="150" t="s">
        <v>205</v>
      </c>
      <c r="D2" s="150"/>
      <c r="E2" s="150"/>
      <c r="F2" s="150"/>
      <c r="G2" s="150"/>
      <c r="H2" s="150"/>
      <c r="I2" s="150"/>
      <c r="J2" s="150"/>
      <c r="K2" s="150"/>
      <c r="L2" s="150"/>
    </row>
    <row r="3" spans="1:12" s="62" customFormat="1">
      <c r="A3" s="150"/>
      <c r="B3" s="150" t="s">
        <v>17</v>
      </c>
      <c r="C3" s="150" t="s">
        <v>206</v>
      </c>
      <c r="D3" s="150"/>
      <c r="E3" s="150"/>
      <c r="F3" s="150"/>
      <c r="G3" s="150"/>
      <c r="H3" s="150"/>
      <c r="I3" s="150"/>
      <c r="J3" s="150"/>
      <c r="K3" s="150"/>
      <c r="L3" s="150"/>
    </row>
    <row r="4" spans="1:12" s="62" customFormat="1">
      <c r="A4" s="150"/>
      <c r="B4" s="150"/>
      <c r="C4" s="152"/>
      <c r="D4" s="150"/>
      <c r="E4" s="150"/>
      <c r="F4" s="150"/>
      <c r="G4" s="150"/>
      <c r="H4" s="150"/>
      <c r="I4" s="150"/>
      <c r="J4" s="150"/>
      <c r="K4" s="150"/>
      <c r="L4" s="150"/>
    </row>
    <row r="5" spans="1:12" s="62" customFormat="1">
      <c r="B5" s="65" t="s">
        <v>12</v>
      </c>
      <c r="F5" s="65" t="s">
        <v>74</v>
      </c>
      <c r="G5" s="63"/>
      <c r="H5" s="64"/>
    </row>
    <row r="6" spans="1:12" s="62" customFormat="1">
      <c r="B6" s="156" t="s">
        <v>13</v>
      </c>
      <c r="C6" s="161" t="s">
        <v>15</v>
      </c>
      <c r="D6" s="162">
        <v>7.8E-2</v>
      </c>
      <c r="F6" s="174" t="s">
        <v>28</v>
      </c>
      <c r="G6" s="175" t="s">
        <v>95</v>
      </c>
      <c r="H6" s="176" t="s">
        <v>94</v>
      </c>
      <c r="J6" s="166" t="s">
        <v>180</v>
      </c>
      <c r="K6" s="168"/>
      <c r="L6" s="169"/>
    </row>
    <row r="7" spans="1:12" s="62" customFormat="1">
      <c r="B7" s="156" t="s">
        <v>6</v>
      </c>
      <c r="C7" s="161" t="s">
        <v>15</v>
      </c>
      <c r="D7" s="162">
        <f>D6-5%</f>
        <v>2.7999999999999997E-2</v>
      </c>
      <c r="F7" s="177" t="s">
        <v>13</v>
      </c>
      <c r="G7" s="178">
        <f>'Budget Privat'!C44</f>
        <v>31477740.382822245</v>
      </c>
      <c r="H7" s="179">
        <f>G7/D8</f>
        <v>3465.1849826972971</v>
      </c>
      <c r="J7" s="201">
        <f>'Budget Privat'!C48/1000000</f>
        <v>11.9</v>
      </c>
      <c r="K7" s="158"/>
      <c r="L7" s="148"/>
    </row>
    <row r="8" spans="1:12" s="62" customFormat="1">
      <c r="B8" s="65" t="s">
        <v>11</v>
      </c>
      <c r="C8" s="173" t="s">
        <v>14</v>
      </c>
      <c r="D8" s="155">
        <v>9084</v>
      </c>
      <c r="F8" s="177" t="s">
        <v>73</v>
      </c>
      <c r="G8" s="178">
        <f>'Budget Sosial'!C45</f>
        <v>76969645.890041485</v>
      </c>
      <c r="H8" s="179">
        <f>G8/D8</f>
        <v>8473.1006043638808</v>
      </c>
      <c r="J8" s="201">
        <f>'Budget Sosial'!C50/1000000</f>
        <v>11.9</v>
      </c>
      <c r="K8" s="158"/>
      <c r="L8" s="148"/>
    </row>
    <row r="9" spans="1:12" s="62" customFormat="1">
      <c r="B9" s="166" t="s">
        <v>10</v>
      </c>
      <c r="C9" s="160"/>
      <c r="D9" s="172" t="s">
        <v>19</v>
      </c>
      <c r="F9" s="180" t="s">
        <v>176</v>
      </c>
      <c r="G9" s="149" t="s">
        <v>95</v>
      </c>
      <c r="H9" s="181"/>
      <c r="J9" s="166" t="s">
        <v>181</v>
      </c>
      <c r="K9" s="168"/>
      <c r="L9" s="168"/>
    </row>
    <row r="10" spans="1:12" s="62" customFormat="1">
      <c r="B10" s="156" t="s">
        <v>13</v>
      </c>
      <c r="C10" s="161"/>
      <c r="D10" s="158">
        <v>75000</v>
      </c>
      <c r="F10" s="177" t="s">
        <v>13</v>
      </c>
      <c r="G10" s="158">
        <v>130930</v>
      </c>
      <c r="H10" s="203">
        <f>G10/nilai_tukar</f>
        <v>14.413254073095553</v>
      </c>
      <c r="J10" s="159">
        <f>'Budget Privat'!D33/1000000</f>
        <v>11.425000000000001</v>
      </c>
      <c r="K10" s="170"/>
      <c r="L10" s="157"/>
    </row>
    <row r="11" spans="1:12" s="62" customFormat="1">
      <c r="B11" s="156" t="s">
        <v>6</v>
      </c>
      <c r="C11" s="161"/>
      <c r="D11" s="158">
        <v>75000</v>
      </c>
      <c r="F11" s="182" t="s">
        <v>73</v>
      </c>
      <c r="G11" s="183">
        <v>152991</v>
      </c>
      <c r="H11" s="204">
        <f>G11/nilai_tukar</f>
        <v>16.841809775429326</v>
      </c>
      <c r="J11" s="159">
        <f>'Budget Sosial'!D34/1000000</f>
        <v>11.425000000000001</v>
      </c>
      <c r="K11" s="170"/>
      <c r="L11" s="157"/>
    </row>
    <row r="12" spans="1:12" s="62" customFormat="1">
      <c r="B12" s="153"/>
      <c r="C12" s="154"/>
      <c r="D12" s="155"/>
      <c r="F12" s="153"/>
      <c r="G12" s="155"/>
      <c r="H12" s="164"/>
    </row>
    <row r="13" spans="1:12" s="62" customFormat="1">
      <c r="B13" s="166" t="s">
        <v>177</v>
      </c>
      <c r="C13" s="167" t="s">
        <v>178</v>
      </c>
      <c r="D13" s="167" t="s">
        <v>179</v>
      </c>
      <c r="F13" s="168" t="s">
        <v>182</v>
      </c>
      <c r="G13" s="168"/>
      <c r="H13" s="169"/>
      <c r="I13" s="64"/>
      <c r="J13" s="65" t="s">
        <v>183</v>
      </c>
      <c r="L13" s="202">
        <f>'Tabel I-O'!C51</f>
        <v>85</v>
      </c>
    </row>
    <row r="14" spans="1:12" s="62" customFormat="1">
      <c r="B14" s="156" t="s">
        <v>102</v>
      </c>
      <c r="C14" s="163">
        <v>3500</v>
      </c>
      <c r="D14" s="161">
        <f>(C14/1000000)*1000</f>
        <v>3.5</v>
      </c>
      <c r="F14" s="156" t="s">
        <v>102</v>
      </c>
      <c r="G14" s="200">
        <f>'Tabel I-O'!C57</f>
        <v>4.7058823529411764E-2</v>
      </c>
      <c r="H14" s="161"/>
      <c r="I14" s="64"/>
      <c r="J14" s="171" t="s">
        <v>184</v>
      </c>
    </row>
    <row r="15" spans="1:12" s="62" customFormat="1">
      <c r="B15" s="156" t="s">
        <v>83</v>
      </c>
      <c r="C15" s="163">
        <v>4000</v>
      </c>
      <c r="D15" s="161">
        <f>(C15/1000000)*1000</f>
        <v>4</v>
      </c>
      <c r="F15" s="156" t="s">
        <v>83</v>
      </c>
      <c r="G15" s="200">
        <f>'Tabel I-O'!C58</f>
        <v>0</v>
      </c>
      <c r="H15" s="161"/>
      <c r="I15" s="64"/>
    </row>
    <row r="16" spans="1:12" s="62" customFormat="1">
      <c r="H16" s="64"/>
      <c r="I16" s="64"/>
    </row>
    <row r="18" spans="2:2">
      <c r="B18" s="2" t="s">
        <v>75</v>
      </c>
    </row>
    <row r="19" spans="2:2">
      <c r="B19" s="1" t="s">
        <v>76</v>
      </c>
    </row>
    <row r="20" spans="2:2">
      <c r="B20" s="89">
        <v>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1:F44"/>
  <sheetViews>
    <sheetView topLeftCell="B1" zoomScale="85" zoomScaleNormal="85" workbookViewId="0">
      <pane xSplit="2" ySplit="5" topLeftCell="D18" activePane="bottomRight" state="frozen"/>
      <selection activeCell="B1" sqref="B1"/>
      <selection pane="topRight" activeCell="D1" sqref="D1"/>
      <selection pane="bottomLeft" activeCell="B6" sqref="B6"/>
      <selection pane="bottomRight" activeCell="F15" sqref="F15"/>
    </sheetView>
  </sheetViews>
  <sheetFormatPr defaultRowHeight="15"/>
  <cols>
    <col min="1" max="2" width="9.140625" style="3"/>
    <col min="3" max="3" width="28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69" customFormat="1" ht="18.75">
      <c r="C1" s="66" t="s">
        <v>20</v>
      </c>
      <c r="D1" s="67"/>
      <c r="E1" s="70"/>
      <c r="F1" s="70"/>
    </row>
    <row r="2" spans="3:6" s="69" customFormat="1">
      <c r="C2" s="69" t="str">
        <f>'Tabel I-O'!B2</f>
        <v>Pinang Agroforest</v>
      </c>
      <c r="D2" s="70"/>
      <c r="E2" s="70"/>
      <c r="F2" s="70"/>
    </row>
    <row r="3" spans="3:6" s="69" customFormat="1" ht="13.5" customHeight="1">
      <c r="D3" s="70"/>
      <c r="E3" s="70"/>
      <c r="F3" s="70"/>
    </row>
    <row r="4" spans="3:6" s="69" customFormat="1" ht="13.5" customHeight="1">
      <c r="C4" s="210" t="s">
        <v>77</v>
      </c>
      <c r="D4" s="208" t="s">
        <v>0</v>
      </c>
      <c r="E4" s="207" t="s">
        <v>33</v>
      </c>
      <c r="F4" s="207" t="s">
        <v>34</v>
      </c>
    </row>
    <row r="5" spans="3:6" s="69" customFormat="1">
      <c r="C5" s="211"/>
      <c r="D5" s="209"/>
      <c r="E5" s="207"/>
      <c r="F5" s="207"/>
    </row>
    <row r="6" spans="3:6">
      <c r="C6" s="53" t="s">
        <v>2</v>
      </c>
      <c r="D6" s="32"/>
      <c r="E6" s="54"/>
      <c r="F6" s="54"/>
    </row>
    <row r="7" spans="3:6">
      <c r="C7" s="16" t="s">
        <v>30</v>
      </c>
      <c r="D7" s="19"/>
      <c r="E7" s="41"/>
      <c r="F7" s="41"/>
    </row>
    <row r="8" spans="3:6">
      <c r="C8" s="35" t="s">
        <v>9</v>
      </c>
      <c r="D8" s="19" t="s">
        <v>3</v>
      </c>
      <c r="E8" s="41">
        <v>0</v>
      </c>
      <c r="F8" s="41">
        <v>0</v>
      </c>
    </row>
    <row r="9" spans="3:6" s="7" customFormat="1">
      <c r="C9" s="35" t="s">
        <v>22</v>
      </c>
      <c r="D9" s="19" t="s">
        <v>3</v>
      </c>
      <c r="E9" s="41">
        <v>0</v>
      </c>
      <c r="F9" s="41">
        <v>0</v>
      </c>
    </row>
    <row r="10" spans="3:6">
      <c r="C10" s="16" t="s">
        <v>31</v>
      </c>
      <c r="D10" s="19"/>
      <c r="E10" s="41"/>
      <c r="F10" s="41"/>
    </row>
    <row r="11" spans="3:6">
      <c r="C11" s="35" t="s">
        <v>32</v>
      </c>
      <c r="D11" s="19" t="s">
        <v>8</v>
      </c>
      <c r="E11" s="41">
        <v>0</v>
      </c>
      <c r="F11" s="41">
        <f>E11</f>
        <v>0</v>
      </c>
    </row>
    <row r="12" spans="3:6">
      <c r="C12" s="35"/>
      <c r="D12" s="19"/>
      <c r="E12" s="41"/>
      <c r="F12" s="41"/>
    </row>
    <row r="13" spans="3:6">
      <c r="C13" s="16" t="s">
        <v>35</v>
      </c>
      <c r="D13" s="19"/>
      <c r="E13" s="41"/>
      <c r="F13" s="41"/>
    </row>
    <row r="14" spans="3:6">
      <c r="C14" s="35" t="s">
        <v>102</v>
      </c>
      <c r="D14" s="19" t="s">
        <v>80</v>
      </c>
      <c r="E14" s="41">
        <v>5000</v>
      </c>
      <c r="F14" s="41">
        <v>5000</v>
      </c>
    </row>
    <row r="15" spans="3:6">
      <c r="C15" s="35"/>
      <c r="D15" s="19"/>
      <c r="E15" s="41"/>
      <c r="F15" s="41"/>
    </row>
    <row r="16" spans="3:6">
      <c r="C16" s="16" t="s">
        <v>36</v>
      </c>
      <c r="D16" s="19"/>
      <c r="E16" s="41"/>
      <c r="F16" s="41"/>
    </row>
    <row r="17" spans="3:6">
      <c r="C17" s="78" t="s">
        <v>38</v>
      </c>
      <c r="D17" s="19" t="s">
        <v>4</v>
      </c>
      <c r="E17" s="41">
        <v>25000</v>
      </c>
      <c r="F17" s="41">
        <v>25000</v>
      </c>
    </row>
    <row r="18" spans="3:6">
      <c r="C18" s="35" t="s">
        <v>39</v>
      </c>
      <c r="D18" s="19" t="s">
        <v>4</v>
      </c>
      <c r="E18" s="41">
        <v>50000</v>
      </c>
      <c r="F18" s="41">
        <v>50000</v>
      </c>
    </row>
    <row r="19" spans="3:6">
      <c r="C19" s="78"/>
      <c r="D19" s="19"/>
      <c r="E19" s="41"/>
      <c r="F19" s="41"/>
    </row>
    <row r="20" spans="3:6">
      <c r="C20" s="16" t="s">
        <v>37</v>
      </c>
      <c r="D20" s="19"/>
      <c r="E20" s="41"/>
      <c r="F20" s="41"/>
    </row>
    <row r="21" spans="3:6">
      <c r="C21" s="78" t="s">
        <v>40</v>
      </c>
      <c r="D21" s="19"/>
      <c r="E21" s="41"/>
      <c r="F21" s="41"/>
    </row>
    <row r="22" spans="3:6">
      <c r="C22" s="82" t="s">
        <v>86</v>
      </c>
      <c r="D22" s="19" t="s">
        <v>19</v>
      </c>
      <c r="E22" s="41">
        <f>Summary!$D$10</f>
        <v>75000</v>
      </c>
      <c r="F22" s="41">
        <f>Summary!$D$11</f>
        <v>75000</v>
      </c>
    </row>
    <row r="23" spans="3:6">
      <c r="C23" s="82" t="s">
        <v>85</v>
      </c>
      <c r="D23" s="19" t="s">
        <v>19</v>
      </c>
      <c r="E23" s="41">
        <f>Summary!$D$10</f>
        <v>75000</v>
      </c>
      <c r="F23" s="41">
        <f>Summary!$D$11</f>
        <v>75000</v>
      </c>
    </row>
    <row r="24" spans="3:6">
      <c r="C24" s="82" t="s">
        <v>160</v>
      </c>
      <c r="D24" s="19" t="s">
        <v>19</v>
      </c>
      <c r="E24" s="41">
        <f>Summary!$D$10</f>
        <v>75000</v>
      </c>
      <c r="F24" s="41">
        <f>Summary!$D$11</f>
        <v>75000</v>
      </c>
    </row>
    <row r="25" spans="3:6">
      <c r="C25" s="78" t="s">
        <v>89</v>
      </c>
      <c r="D25" s="19"/>
      <c r="E25" s="41"/>
      <c r="F25" s="41"/>
    </row>
    <row r="26" spans="3:6">
      <c r="C26" s="82" t="s">
        <v>162</v>
      </c>
      <c r="D26" s="19" t="s">
        <v>19</v>
      </c>
      <c r="E26" s="41">
        <f>Summary!$D$10</f>
        <v>75000</v>
      </c>
      <c r="F26" s="41">
        <f>Summary!$D$11</f>
        <v>75000</v>
      </c>
    </row>
    <row r="27" spans="3:6">
      <c r="C27" s="78" t="s">
        <v>150</v>
      </c>
      <c r="D27" s="19"/>
      <c r="E27" s="41"/>
      <c r="F27" s="41"/>
    </row>
    <row r="28" spans="3:6">
      <c r="C28" s="82" t="s">
        <v>81</v>
      </c>
      <c r="D28" s="19" t="s">
        <v>19</v>
      </c>
      <c r="E28" s="41">
        <f>Summary!$D$10</f>
        <v>75000</v>
      </c>
      <c r="F28" s="41">
        <f>Summary!$D$11</f>
        <v>75000</v>
      </c>
    </row>
    <row r="29" spans="3:6">
      <c r="C29" s="82" t="s">
        <v>82</v>
      </c>
      <c r="D29" s="19" t="s">
        <v>19</v>
      </c>
      <c r="E29" s="41">
        <f>Summary!$D$10</f>
        <v>75000</v>
      </c>
      <c r="F29" s="41">
        <f>Summary!$D$11</f>
        <v>75000</v>
      </c>
    </row>
    <row r="30" spans="3:6">
      <c r="C30" s="78" t="s">
        <v>87</v>
      </c>
      <c r="D30" s="19"/>
      <c r="E30" s="41"/>
      <c r="F30" s="41"/>
    </row>
    <row r="31" spans="3:6">
      <c r="C31" s="82" t="s">
        <v>102</v>
      </c>
      <c r="D31" s="19" t="s">
        <v>19</v>
      </c>
      <c r="E31" s="41">
        <f>Summary!$D$10</f>
        <v>75000</v>
      </c>
      <c r="F31" s="41">
        <f>Summary!$D$11</f>
        <v>75000</v>
      </c>
    </row>
    <row r="32" spans="3:6">
      <c r="C32" s="78" t="s">
        <v>204</v>
      </c>
      <c r="D32" s="19" t="s">
        <v>19</v>
      </c>
      <c r="E32" s="41">
        <v>10000</v>
      </c>
      <c r="F32" s="41">
        <v>10000</v>
      </c>
    </row>
    <row r="33" spans="3:6">
      <c r="C33" s="82"/>
      <c r="D33" s="19"/>
      <c r="E33" s="41"/>
      <c r="F33" s="41"/>
    </row>
    <row r="34" spans="3:6">
      <c r="C34" s="18"/>
      <c r="D34" s="19"/>
      <c r="E34" s="41"/>
      <c r="F34" s="41"/>
    </row>
    <row r="35" spans="3:6">
      <c r="C35" s="53" t="s">
        <v>27</v>
      </c>
      <c r="D35" s="52"/>
      <c r="E35" s="55"/>
      <c r="F35" s="55"/>
    </row>
    <row r="36" spans="3:6">
      <c r="C36" s="18"/>
      <c r="D36" s="19"/>
      <c r="E36" s="41"/>
      <c r="F36" s="41"/>
    </row>
    <row r="37" spans="3:6">
      <c r="C37" s="18"/>
      <c r="D37" s="19"/>
      <c r="E37" s="41"/>
      <c r="F37" s="41"/>
    </row>
    <row r="38" spans="3:6">
      <c r="C38" s="18" t="s">
        <v>91</v>
      </c>
      <c r="D38" s="19"/>
      <c r="E38" s="41"/>
      <c r="F38" s="41"/>
    </row>
    <row r="39" spans="3:6">
      <c r="C39" s="35" t="s">
        <v>102</v>
      </c>
      <c r="D39" s="19" t="s">
        <v>3</v>
      </c>
      <c r="E39" s="41">
        <v>4000</v>
      </c>
      <c r="F39" s="41">
        <f>E39</f>
        <v>4000</v>
      </c>
    </row>
    <row r="40" spans="3:6">
      <c r="C40" s="35"/>
      <c r="D40" s="19"/>
      <c r="E40" s="41"/>
      <c r="F40" s="41"/>
    </row>
    <row r="41" spans="3:6">
      <c r="C41" s="18"/>
      <c r="D41" s="19"/>
      <c r="E41" s="41"/>
      <c r="F41" s="41"/>
    </row>
    <row r="42" spans="3:6">
      <c r="C42" s="18"/>
      <c r="D42" s="19"/>
      <c r="E42" s="41"/>
      <c r="F42" s="41"/>
    </row>
    <row r="43" spans="3:6">
      <c r="E43" s="30"/>
      <c r="F43" s="30"/>
    </row>
    <row r="44" spans="3:6">
      <c r="C44" s="3" t="s">
        <v>75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AW70"/>
  <sheetViews>
    <sheetView zoomScale="85" zoomScaleNormal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V42" sqref="V42"/>
    </sheetView>
  </sheetViews>
  <sheetFormatPr defaultRowHeight="15"/>
  <cols>
    <col min="1" max="1" width="9.140625" style="3"/>
    <col min="2" max="2" width="33.42578125" style="3" bestFit="1" customWidth="1"/>
    <col min="3" max="3" width="14.5703125" style="4" customWidth="1"/>
    <col min="4" max="4" width="7.28515625" style="30" customWidth="1"/>
    <col min="5" max="5" width="7" style="30" customWidth="1"/>
    <col min="6" max="6" width="7.42578125" style="39" customWidth="1"/>
    <col min="7" max="7" width="7.7109375" style="30" bestFit="1" customWidth="1"/>
    <col min="8" max="8" width="6.7109375" style="30" bestFit="1" customWidth="1"/>
    <col min="9" max="11" width="6.7109375" style="39" bestFit="1" customWidth="1"/>
    <col min="12" max="12" width="6.7109375" style="30" bestFit="1" customWidth="1"/>
    <col min="13" max="13" width="6.85546875" style="30" bestFit="1" customWidth="1"/>
    <col min="14" max="14" width="6.85546875" style="39" bestFit="1" customWidth="1"/>
    <col min="15" max="17" width="6.85546875" style="30" bestFit="1" customWidth="1"/>
    <col min="18" max="18" width="8.42578125" style="30" bestFit="1" customWidth="1"/>
    <col min="19" max="22" width="7.7109375" style="30" bestFit="1" customWidth="1"/>
    <col min="23" max="33" width="6.85546875" style="30" bestFit="1" customWidth="1"/>
    <col min="34" max="40" width="9.140625" style="8"/>
    <col min="41" max="16384" width="9.140625" style="3"/>
  </cols>
  <sheetData>
    <row r="1" spans="2:49" s="69" customFormat="1" ht="18.75">
      <c r="B1" s="66" t="s">
        <v>18</v>
      </c>
      <c r="C1" s="67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68"/>
      <c r="AI1" s="68"/>
      <c r="AJ1" s="68"/>
      <c r="AK1" s="68"/>
      <c r="AL1" s="68"/>
      <c r="AM1" s="68"/>
      <c r="AN1" s="68"/>
    </row>
    <row r="2" spans="2:49" s="69" customFormat="1">
      <c r="B2" s="73" t="str">
        <f>Summary!B1</f>
        <v>Pinang Agroforest</v>
      </c>
      <c r="C2" s="67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68"/>
      <c r="AI2" s="68"/>
      <c r="AJ2" s="68"/>
      <c r="AK2" s="68"/>
      <c r="AL2" s="68"/>
      <c r="AM2" s="68"/>
      <c r="AN2" s="68"/>
    </row>
    <row r="3" spans="2:49" s="69" customFormat="1">
      <c r="C3" s="70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2"/>
      <c r="AD3" s="72"/>
      <c r="AE3" s="72"/>
      <c r="AF3" s="72"/>
      <c r="AG3" s="72"/>
      <c r="AH3" s="68"/>
      <c r="AI3" s="68"/>
      <c r="AJ3" s="68"/>
      <c r="AK3" s="68"/>
      <c r="AL3" s="68"/>
      <c r="AM3" s="68"/>
      <c r="AN3" s="68"/>
    </row>
    <row r="4" spans="2:49" s="70" customFormat="1" ht="12.75" customHeight="1">
      <c r="B4" s="210" t="s">
        <v>77</v>
      </c>
      <c r="C4" s="208" t="s">
        <v>0</v>
      </c>
      <c r="D4" s="213" t="s">
        <v>42</v>
      </c>
      <c r="E4" s="213" t="s">
        <v>43</v>
      </c>
      <c r="F4" s="213" t="s">
        <v>44</v>
      </c>
      <c r="G4" s="213" t="s">
        <v>45</v>
      </c>
      <c r="H4" s="213" t="s">
        <v>46</v>
      </c>
      <c r="I4" s="213" t="s">
        <v>47</v>
      </c>
      <c r="J4" s="213" t="s">
        <v>48</v>
      </c>
      <c r="K4" s="213" t="s">
        <v>49</v>
      </c>
      <c r="L4" s="213" t="s">
        <v>50</v>
      </c>
      <c r="M4" s="213" t="s">
        <v>51</v>
      </c>
      <c r="N4" s="213" t="s">
        <v>52</v>
      </c>
      <c r="O4" s="213" t="s">
        <v>53</v>
      </c>
      <c r="P4" s="213" t="s">
        <v>54</v>
      </c>
      <c r="Q4" s="213" t="s">
        <v>55</v>
      </c>
      <c r="R4" s="213" t="s">
        <v>56</v>
      </c>
      <c r="S4" s="213" t="s">
        <v>57</v>
      </c>
      <c r="T4" s="213" t="s">
        <v>58</v>
      </c>
      <c r="U4" s="213" t="s">
        <v>59</v>
      </c>
      <c r="V4" s="213" t="s">
        <v>60</v>
      </c>
      <c r="W4" s="213" t="s">
        <v>61</v>
      </c>
      <c r="X4" s="213" t="s">
        <v>62</v>
      </c>
      <c r="Y4" s="213" t="s">
        <v>63</v>
      </c>
      <c r="Z4" s="213" t="s">
        <v>64</v>
      </c>
      <c r="AA4" s="213" t="s">
        <v>65</v>
      </c>
      <c r="AB4" s="213" t="s">
        <v>66</v>
      </c>
      <c r="AC4" s="213" t="s">
        <v>67</v>
      </c>
      <c r="AD4" s="213" t="s">
        <v>68</v>
      </c>
      <c r="AE4" s="213" t="s">
        <v>69</v>
      </c>
      <c r="AF4" s="213" t="s">
        <v>70</v>
      </c>
      <c r="AG4" s="213" t="s">
        <v>71</v>
      </c>
      <c r="AH4" s="75"/>
      <c r="AI4" s="75"/>
      <c r="AJ4" s="75"/>
      <c r="AK4" s="75"/>
      <c r="AL4" s="75"/>
      <c r="AM4" s="75"/>
      <c r="AN4" s="75"/>
      <c r="AO4" s="76"/>
      <c r="AP4" s="76"/>
      <c r="AQ4" s="76"/>
      <c r="AR4" s="76"/>
      <c r="AS4" s="76"/>
      <c r="AT4" s="76"/>
      <c r="AU4" s="76"/>
      <c r="AV4" s="76"/>
      <c r="AW4" s="76"/>
    </row>
    <row r="5" spans="2:49" s="70" customFormat="1" ht="19.5" customHeight="1">
      <c r="B5" s="212"/>
      <c r="C5" s="209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75"/>
      <c r="AI5" s="75"/>
      <c r="AJ5" s="75"/>
      <c r="AK5" s="75"/>
      <c r="AL5" s="75"/>
      <c r="AM5" s="75"/>
      <c r="AN5" s="75"/>
      <c r="AO5" s="76"/>
      <c r="AP5" s="76"/>
      <c r="AQ5" s="76"/>
      <c r="AR5" s="76"/>
      <c r="AS5" s="76"/>
      <c r="AT5" s="76"/>
      <c r="AU5" s="76"/>
      <c r="AV5" s="76"/>
      <c r="AW5" s="76"/>
    </row>
    <row r="6" spans="2:49" ht="15" customHeight="1">
      <c r="B6" s="211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30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9</v>
      </c>
      <c r="C8" s="19" t="s">
        <v>92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22</v>
      </c>
      <c r="C9" s="19" t="s">
        <v>92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16" t="s">
        <v>31</v>
      </c>
      <c r="C10" s="19"/>
      <c r="D10" s="45"/>
      <c r="E10" s="45"/>
      <c r="F10" s="46"/>
      <c r="G10" s="45"/>
      <c r="H10" s="45"/>
      <c r="I10" s="46"/>
      <c r="J10" s="46"/>
      <c r="K10" s="46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35" t="s">
        <v>32</v>
      </c>
      <c r="C11" s="19" t="s">
        <v>93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>
      <c r="B12" s="35"/>
      <c r="C12" s="19"/>
      <c r="D12" s="45"/>
      <c r="E12" s="45"/>
      <c r="F12" s="47"/>
      <c r="G12" s="48"/>
      <c r="H12" s="48"/>
      <c r="I12" s="47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36"/>
      <c r="AI12" s="36"/>
      <c r="AJ12" s="36"/>
      <c r="AK12" s="36"/>
      <c r="AL12" s="36"/>
      <c r="AM12" s="36"/>
      <c r="AN12" s="36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2:49" s="7" customFormat="1">
      <c r="B13" s="16" t="s">
        <v>35</v>
      </c>
      <c r="C13" s="19"/>
      <c r="D13" s="45"/>
      <c r="E13" s="45"/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>
      <c r="B14" s="35" t="s">
        <v>102</v>
      </c>
      <c r="C14" s="19" t="s">
        <v>72</v>
      </c>
      <c r="D14" s="45">
        <f>FieldData!C5</f>
        <v>1000</v>
      </c>
      <c r="E14" s="45">
        <f>D14*0.1</f>
        <v>100</v>
      </c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5"/>
      <c r="Q14" s="45"/>
      <c r="R14" s="45"/>
      <c r="S14" s="45">
        <v>1000</v>
      </c>
      <c r="T14" s="45">
        <v>100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 s="7" customFormat="1">
      <c r="B15" s="35"/>
      <c r="C15" s="19"/>
      <c r="D15" s="45"/>
      <c r="E15" s="45"/>
      <c r="F15" s="46"/>
      <c r="G15" s="45"/>
      <c r="H15" s="45"/>
      <c r="I15" s="46"/>
      <c r="J15" s="46"/>
      <c r="K15" s="46"/>
      <c r="L15" s="45"/>
      <c r="M15" s="49"/>
      <c r="N15" s="5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36"/>
      <c r="AI15" s="36"/>
      <c r="AJ15" s="36"/>
      <c r="AK15" s="36"/>
      <c r="AL15" s="36"/>
      <c r="AM15" s="36"/>
      <c r="AN15" s="36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2:49">
      <c r="B16" s="16" t="s">
        <v>7</v>
      </c>
      <c r="C16" s="19"/>
      <c r="D16" s="45"/>
      <c r="E16" s="45"/>
      <c r="F16" s="46"/>
      <c r="G16" s="45"/>
      <c r="H16" s="41"/>
      <c r="I16" s="42"/>
      <c r="J16" s="42"/>
      <c r="K16" s="42"/>
      <c r="L16" s="41"/>
      <c r="M16" s="43"/>
      <c r="N16" s="44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78" t="s">
        <v>38</v>
      </c>
      <c r="C17" s="19" t="s">
        <v>1</v>
      </c>
      <c r="D17" s="45"/>
      <c r="E17" s="45"/>
      <c r="F17" s="46"/>
      <c r="G17" s="45">
        <v>1</v>
      </c>
      <c r="H17" s="45"/>
      <c r="I17" s="46"/>
      <c r="J17" s="45"/>
      <c r="K17" s="45"/>
      <c r="L17" s="45">
        <v>1</v>
      </c>
      <c r="M17" s="45"/>
      <c r="N17" s="46"/>
      <c r="O17" s="45"/>
      <c r="P17" s="45"/>
      <c r="Q17" s="45">
        <v>1</v>
      </c>
      <c r="R17" s="45"/>
      <c r="S17" s="46"/>
      <c r="T17" s="45"/>
      <c r="U17" s="45"/>
      <c r="V17" s="45">
        <v>1</v>
      </c>
      <c r="W17" s="45"/>
      <c r="X17" s="46"/>
      <c r="Y17" s="45"/>
      <c r="Z17" s="45"/>
      <c r="AA17" s="45">
        <v>1</v>
      </c>
      <c r="AB17" s="45"/>
      <c r="AC17" s="46"/>
      <c r="AD17" s="45"/>
      <c r="AE17" s="45"/>
      <c r="AF17" s="46">
        <v>1</v>
      </c>
      <c r="AG17" s="46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>
      <c r="B18" s="35" t="s">
        <v>39</v>
      </c>
      <c r="C18" s="19" t="s">
        <v>1</v>
      </c>
      <c r="D18" s="45">
        <v>1</v>
      </c>
      <c r="E18" s="45"/>
      <c r="F18" s="45">
        <v>1</v>
      </c>
      <c r="G18" s="45"/>
      <c r="H18" s="45">
        <v>1</v>
      </c>
      <c r="I18" s="45"/>
      <c r="J18" s="45">
        <v>1</v>
      </c>
      <c r="K18" s="45"/>
      <c r="L18" s="45">
        <v>1</v>
      </c>
      <c r="M18" s="45"/>
      <c r="N18" s="45">
        <v>1</v>
      </c>
      <c r="O18" s="45"/>
      <c r="P18" s="45">
        <v>1</v>
      </c>
      <c r="Q18" s="45"/>
      <c r="R18" s="45">
        <v>1</v>
      </c>
      <c r="S18" s="45"/>
      <c r="T18" s="45">
        <v>1</v>
      </c>
      <c r="U18" s="45"/>
      <c r="V18" s="45">
        <v>1</v>
      </c>
      <c r="W18" s="45"/>
      <c r="X18" s="45">
        <v>1</v>
      </c>
      <c r="Y18" s="45"/>
      <c r="Z18" s="45">
        <v>1</v>
      </c>
      <c r="AA18" s="45"/>
      <c r="AB18" s="45">
        <v>1</v>
      </c>
      <c r="AC18" s="45"/>
      <c r="AD18" s="45">
        <v>1</v>
      </c>
      <c r="AE18" s="45"/>
      <c r="AF18" s="45">
        <v>1</v>
      </c>
      <c r="AG18" s="46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>
      <c r="B19" s="78"/>
      <c r="C19" s="19"/>
      <c r="D19" s="41"/>
      <c r="E19" s="41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>
      <c r="B20" s="16" t="s">
        <v>37</v>
      </c>
      <c r="C20" s="19"/>
      <c r="D20" s="41"/>
      <c r="E20" s="41"/>
      <c r="F20" s="42"/>
      <c r="G20" s="41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78" t="s">
        <v>40</v>
      </c>
      <c r="C21" s="19"/>
      <c r="D21" s="41"/>
      <c r="E21" s="41"/>
      <c r="F21" s="42"/>
      <c r="G21" s="41"/>
      <c r="H21" s="41"/>
      <c r="I21" s="42"/>
      <c r="J21" s="42"/>
      <c r="K21" s="42"/>
      <c r="L21" s="41"/>
      <c r="M21" s="43"/>
      <c r="N21" s="44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2" t="s">
        <v>173</v>
      </c>
      <c r="C22" s="19" t="s">
        <v>41</v>
      </c>
      <c r="D22" s="41">
        <v>30</v>
      </c>
      <c r="E22" s="41"/>
      <c r="F22" s="42"/>
      <c r="G22" s="41"/>
      <c r="H22" s="41"/>
      <c r="I22" s="42"/>
      <c r="J22" s="42"/>
      <c r="K22" s="42"/>
      <c r="L22" s="41"/>
      <c r="M22" s="43"/>
      <c r="N22" s="44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2" t="s">
        <v>85</v>
      </c>
      <c r="C23" s="19" t="s">
        <v>41</v>
      </c>
      <c r="D23" s="41">
        <f>0.5*2</f>
        <v>1</v>
      </c>
      <c r="E23" s="41"/>
      <c r="F23" s="42"/>
      <c r="G23" s="41"/>
      <c r="H23" s="41"/>
      <c r="I23" s="42"/>
      <c r="J23" s="42"/>
      <c r="K23" s="42"/>
      <c r="L23" s="41"/>
      <c r="M23" s="43"/>
      <c r="N23" s="44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2" t="s">
        <v>160</v>
      </c>
      <c r="C24" s="19" t="s">
        <v>41</v>
      </c>
      <c r="D24" s="41">
        <v>4</v>
      </c>
      <c r="E24" s="41"/>
      <c r="F24" s="42"/>
      <c r="G24" s="41"/>
      <c r="H24" s="41"/>
      <c r="I24" s="42"/>
      <c r="J24" s="42"/>
      <c r="K24" s="42"/>
      <c r="L24" s="41"/>
      <c r="M24" s="43"/>
      <c r="N24" s="44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78" t="s">
        <v>89</v>
      </c>
      <c r="C25" s="19"/>
      <c r="D25" s="41"/>
      <c r="E25" s="41"/>
      <c r="F25" s="42"/>
      <c r="G25" s="41"/>
      <c r="H25" s="41"/>
      <c r="I25" s="42"/>
      <c r="J25" s="42"/>
      <c r="K25" s="42"/>
      <c r="L25" s="41"/>
      <c r="M25" s="43"/>
      <c r="N25" s="44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82" t="s">
        <v>131</v>
      </c>
      <c r="C26" s="19" t="s">
        <v>41</v>
      </c>
      <c r="D26" s="41">
        <f>D14/50</f>
        <v>20</v>
      </c>
      <c r="E26" s="41">
        <f>E14/50</f>
        <v>2</v>
      </c>
      <c r="F26" s="42"/>
      <c r="G26" s="41"/>
      <c r="H26" s="41"/>
      <c r="I26" s="42"/>
      <c r="J26" s="42"/>
      <c r="K26" s="42"/>
      <c r="L26" s="41"/>
      <c r="M26" s="43"/>
      <c r="N26" s="44"/>
      <c r="O26" s="43"/>
      <c r="P26" s="41"/>
      <c r="Q26" s="41"/>
      <c r="R26" s="41"/>
      <c r="S26" s="41">
        <f>S14/50</f>
        <v>20</v>
      </c>
      <c r="T26" s="41">
        <f>T14/50</f>
        <v>2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78" t="s">
        <v>132</v>
      </c>
      <c r="C27" s="19"/>
      <c r="D27" s="41"/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2" t="s">
        <v>81</v>
      </c>
      <c r="C28" s="19" t="s">
        <v>41</v>
      </c>
      <c r="D28" s="45">
        <f>10*3</f>
        <v>30</v>
      </c>
      <c r="E28" s="45">
        <f t="shared" ref="E28:I28" si="0">10*3</f>
        <v>30</v>
      </c>
      <c r="F28" s="45">
        <f t="shared" si="0"/>
        <v>30</v>
      </c>
      <c r="G28" s="45">
        <f t="shared" si="0"/>
        <v>30</v>
      </c>
      <c r="H28" s="45">
        <f t="shared" si="0"/>
        <v>30</v>
      </c>
      <c r="I28" s="45">
        <f t="shared" si="0"/>
        <v>30</v>
      </c>
      <c r="J28" s="45">
        <f>10*2</f>
        <v>20</v>
      </c>
      <c r="K28" s="45">
        <f t="shared" ref="K28:AG28" si="1">10*2</f>
        <v>20</v>
      </c>
      <c r="L28" s="45">
        <f t="shared" si="1"/>
        <v>20</v>
      </c>
      <c r="M28" s="45">
        <f t="shared" si="1"/>
        <v>20</v>
      </c>
      <c r="N28" s="45">
        <f t="shared" si="1"/>
        <v>20</v>
      </c>
      <c r="O28" s="45">
        <f t="shared" si="1"/>
        <v>20</v>
      </c>
      <c r="P28" s="45">
        <f t="shared" si="1"/>
        <v>20</v>
      </c>
      <c r="Q28" s="45">
        <f t="shared" si="1"/>
        <v>20</v>
      </c>
      <c r="R28" s="45">
        <f t="shared" si="1"/>
        <v>20</v>
      </c>
      <c r="S28" s="45">
        <v>30</v>
      </c>
      <c r="T28" s="45">
        <v>30</v>
      </c>
      <c r="U28" s="45">
        <f t="shared" si="1"/>
        <v>20</v>
      </c>
      <c r="V28" s="45">
        <f t="shared" si="1"/>
        <v>20</v>
      </c>
      <c r="W28" s="45">
        <f t="shared" si="1"/>
        <v>20</v>
      </c>
      <c r="X28" s="45">
        <f t="shared" si="1"/>
        <v>20</v>
      </c>
      <c r="Y28" s="45">
        <f t="shared" si="1"/>
        <v>20</v>
      </c>
      <c r="Z28" s="45">
        <f t="shared" si="1"/>
        <v>20</v>
      </c>
      <c r="AA28" s="45">
        <f t="shared" si="1"/>
        <v>20</v>
      </c>
      <c r="AB28" s="45">
        <f t="shared" si="1"/>
        <v>20</v>
      </c>
      <c r="AC28" s="45">
        <f t="shared" si="1"/>
        <v>20</v>
      </c>
      <c r="AD28" s="45">
        <f t="shared" si="1"/>
        <v>20</v>
      </c>
      <c r="AE28" s="45">
        <f t="shared" si="1"/>
        <v>20</v>
      </c>
      <c r="AF28" s="45">
        <f t="shared" si="1"/>
        <v>20</v>
      </c>
      <c r="AG28" s="45">
        <f t="shared" si="1"/>
        <v>20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2" t="s">
        <v>82</v>
      </c>
      <c r="C29" s="19" t="s">
        <v>41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78" t="s">
        <v>87</v>
      </c>
      <c r="C30" s="19"/>
      <c r="D30" s="45"/>
      <c r="E30" s="41"/>
      <c r="F30" s="42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82" t="s">
        <v>102</v>
      </c>
      <c r="C31" s="19" t="s">
        <v>41</v>
      </c>
      <c r="D31" s="45"/>
      <c r="E31" s="41"/>
      <c r="F31" s="42"/>
      <c r="G31" s="41"/>
      <c r="H31" s="41"/>
      <c r="I31" s="41">
        <f>3*12</f>
        <v>36</v>
      </c>
      <c r="J31" s="41">
        <f t="shared" ref="J31:R31" si="2">3*12</f>
        <v>36</v>
      </c>
      <c r="K31" s="41">
        <f t="shared" si="2"/>
        <v>36</v>
      </c>
      <c r="L31" s="41">
        <f t="shared" si="2"/>
        <v>36</v>
      </c>
      <c r="M31" s="41">
        <f t="shared" si="2"/>
        <v>36</v>
      </c>
      <c r="N31" s="41">
        <f t="shared" si="2"/>
        <v>36</v>
      </c>
      <c r="O31" s="41">
        <f t="shared" si="2"/>
        <v>36</v>
      </c>
      <c r="P31" s="41">
        <f t="shared" si="2"/>
        <v>36</v>
      </c>
      <c r="Q31" s="41">
        <f t="shared" si="2"/>
        <v>36</v>
      </c>
      <c r="R31" s="41">
        <f t="shared" si="2"/>
        <v>36</v>
      </c>
      <c r="S31" s="41"/>
      <c r="T31" s="41">
        <f t="shared" ref="T31:W31" si="3">T39/50</f>
        <v>0</v>
      </c>
      <c r="U31" s="41">
        <f t="shared" si="3"/>
        <v>0</v>
      </c>
      <c r="V31" s="41">
        <f t="shared" si="3"/>
        <v>0</v>
      </c>
      <c r="W31" s="41">
        <f t="shared" si="3"/>
        <v>0</v>
      </c>
      <c r="X31" s="41">
        <f>3*12</f>
        <v>36</v>
      </c>
      <c r="Y31" s="41">
        <f t="shared" ref="Y31:AG31" si="4">3*12</f>
        <v>36</v>
      </c>
      <c r="Z31" s="41">
        <f t="shared" si="4"/>
        <v>36</v>
      </c>
      <c r="AA31" s="41">
        <f t="shared" si="4"/>
        <v>36</v>
      </c>
      <c r="AB31" s="41">
        <f t="shared" si="4"/>
        <v>36</v>
      </c>
      <c r="AC31" s="41">
        <f t="shared" si="4"/>
        <v>36</v>
      </c>
      <c r="AD31" s="41">
        <f t="shared" si="4"/>
        <v>36</v>
      </c>
      <c r="AE31" s="41">
        <f t="shared" si="4"/>
        <v>36</v>
      </c>
      <c r="AF31" s="41">
        <f t="shared" si="4"/>
        <v>36</v>
      </c>
      <c r="AG31" s="41">
        <f t="shared" si="4"/>
        <v>36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78" t="s">
        <v>202</v>
      </c>
      <c r="C32" s="19" t="s">
        <v>41</v>
      </c>
      <c r="D32" s="45"/>
      <c r="E32" s="41"/>
      <c r="F32" s="42"/>
      <c r="G32" s="41"/>
      <c r="H32" s="41"/>
      <c r="I32" s="41">
        <f>I39/50</f>
        <v>48</v>
      </c>
      <c r="J32" s="41">
        <f t="shared" ref="J32:AG32" si="5">J39/50</f>
        <v>48</v>
      </c>
      <c r="K32" s="41">
        <f t="shared" si="5"/>
        <v>120</v>
      </c>
      <c r="L32" s="41">
        <f t="shared" si="5"/>
        <v>120</v>
      </c>
      <c r="M32" s="41">
        <f t="shared" si="5"/>
        <v>120</v>
      </c>
      <c r="N32" s="41">
        <f t="shared" si="5"/>
        <v>48</v>
      </c>
      <c r="O32" s="41">
        <f t="shared" si="5"/>
        <v>48</v>
      </c>
      <c r="P32" s="41">
        <f t="shared" si="5"/>
        <v>48</v>
      </c>
      <c r="Q32" s="41">
        <f t="shared" si="5"/>
        <v>48</v>
      </c>
      <c r="R32" s="41">
        <f t="shared" si="5"/>
        <v>48</v>
      </c>
      <c r="S32" s="41"/>
      <c r="T32" s="41">
        <f t="shared" si="5"/>
        <v>0</v>
      </c>
      <c r="U32" s="41">
        <f t="shared" si="5"/>
        <v>0</v>
      </c>
      <c r="V32" s="41">
        <f t="shared" si="5"/>
        <v>0</v>
      </c>
      <c r="W32" s="41">
        <f t="shared" si="5"/>
        <v>0</v>
      </c>
      <c r="X32" s="41">
        <f t="shared" si="5"/>
        <v>48</v>
      </c>
      <c r="Y32" s="41">
        <f t="shared" si="5"/>
        <v>48</v>
      </c>
      <c r="Z32" s="41">
        <f t="shared" si="5"/>
        <v>120</v>
      </c>
      <c r="AA32" s="41">
        <f t="shared" si="5"/>
        <v>120</v>
      </c>
      <c r="AB32" s="41">
        <f t="shared" si="5"/>
        <v>120</v>
      </c>
      <c r="AC32" s="41">
        <f t="shared" si="5"/>
        <v>48</v>
      </c>
      <c r="AD32" s="41">
        <f t="shared" si="5"/>
        <v>48</v>
      </c>
      <c r="AE32" s="41">
        <f t="shared" si="5"/>
        <v>48</v>
      </c>
      <c r="AF32" s="41">
        <f t="shared" si="5"/>
        <v>48</v>
      </c>
      <c r="AG32" s="41">
        <f t="shared" si="5"/>
        <v>48</v>
      </c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2:49">
      <c r="B33" s="82"/>
      <c r="C33" s="19"/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2:49" ht="15.75">
      <c r="B34" s="138" t="s">
        <v>161</v>
      </c>
      <c r="C34" s="19"/>
      <c r="D34" s="45">
        <f>SUM(D22:D31)</f>
        <v>85</v>
      </c>
      <c r="E34" s="45">
        <f t="shared" ref="E34:AG34" si="6">SUM(E22:E31)</f>
        <v>32</v>
      </c>
      <c r="F34" s="45">
        <f t="shared" si="6"/>
        <v>30</v>
      </c>
      <c r="G34" s="45">
        <f t="shared" si="6"/>
        <v>30</v>
      </c>
      <c r="H34" s="45">
        <f t="shared" si="6"/>
        <v>30</v>
      </c>
      <c r="I34" s="45">
        <f t="shared" si="6"/>
        <v>66</v>
      </c>
      <c r="J34" s="45">
        <f t="shared" si="6"/>
        <v>56</v>
      </c>
      <c r="K34" s="45">
        <f t="shared" si="6"/>
        <v>56</v>
      </c>
      <c r="L34" s="45">
        <f t="shared" si="6"/>
        <v>56</v>
      </c>
      <c r="M34" s="45">
        <f t="shared" si="6"/>
        <v>56</v>
      </c>
      <c r="N34" s="45">
        <f t="shared" si="6"/>
        <v>56</v>
      </c>
      <c r="O34" s="45">
        <f t="shared" si="6"/>
        <v>56</v>
      </c>
      <c r="P34" s="45">
        <f t="shared" si="6"/>
        <v>56</v>
      </c>
      <c r="Q34" s="45">
        <f t="shared" si="6"/>
        <v>56</v>
      </c>
      <c r="R34" s="45">
        <f t="shared" si="6"/>
        <v>56</v>
      </c>
      <c r="S34" s="45">
        <f t="shared" si="6"/>
        <v>50</v>
      </c>
      <c r="T34" s="45">
        <f t="shared" si="6"/>
        <v>32</v>
      </c>
      <c r="U34" s="45">
        <f t="shared" si="6"/>
        <v>20</v>
      </c>
      <c r="V34" s="45">
        <f t="shared" si="6"/>
        <v>20</v>
      </c>
      <c r="W34" s="45">
        <f t="shared" si="6"/>
        <v>20</v>
      </c>
      <c r="X34" s="45">
        <f t="shared" si="6"/>
        <v>56</v>
      </c>
      <c r="Y34" s="45">
        <f t="shared" si="6"/>
        <v>56</v>
      </c>
      <c r="Z34" s="45">
        <f t="shared" si="6"/>
        <v>56</v>
      </c>
      <c r="AA34" s="45">
        <f t="shared" si="6"/>
        <v>56</v>
      </c>
      <c r="AB34" s="45">
        <f t="shared" si="6"/>
        <v>56</v>
      </c>
      <c r="AC34" s="45">
        <f t="shared" si="6"/>
        <v>56</v>
      </c>
      <c r="AD34" s="45">
        <f t="shared" si="6"/>
        <v>56</v>
      </c>
      <c r="AE34" s="45">
        <f t="shared" si="6"/>
        <v>56</v>
      </c>
      <c r="AF34" s="45">
        <f t="shared" si="6"/>
        <v>56</v>
      </c>
      <c r="AG34" s="45">
        <f t="shared" si="6"/>
        <v>56</v>
      </c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2:49">
      <c r="B35" s="18"/>
      <c r="C35" s="19"/>
      <c r="D35" s="41"/>
      <c r="E35" s="41"/>
      <c r="F35" s="42"/>
      <c r="G35" s="41"/>
      <c r="H35" s="41"/>
      <c r="I35" s="42"/>
      <c r="J35" s="42"/>
      <c r="K35" s="42"/>
      <c r="L35" s="41"/>
      <c r="M35" s="43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2:49">
      <c r="B36" s="53" t="s">
        <v>27</v>
      </c>
      <c r="C36" s="52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2:49">
      <c r="B37" s="18" t="s">
        <v>83</v>
      </c>
      <c r="C37" s="19" t="s">
        <v>84</v>
      </c>
      <c r="D37" s="42">
        <f>FieldData!C8</f>
        <v>0</v>
      </c>
      <c r="E37" s="42">
        <f>FieldData!D8</f>
        <v>0</v>
      </c>
      <c r="F37" s="42">
        <f>FieldData!E8</f>
        <v>0</v>
      </c>
      <c r="G37" s="42">
        <f>FieldData!F8</f>
        <v>0</v>
      </c>
      <c r="H37" s="42">
        <f>FieldData!G8</f>
        <v>0</v>
      </c>
      <c r="I37" s="42">
        <f>FieldData!H8</f>
        <v>0</v>
      </c>
      <c r="J37" s="42">
        <f>FieldData!I8</f>
        <v>0</v>
      </c>
      <c r="K37" s="42">
        <f>FieldData!J8</f>
        <v>0</v>
      </c>
      <c r="L37" s="42">
        <f>FieldData!K8</f>
        <v>0</v>
      </c>
      <c r="M37" s="42">
        <f>FieldData!L8</f>
        <v>0</v>
      </c>
      <c r="N37" s="42">
        <f>FieldData!M8</f>
        <v>0</v>
      </c>
      <c r="O37" s="42">
        <f>FieldData!N8</f>
        <v>0</v>
      </c>
      <c r="P37" s="42">
        <f>FieldData!O8</f>
        <v>0</v>
      </c>
      <c r="Q37" s="42">
        <f>FieldData!P8</f>
        <v>0</v>
      </c>
      <c r="R37" s="42">
        <f>FieldData!Q8</f>
        <v>0</v>
      </c>
      <c r="S37" s="42">
        <f>FieldData!R8</f>
        <v>0</v>
      </c>
      <c r="T37" s="42">
        <f>FieldData!S8</f>
        <v>0</v>
      </c>
      <c r="U37" s="42">
        <f>FieldData!T8</f>
        <v>0</v>
      </c>
      <c r="V37" s="42">
        <f>FieldData!U8</f>
        <v>0</v>
      </c>
      <c r="W37" s="42">
        <f>FieldData!V8</f>
        <v>0</v>
      </c>
      <c r="X37" s="42">
        <f>FieldData!W8</f>
        <v>0</v>
      </c>
      <c r="Y37" s="42">
        <f>FieldData!X8</f>
        <v>0</v>
      </c>
      <c r="Z37" s="42">
        <f>FieldData!Y8</f>
        <v>0</v>
      </c>
      <c r="AA37" s="42">
        <f>FieldData!Z8</f>
        <v>0</v>
      </c>
      <c r="AB37" s="42">
        <f>FieldData!AA8</f>
        <v>0</v>
      </c>
      <c r="AC37" s="42">
        <f>FieldData!AB8</f>
        <v>0</v>
      </c>
      <c r="AD37" s="42">
        <f>FieldData!AC8</f>
        <v>0</v>
      </c>
      <c r="AE37" s="42">
        <f>FieldData!AD8</f>
        <v>0</v>
      </c>
      <c r="AF37" s="42">
        <f>FieldData!AE8</f>
        <v>0</v>
      </c>
      <c r="AG37" s="42">
        <f>FieldData!AF8</f>
        <v>0</v>
      </c>
      <c r="AH37" s="3"/>
      <c r="AI37" s="36"/>
      <c r="AJ37" s="7"/>
      <c r="AK37" s="3"/>
      <c r="AL37" s="3"/>
      <c r="AM37" s="3"/>
      <c r="AN37" s="3"/>
    </row>
    <row r="38" spans="2:49">
      <c r="B38" s="18" t="s">
        <v>91</v>
      </c>
      <c r="C38" s="19"/>
      <c r="D38" s="42"/>
      <c r="E38" s="41"/>
      <c r="F38" s="41"/>
      <c r="G38" s="41"/>
      <c r="H38" s="41"/>
      <c r="I38" s="41"/>
      <c r="J38" s="29"/>
      <c r="K38" s="29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3"/>
      <c r="AI38" s="36"/>
      <c r="AJ38" s="7"/>
      <c r="AK38" s="3"/>
      <c r="AL38" s="3"/>
      <c r="AM38" s="3"/>
      <c r="AN38" s="3"/>
    </row>
    <row r="39" spans="2:49">
      <c r="B39" s="35" t="s">
        <v>102</v>
      </c>
      <c r="C39" s="19" t="s">
        <v>92</v>
      </c>
      <c r="D39" s="42">
        <f>FieldData!C10</f>
        <v>0</v>
      </c>
      <c r="E39" s="42">
        <f>FieldData!D10</f>
        <v>0</v>
      </c>
      <c r="F39" s="42">
        <f>FieldData!E10</f>
        <v>0</v>
      </c>
      <c r="G39" s="42">
        <f>FieldData!F10</f>
        <v>0</v>
      </c>
      <c r="H39" s="42">
        <f>FieldData!G10</f>
        <v>0</v>
      </c>
      <c r="I39" s="42">
        <f>FieldData!H10</f>
        <v>2400</v>
      </c>
      <c r="J39" s="42">
        <f>FieldData!I10</f>
        <v>2400</v>
      </c>
      <c r="K39" s="42">
        <f>FieldData!J10</f>
        <v>6000</v>
      </c>
      <c r="L39" s="42">
        <f>FieldData!K10</f>
        <v>6000</v>
      </c>
      <c r="M39" s="42">
        <f>FieldData!L10</f>
        <v>6000</v>
      </c>
      <c r="N39" s="42">
        <f>FieldData!M10</f>
        <v>2400</v>
      </c>
      <c r="O39" s="42">
        <f>FieldData!N10</f>
        <v>2400</v>
      </c>
      <c r="P39" s="42">
        <f>FieldData!O10</f>
        <v>2400</v>
      </c>
      <c r="Q39" s="42">
        <f>FieldData!P10</f>
        <v>2400</v>
      </c>
      <c r="R39" s="42">
        <f>FieldData!Q10</f>
        <v>2400</v>
      </c>
      <c r="S39" s="42" t="str">
        <f>FieldData!R10</f>
        <v>-</v>
      </c>
      <c r="T39" s="42">
        <f>FieldData!S10</f>
        <v>0</v>
      </c>
      <c r="U39" s="42">
        <f>FieldData!T10</f>
        <v>0</v>
      </c>
      <c r="V39" s="42">
        <f>FieldData!U10</f>
        <v>0</v>
      </c>
      <c r="W39" s="42">
        <f>FieldData!V10</f>
        <v>0</v>
      </c>
      <c r="X39" s="42">
        <f>FieldData!W10</f>
        <v>2400</v>
      </c>
      <c r="Y39" s="42">
        <f>FieldData!X10</f>
        <v>2400</v>
      </c>
      <c r="Z39" s="42">
        <f>FieldData!Y10</f>
        <v>6000</v>
      </c>
      <c r="AA39" s="42">
        <f>FieldData!Z10</f>
        <v>6000</v>
      </c>
      <c r="AB39" s="42">
        <f>FieldData!AA10</f>
        <v>6000</v>
      </c>
      <c r="AC39" s="42">
        <f>FieldData!AB10</f>
        <v>2400</v>
      </c>
      <c r="AD39" s="42">
        <f>FieldData!AC10</f>
        <v>2400</v>
      </c>
      <c r="AE39" s="42">
        <f>FieldData!AD10</f>
        <v>2400</v>
      </c>
      <c r="AF39" s="42">
        <f>FieldData!AE10</f>
        <v>2400</v>
      </c>
      <c r="AG39" s="42">
        <f>FieldData!AF10</f>
        <v>2400</v>
      </c>
      <c r="AH39" s="3"/>
      <c r="AI39" s="36"/>
      <c r="AJ39" s="7"/>
      <c r="AK39" s="3"/>
      <c r="AL39" s="3"/>
      <c r="AM39" s="3"/>
      <c r="AN39" s="3"/>
    </row>
    <row r="40" spans="2:49">
      <c r="B40" s="35" t="s">
        <v>126</v>
      </c>
      <c r="C40" s="19" t="s">
        <v>92</v>
      </c>
      <c r="D40" s="42">
        <f>FieldData!C9</f>
        <v>0</v>
      </c>
      <c r="E40" s="42">
        <f>FieldData!D9</f>
        <v>0</v>
      </c>
      <c r="F40" s="42">
        <f>FieldData!E9</f>
        <v>0</v>
      </c>
      <c r="G40" s="42">
        <f>FieldData!F9</f>
        <v>0</v>
      </c>
      <c r="H40" s="42">
        <f>FieldData!G9</f>
        <v>0</v>
      </c>
      <c r="I40" s="42">
        <f>FieldData!H9</f>
        <v>0</v>
      </c>
      <c r="J40" s="42">
        <f>FieldData!I9</f>
        <v>0</v>
      </c>
      <c r="K40" s="42">
        <f>FieldData!J9</f>
        <v>0</v>
      </c>
      <c r="L40" s="42">
        <f>FieldData!K9</f>
        <v>0</v>
      </c>
      <c r="M40" s="42">
        <f>FieldData!L9</f>
        <v>0</v>
      </c>
      <c r="N40" s="42">
        <f>FieldData!M9</f>
        <v>0</v>
      </c>
      <c r="O40" s="42">
        <f>FieldData!N9</f>
        <v>0</v>
      </c>
      <c r="P40" s="42">
        <f>FieldData!O9</f>
        <v>0</v>
      </c>
      <c r="Q40" s="42">
        <f>FieldData!P9</f>
        <v>0</v>
      </c>
      <c r="R40" s="42">
        <f>FieldData!Q9</f>
        <v>0</v>
      </c>
      <c r="S40" s="42">
        <f>FieldData!R9</f>
        <v>0</v>
      </c>
      <c r="T40" s="42">
        <f>FieldData!S9</f>
        <v>0</v>
      </c>
      <c r="U40" s="42">
        <f>FieldData!T9</f>
        <v>0</v>
      </c>
      <c r="V40" s="42">
        <f>FieldData!U9</f>
        <v>0</v>
      </c>
      <c r="W40" s="42">
        <f>FieldData!V9</f>
        <v>0</v>
      </c>
      <c r="X40" s="42">
        <f>FieldData!W9</f>
        <v>0</v>
      </c>
      <c r="Y40" s="42">
        <f>FieldData!X9</f>
        <v>0</v>
      </c>
      <c r="Z40" s="42">
        <f>FieldData!Y9</f>
        <v>0</v>
      </c>
      <c r="AA40" s="42">
        <f>FieldData!Z9</f>
        <v>0</v>
      </c>
      <c r="AB40" s="42">
        <f>FieldData!AA9</f>
        <v>0</v>
      </c>
      <c r="AC40" s="42">
        <f>FieldData!AB9</f>
        <v>0</v>
      </c>
      <c r="AD40" s="42">
        <f>FieldData!AC9</f>
        <v>0</v>
      </c>
      <c r="AE40" s="42">
        <f>FieldData!AD9</f>
        <v>0</v>
      </c>
      <c r="AF40" s="42">
        <f>FieldData!AE9</f>
        <v>0</v>
      </c>
      <c r="AG40" s="42">
        <f>FieldData!AF9</f>
        <v>0</v>
      </c>
      <c r="AH40" s="3"/>
      <c r="AI40" s="36"/>
      <c r="AJ40" s="7"/>
      <c r="AK40" s="3"/>
      <c r="AL40" s="3"/>
      <c r="AM40" s="3"/>
      <c r="AN40" s="3"/>
    </row>
    <row r="41" spans="2:49" ht="15.75" customHeight="1">
      <c r="B41" s="35"/>
      <c r="C41" s="19"/>
      <c r="D41" s="42"/>
      <c r="E41" s="41"/>
      <c r="F41" s="41"/>
      <c r="G41" s="41"/>
      <c r="H41" s="41"/>
      <c r="I41" s="41"/>
      <c r="J41" s="29"/>
      <c r="K41" s="29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3"/>
      <c r="AI41" s="36"/>
      <c r="AJ41" s="7"/>
      <c r="AK41" s="3"/>
      <c r="AL41" s="3"/>
      <c r="AM41" s="3"/>
      <c r="AN41" s="3"/>
    </row>
    <row r="42" spans="2:49">
      <c r="C42" s="6"/>
    </row>
    <row r="43" spans="2:49" s="79" customFormat="1">
      <c r="B43" s="191" t="s">
        <v>37</v>
      </c>
      <c r="C43" s="192"/>
      <c r="D43" s="190"/>
      <c r="E43" s="190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80"/>
      <c r="AI43" s="80"/>
      <c r="AJ43" s="80"/>
      <c r="AK43" s="80"/>
      <c r="AL43" s="80"/>
      <c r="AM43" s="80"/>
      <c r="AN43" s="80"/>
    </row>
    <row r="44" spans="2:49" s="79" customFormat="1">
      <c r="B44" s="184" t="s">
        <v>188</v>
      </c>
      <c r="C44" s="193">
        <f>SUM('Tabel I-O'!D34:AG34)</f>
        <v>1479</v>
      </c>
      <c r="D44" s="190"/>
      <c r="E44" s="190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80"/>
      <c r="AI44" s="80"/>
      <c r="AJ44" s="80"/>
      <c r="AK44" s="80"/>
      <c r="AL44" s="80"/>
      <c r="AM44" s="80"/>
      <c r="AN44" s="80"/>
    </row>
    <row r="45" spans="2:49" s="79" customFormat="1">
      <c r="B45" s="184" t="s">
        <v>189</v>
      </c>
      <c r="C45" s="148">
        <f>AVERAGE(D34:AG34)</f>
        <v>49.3</v>
      </c>
      <c r="D45" s="190"/>
      <c r="E45" s="190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80"/>
      <c r="AI45" s="80"/>
      <c r="AJ45" s="80"/>
      <c r="AK45" s="80"/>
      <c r="AL45" s="80"/>
      <c r="AM45" s="80"/>
      <c r="AN45" s="80"/>
    </row>
    <row r="46" spans="2:49" s="79" customFormat="1">
      <c r="B46" s="191" t="s">
        <v>190</v>
      </c>
      <c r="C46" s="192"/>
      <c r="D46" s="190">
        <f>IF('Budget Privat'!D42&lt;0,D34,0)</f>
        <v>85</v>
      </c>
      <c r="E46" s="190">
        <f>IF('Budget Privat'!E42&lt;0,E34,0)</f>
        <v>32</v>
      </c>
      <c r="F46" s="190">
        <f>IF('Budget Privat'!F42&lt;0,F34,0)</f>
        <v>30</v>
      </c>
      <c r="G46" s="190">
        <f>IF('Budget Privat'!G42&lt;0,G34,0)</f>
        <v>30</v>
      </c>
      <c r="H46" s="190">
        <f>IF('Budget Privat'!H42&lt;0,H34,0)</f>
        <v>30</v>
      </c>
      <c r="I46" s="190">
        <f>IF('Budget Privat'!I42&lt;0,I34,0)</f>
        <v>0</v>
      </c>
      <c r="J46" s="190">
        <f>IF('Budget Privat'!J42&lt;0,J34,0)</f>
        <v>0</v>
      </c>
      <c r="K46" s="190">
        <f>IF('Budget Privat'!K42&lt;0,K34,0)</f>
        <v>0</v>
      </c>
      <c r="L46" s="190">
        <f>IF('Budget Privat'!L42&lt;0,L34,0)</f>
        <v>0</v>
      </c>
      <c r="M46" s="190">
        <f>IF('Budget Privat'!M42&lt;0,M34,0)</f>
        <v>0</v>
      </c>
      <c r="N46" s="190">
        <f>IF('Budget Privat'!N42&lt;0,N34,0)</f>
        <v>0</v>
      </c>
      <c r="O46" s="190">
        <f>IF('Budget Privat'!O42&lt;0,O34,0)</f>
        <v>0</v>
      </c>
      <c r="P46" s="190">
        <f>IF('Budget Privat'!P42&lt;0,P34,0)</f>
        <v>0</v>
      </c>
      <c r="Q46" s="190">
        <f>IF('Budget Privat'!Q42&lt;0,Q34,0)</f>
        <v>0</v>
      </c>
      <c r="R46" s="190">
        <f>IF('Budget Privat'!R42&lt;0,R34,0)</f>
        <v>56</v>
      </c>
      <c r="S46" s="190">
        <f>IF('Budget Privat'!S42&lt;0,S34,0)</f>
        <v>50</v>
      </c>
      <c r="T46" s="190">
        <f>IF('Budget Privat'!T42&lt;0,T34,0)</f>
        <v>32</v>
      </c>
      <c r="U46" s="190">
        <f>IF('Budget Privat'!U42&lt;0,U34,0)</f>
        <v>20</v>
      </c>
      <c r="V46" s="190">
        <f>IF('Budget Privat'!V42&lt;0,V34,0)</f>
        <v>20</v>
      </c>
      <c r="W46" s="190">
        <f>IF('Budget Privat'!W42&lt;0,W34,0)</f>
        <v>20</v>
      </c>
      <c r="X46" s="190">
        <f>IF('Budget Privat'!X42&lt;0,X34,0)</f>
        <v>0</v>
      </c>
      <c r="Y46" s="190">
        <f>IF('Budget Privat'!Y42&lt;0,Y34,0)</f>
        <v>0</v>
      </c>
      <c r="Z46" s="190">
        <f>IF('Budget Privat'!Z42&lt;0,Z34,0)</f>
        <v>0</v>
      </c>
      <c r="AA46" s="190">
        <f>IF('Budget Privat'!AA42&lt;0,AA34,0)</f>
        <v>0</v>
      </c>
      <c r="AB46" s="190">
        <f>IF('Budget Privat'!AB42&lt;0,AB34,0)</f>
        <v>0</v>
      </c>
      <c r="AC46" s="190">
        <f>IF('Budget Privat'!AC42&lt;0,AC34,0)</f>
        <v>0</v>
      </c>
      <c r="AD46" s="190">
        <f>IF('Budget Privat'!AD42&lt;0,AD34,0)</f>
        <v>0</v>
      </c>
      <c r="AE46" s="190">
        <f>IF('Budget Privat'!AE42&lt;0,AE34,0)</f>
        <v>0</v>
      </c>
      <c r="AF46" s="190">
        <f>IF('Budget Privat'!AF42&lt;0,AF34,0)</f>
        <v>0</v>
      </c>
      <c r="AG46" s="190">
        <f>IF('Budget Privat'!AG42&lt;0,AG34,0)</f>
        <v>0</v>
      </c>
      <c r="AH46" s="80"/>
      <c r="AI46" s="80"/>
      <c r="AJ46" s="80"/>
      <c r="AK46" s="80"/>
      <c r="AL46" s="80"/>
      <c r="AM46" s="80"/>
      <c r="AN46" s="80"/>
    </row>
    <row r="47" spans="2:49" s="79" customFormat="1">
      <c r="B47" s="185" t="s">
        <v>191</v>
      </c>
      <c r="C47" s="193">
        <f>SUM(D46:AG46)</f>
        <v>405</v>
      </c>
      <c r="D47" s="190"/>
      <c r="E47" s="190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80"/>
      <c r="AI47" s="80"/>
      <c r="AJ47" s="80"/>
      <c r="AK47" s="80"/>
      <c r="AL47" s="80"/>
      <c r="AM47" s="80"/>
      <c r="AN47" s="80"/>
    </row>
    <row r="48" spans="2:49" s="79" customFormat="1">
      <c r="B48" s="185" t="s">
        <v>192</v>
      </c>
      <c r="C48" s="194">
        <f>COUNTIF('Budget Privat'!D42:AG42,"&lt; 0")</f>
        <v>11</v>
      </c>
      <c r="D48" s="190"/>
      <c r="E48" s="190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80"/>
      <c r="AI48" s="80"/>
      <c r="AJ48" s="80"/>
      <c r="AK48" s="80"/>
      <c r="AL48" s="80"/>
      <c r="AM48" s="80"/>
      <c r="AN48" s="80"/>
    </row>
    <row r="49" spans="2:40" s="79" customFormat="1">
      <c r="B49" s="185" t="s">
        <v>193</v>
      </c>
      <c r="C49" s="195">
        <f>C47/C48</f>
        <v>36.81818181818182</v>
      </c>
      <c r="D49" s="190"/>
      <c r="E49" s="190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</row>
    <row r="50" spans="2:40" s="79" customFormat="1">
      <c r="B50" s="185" t="s">
        <v>198</v>
      </c>
      <c r="C50" s="195">
        <f>AVERAGE(H34:AG34)</f>
        <v>50.07692307692308</v>
      </c>
      <c r="D50" s="190"/>
      <c r="E50" s="190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</row>
    <row r="51" spans="2:40" s="79" customFormat="1">
      <c r="B51" s="191" t="s">
        <v>194</v>
      </c>
      <c r="C51" s="193">
        <f>D34</f>
        <v>85</v>
      </c>
      <c r="D51" s="196"/>
      <c r="E51" s="196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</row>
    <row r="52" spans="2:40" s="79" customFormat="1">
      <c r="B52" s="165" t="s">
        <v>195</v>
      </c>
      <c r="C52" s="192"/>
      <c r="D52" s="197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</row>
    <row r="53" spans="2:40" s="79" customFormat="1">
      <c r="B53" s="147" t="s">
        <v>102</v>
      </c>
      <c r="C53" s="196">
        <f>SUM(D39:AG39)</f>
        <v>69600</v>
      </c>
      <c r="D53" s="197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</row>
    <row r="54" spans="2:40" s="79" customFormat="1">
      <c r="B54" s="147" t="s">
        <v>126</v>
      </c>
      <c r="C54" s="196">
        <f>SUM(D40:AG40)</f>
        <v>0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80"/>
      <c r="AI54" s="80"/>
      <c r="AJ54" s="80"/>
      <c r="AK54" s="80"/>
      <c r="AL54" s="80"/>
      <c r="AM54" s="80"/>
      <c r="AN54" s="80"/>
    </row>
    <row r="55" spans="2:40" s="79" customFormat="1">
      <c r="B55" s="205" t="s">
        <v>197</v>
      </c>
      <c r="C55" s="196">
        <f>AVERAGE(D39:AG39)</f>
        <v>2400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80"/>
      <c r="AI55" s="80"/>
      <c r="AJ55" s="80"/>
      <c r="AK55" s="80"/>
      <c r="AL55" s="80"/>
      <c r="AM55" s="80"/>
      <c r="AN55" s="80"/>
    </row>
    <row r="56" spans="2:40">
      <c r="B56" s="198" t="s">
        <v>182</v>
      </c>
      <c r="C56" s="192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</row>
    <row r="57" spans="2:40">
      <c r="B57" s="147" t="s">
        <v>102</v>
      </c>
      <c r="C57" s="199">
        <f>(C53/1000)/C44</f>
        <v>4.7058823529411764E-2</v>
      </c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</row>
    <row r="58" spans="2:40">
      <c r="B58" s="147" t="s">
        <v>126</v>
      </c>
      <c r="C58" s="199">
        <f>(C54/1000)/C44</f>
        <v>0</v>
      </c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</row>
    <row r="59" spans="2:40">
      <c r="C59" s="3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</row>
    <row r="60" spans="2:40">
      <c r="B60" s="79"/>
      <c r="C60" s="79"/>
      <c r="D60" s="39"/>
      <c r="E60" s="39"/>
      <c r="G60" s="39"/>
      <c r="H60" s="39"/>
      <c r="L60" s="39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9"/>
      <c r="AD60" s="39"/>
      <c r="AE60" s="39"/>
      <c r="AF60" s="39"/>
      <c r="AG60" s="39"/>
    </row>
    <row r="61" spans="2:40">
      <c r="B61" s="79"/>
      <c r="C61" s="51"/>
      <c r="D61" s="39"/>
      <c r="E61" s="39"/>
      <c r="G61" s="39"/>
      <c r="H61" s="39"/>
      <c r="L61" s="39"/>
      <c r="M61" s="39"/>
      <c r="O61" s="39"/>
      <c r="P61" s="39"/>
      <c r="Q61" s="39"/>
      <c r="R61" s="81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2:40">
      <c r="B62" s="79"/>
      <c r="C62" s="51"/>
      <c r="D62" s="39"/>
      <c r="E62" s="39"/>
      <c r="G62" s="39"/>
      <c r="H62" s="39"/>
      <c r="L62" s="39"/>
      <c r="M62" s="39"/>
      <c r="O62" s="39"/>
      <c r="P62" s="39"/>
      <c r="Q62" s="39"/>
      <c r="R62" s="81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2:40">
      <c r="B63" s="79"/>
      <c r="C63" s="51"/>
      <c r="D63" s="39"/>
      <c r="E63" s="39"/>
      <c r="G63" s="39"/>
      <c r="H63" s="39"/>
      <c r="L63" s="39"/>
      <c r="M63" s="39"/>
      <c r="O63" s="39"/>
      <c r="P63" s="39"/>
      <c r="Q63" s="39"/>
      <c r="R63" s="81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2:40">
      <c r="B64" s="79"/>
      <c r="C64" s="51"/>
      <c r="D64" s="39"/>
      <c r="E64" s="39"/>
      <c r="G64" s="39"/>
      <c r="H64" s="39"/>
      <c r="L64" s="39"/>
      <c r="M64" s="39"/>
      <c r="O64" s="39"/>
      <c r="P64" s="39"/>
      <c r="Q64" s="39"/>
      <c r="R64" s="81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2:33">
      <c r="B65" s="79"/>
      <c r="C65" s="51"/>
      <c r="D65" s="39"/>
      <c r="E65" s="39"/>
      <c r="G65" s="39"/>
      <c r="H65" s="39"/>
      <c r="L65" s="39"/>
      <c r="M65" s="39"/>
      <c r="O65" s="39"/>
      <c r="P65" s="39"/>
      <c r="Q65" s="39"/>
      <c r="R65" s="81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2:33">
      <c r="B66" s="79"/>
      <c r="C66" s="51"/>
      <c r="D66" s="39"/>
      <c r="E66" s="39"/>
      <c r="F66" s="51"/>
      <c r="G66" s="51"/>
      <c r="H66" s="51"/>
      <c r="I66" s="51"/>
      <c r="J66" s="51"/>
      <c r="K66" s="51"/>
      <c r="L66" s="51"/>
      <c r="M66" s="8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</row>
    <row r="67" spans="2:33">
      <c r="B67" s="87"/>
      <c r="C67" s="51"/>
      <c r="D67" s="39"/>
      <c r="E67" s="39"/>
      <c r="F67" s="51"/>
      <c r="G67" s="51"/>
      <c r="H67" s="51"/>
      <c r="I67" s="51"/>
      <c r="J67" s="51"/>
      <c r="K67" s="51"/>
      <c r="L67" s="51"/>
      <c r="M67" s="8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</row>
    <row r="68" spans="2:33">
      <c r="B68" s="79"/>
      <c r="C68" s="51"/>
      <c r="D68" s="39"/>
      <c r="E68" s="39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</row>
    <row r="69" spans="2:33">
      <c r="B69" s="79"/>
      <c r="C69" s="51"/>
      <c r="D69" s="86"/>
      <c r="E69" s="39"/>
      <c r="G69" s="39"/>
      <c r="H69" s="39"/>
      <c r="L69" s="39"/>
      <c r="M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2:33">
      <c r="B70" s="79"/>
      <c r="C70" s="51"/>
      <c r="D70" s="39"/>
      <c r="E70" s="39"/>
      <c r="G70" s="39"/>
      <c r="H70" s="39"/>
      <c r="L70" s="39"/>
      <c r="M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AW50"/>
  <sheetViews>
    <sheetView zoomScale="85" zoomScaleNormal="85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AH45" sqref="AG45:AH48"/>
    </sheetView>
  </sheetViews>
  <sheetFormatPr defaultRowHeight="15"/>
  <cols>
    <col min="1" max="1" width="9.140625" style="3"/>
    <col min="2" max="2" width="32.42578125" style="3" customWidth="1"/>
    <col min="3" max="3" width="12.140625" style="4" customWidth="1"/>
    <col min="4" max="4" width="11.5703125" style="8" bestFit="1" customWidth="1"/>
    <col min="5" max="5" width="10.5703125" style="8" bestFit="1" customWidth="1"/>
    <col min="6" max="6" width="10.5703125" style="3" bestFit="1" customWidth="1"/>
    <col min="7" max="8" width="12" style="3" bestFit="1" customWidth="1"/>
    <col min="9" max="9" width="11.5703125" style="3" bestFit="1" customWidth="1"/>
    <col min="10" max="35" width="12" style="3" bestFit="1" customWidth="1"/>
    <col min="36" max="16384" width="9.140625" style="3"/>
  </cols>
  <sheetData>
    <row r="1" spans="2:49" s="69" customFormat="1" ht="18.75">
      <c r="B1" s="66" t="s">
        <v>21</v>
      </c>
      <c r="C1" s="67"/>
      <c r="D1" s="68"/>
      <c r="E1" s="68"/>
    </row>
    <row r="2" spans="2:49" s="69" customFormat="1">
      <c r="B2" s="69" t="str">
        <f>'Tabel Harga'!C2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 ht="12.75" customHeight="1">
      <c r="B4" s="210" t="s">
        <v>77</v>
      </c>
      <c r="C4" s="208" t="s">
        <v>0</v>
      </c>
      <c r="D4" s="213" t="s">
        <v>42</v>
      </c>
      <c r="E4" s="213" t="s">
        <v>43</v>
      </c>
      <c r="F4" s="213" t="s">
        <v>44</v>
      </c>
      <c r="G4" s="213" t="s">
        <v>45</v>
      </c>
      <c r="H4" s="213" t="s">
        <v>46</v>
      </c>
      <c r="I4" s="213" t="s">
        <v>47</v>
      </c>
      <c r="J4" s="213" t="s">
        <v>48</v>
      </c>
      <c r="K4" s="213" t="s">
        <v>49</v>
      </c>
      <c r="L4" s="213" t="s">
        <v>50</v>
      </c>
      <c r="M4" s="213" t="s">
        <v>51</v>
      </c>
      <c r="N4" s="213" t="s">
        <v>52</v>
      </c>
      <c r="O4" s="213" t="s">
        <v>53</v>
      </c>
      <c r="P4" s="213" t="s">
        <v>54</v>
      </c>
      <c r="Q4" s="213" t="s">
        <v>55</v>
      </c>
      <c r="R4" s="213" t="s">
        <v>56</v>
      </c>
      <c r="S4" s="213" t="s">
        <v>57</v>
      </c>
      <c r="T4" s="213" t="s">
        <v>58</v>
      </c>
      <c r="U4" s="213" t="s">
        <v>59</v>
      </c>
      <c r="V4" s="213" t="s">
        <v>60</v>
      </c>
      <c r="W4" s="213" t="s">
        <v>61</v>
      </c>
      <c r="X4" s="213" t="s">
        <v>62</v>
      </c>
      <c r="Y4" s="213" t="s">
        <v>63</v>
      </c>
      <c r="Z4" s="213" t="s">
        <v>64</v>
      </c>
      <c r="AA4" s="213" t="s">
        <v>65</v>
      </c>
      <c r="AB4" s="213" t="s">
        <v>66</v>
      </c>
      <c r="AC4" s="213" t="s">
        <v>67</v>
      </c>
      <c r="AD4" s="213" t="s">
        <v>68</v>
      </c>
      <c r="AE4" s="213" t="s">
        <v>69</v>
      </c>
      <c r="AF4" s="213" t="s">
        <v>70</v>
      </c>
      <c r="AG4" s="213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 ht="21" customHeight="1">
      <c r="B5" s="211"/>
      <c r="C5" s="209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9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170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 t="s">
        <v>32</v>
      </c>
      <c r="C11" s="19" t="s">
        <v>5</v>
      </c>
      <c r="D11" s="12">
        <f>'Tabel I-O'!D11*'Tabel Harga'!$E$11</f>
        <v>0</v>
      </c>
      <c r="E11" s="12">
        <f>'Tabel I-O'!E11*'Tabel Harga'!$E$11</f>
        <v>0</v>
      </c>
      <c r="F11" s="12">
        <f>'Tabel I-O'!F11*'Tabel Harga'!$E$11</f>
        <v>0</v>
      </c>
      <c r="G11" s="12">
        <f>'Tabel I-O'!G11*'Tabel Harga'!$E$11</f>
        <v>0</v>
      </c>
      <c r="H11" s="12">
        <f>'Tabel I-O'!H11*'Tabel Harga'!$E$11</f>
        <v>0</v>
      </c>
      <c r="I11" s="12">
        <f>'Tabel I-O'!I11*'Tabel Harga'!$E$11</f>
        <v>0</v>
      </c>
      <c r="J11" s="12">
        <f>'Tabel I-O'!J11*'Tabel Harga'!$E$11</f>
        <v>0</v>
      </c>
      <c r="K11" s="12">
        <f>'Tabel I-O'!K11*'Tabel Harga'!$E$11</f>
        <v>0</v>
      </c>
      <c r="L11" s="12">
        <f>'Tabel I-O'!L11*'Tabel Harga'!$E$11</f>
        <v>0</v>
      </c>
      <c r="M11" s="12">
        <f>'Tabel I-O'!M11*'Tabel Harga'!$E$11</f>
        <v>0</v>
      </c>
      <c r="N11" s="12">
        <f>'Tabel I-O'!N11*'Tabel Harga'!$E$11</f>
        <v>0</v>
      </c>
      <c r="O11" s="12">
        <f>'Tabel I-O'!O11*'Tabel Harga'!$E$11</f>
        <v>0</v>
      </c>
      <c r="P11" s="12">
        <f>'Tabel I-O'!P11*'Tabel Harga'!$E$11</f>
        <v>0</v>
      </c>
      <c r="Q11" s="12">
        <f>'Tabel I-O'!Q11*'Tabel Harga'!$E$11</f>
        <v>0</v>
      </c>
      <c r="R11" s="12">
        <f>'Tabel I-O'!R11*'Tabel Harga'!$E$11</f>
        <v>0</v>
      </c>
      <c r="S11" s="12">
        <f>'Tabel I-O'!S11*'Tabel Harga'!$E$11</f>
        <v>0</v>
      </c>
      <c r="T11" s="12">
        <f>'Tabel I-O'!T11*'Tabel Harga'!$E$11</f>
        <v>0</v>
      </c>
      <c r="U11" s="12">
        <f>'Tabel I-O'!U11*'Tabel Harga'!$E$11</f>
        <v>0</v>
      </c>
      <c r="V11" s="12">
        <f>'Tabel I-O'!V11*'Tabel Harga'!$E$11</f>
        <v>0</v>
      </c>
      <c r="W11" s="12">
        <f>'Tabel I-O'!W11*'Tabel Harga'!$E$11</f>
        <v>0</v>
      </c>
      <c r="X11" s="12">
        <f>'Tabel I-O'!X11*'Tabel Harga'!$E$11</f>
        <v>0</v>
      </c>
      <c r="Y11" s="12">
        <f>'Tabel I-O'!Y11*'Tabel Harga'!$E$11</f>
        <v>0</v>
      </c>
      <c r="Z11" s="12">
        <f>'Tabel I-O'!Z11*'Tabel Harga'!$E$11</f>
        <v>0</v>
      </c>
      <c r="AA11" s="12">
        <f>'Tabel I-O'!AA11*'Tabel Harga'!$E$11</f>
        <v>0</v>
      </c>
      <c r="AB11" s="12">
        <f>'Tabel I-O'!AB11*'Tabel Harga'!$E$11</f>
        <v>0</v>
      </c>
      <c r="AC11" s="12">
        <f>'Tabel I-O'!AC11*'Tabel Harga'!$E$11</f>
        <v>0</v>
      </c>
      <c r="AD11" s="12">
        <f>'Tabel I-O'!AD11*'Tabel Harga'!$E$11</f>
        <v>0</v>
      </c>
      <c r="AE11" s="12">
        <f>'Tabel I-O'!AE11*'Tabel Harga'!$E$11</f>
        <v>0</v>
      </c>
      <c r="AF11" s="12">
        <f>'Tabel I-O'!AF11*'Tabel Harga'!$E$11</f>
        <v>0</v>
      </c>
      <c r="AG11" s="12">
        <f>'Tabel I-O'!AG11*'Tabel Harga'!$E$11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 t="s">
        <v>102</v>
      </c>
      <c r="C14" s="19" t="s">
        <v>5</v>
      </c>
      <c r="D14" s="12">
        <f>'Tabel I-O'!D14*'Tabel Harga'!$E$14</f>
        <v>5000000</v>
      </c>
      <c r="E14" s="12">
        <f>'Tabel I-O'!E14*'Tabel Harga'!$E$14</f>
        <v>500000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0</v>
      </c>
      <c r="Q14" s="12">
        <f>'Tabel I-O'!Q14*'Tabel Harga'!$E$14</f>
        <v>0</v>
      </c>
      <c r="R14" s="12">
        <f>'Tabel I-O'!R14*'Tabel Harga'!$E$14</f>
        <v>0</v>
      </c>
      <c r="S14" s="12">
        <f>'Tabel I-O'!S14*'Tabel Harga'!$E$14</f>
        <v>5000000</v>
      </c>
      <c r="T14" s="12">
        <f>'Tabel I-O'!T14*'Tabel Harga'!$E$14</f>
        <v>500000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35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>
      <c r="B16" s="16" t="s">
        <v>7</v>
      </c>
      <c r="C16" s="19"/>
      <c r="D16" s="12"/>
      <c r="E16" s="10"/>
      <c r="F16" s="10"/>
      <c r="G16" s="10"/>
      <c r="H16" s="10"/>
      <c r="I16" s="10"/>
      <c r="J16" s="10"/>
      <c r="K16" s="11"/>
      <c r="L16" s="10"/>
      <c r="M16" s="10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78" t="s">
        <v>38</v>
      </c>
      <c r="C17" s="19" t="s">
        <v>5</v>
      </c>
      <c r="D17" s="12">
        <f>'Tabel I-O'!D17*'Tabel Harga'!$E$17</f>
        <v>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25000</v>
      </c>
      <c r="H17" s="12">
        <f>'Tabel I-O'!H17*'Tabel Harga'!$E$17</f>
        <v>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0</v>
      </c>
      <c r="Q17" s="12">
        <f>'Tabel I-O'!Q17*'Tabel Harga'!$E$17</f>
        <v>25000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0</v>
      </c>
      <c r="U17" s="12">
        <f>'Tabel I-O'!U17*'Tabel Harga'!$E$17</f>
        <v>0</v>
      </c>
      <c r="V17" s="12">
        <f>'Tabel I-O'!V17*'Tabel Harga'!$E$17</f>
        <v>25000</v>
      </c>
      <c r="W17" s="12">
        <f>'Tabel I-O'!W17*'Tabel Harga'!$E$17</f>
        <v>0</v>
      </c>
      <c r="X17" s="12">
        <f>'Tabel I-O'!X17*'Tabel Harga'!$E$17</f>
        <v>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25000</v>
      </c>
      <c r="AB17" s="12">
        <f>'Tabel I-O'!AB17*'Tabel Harga'!$E$17</f>
        <v>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35" t="s">
        <v>39</v>
      </c>
      <c r="C18" s="19" t="s">
        <v>5</v>
      </c>
      <c r="D18" s="12">
        <f>'Tabel I-O'!D18*'Tabel Harga'!$E$18</f>
        <v>50000</v>
      </c>
      <c r="E18" s="12">
        <f>'Tabel I-O'!E18*'Tabel Harga'!$E$18</f>
        <v>0</v>
      </c>
      <c r="F18" s="12">
        <f>'Tabel I-O'!F18*'Tabel Harga'!$E$18</f>
        <v>50000</v>
      </c>
      <c r="G18" s="12">
        <f>'Tabel I-O'!G18*'Tabel Harga'!$E$18</f>
        <v>0</v>
      </c>
      <c r="H18" s="12">
        <f>'Tabel I-O'!H18*'Tabel Harga'!$E$18</f>
        <v>50000</v>
      </c>
      <c r="I18" s="12">
        <f>'Tabel I-O'!I18*'Tabel Harga'!$E$18</f>
        <v>0</v>
      </c>
      <c r="J18" s="12">
        <f>'Tabel I-O'!J18*'Tabel Harga'!$E$18</f>
        <v>50000</v>
      </c>
      <c r="K18" s="12">
        <f>'Tabel I-O'!K18*'Tabel Harga'!$E$18</f>
        <v>0</v>
      </c>
      <c r="L18" s="12">
        <f>'Tabel I-O'!L18*'Tabel Harga'!$E$18</f>
        <v>50000</v>
      </c>
      <c r="M18" s="12">
        <f>'Tabel I-O'!M18*'Tabel Harga'!$E$18</f>
        <v>0</v>
      </c>
      <c r="N18" s="12">
        <f>'Tabel I-O'!N18*'Tabel Harga'!$E$18</f>
        <v>50000</v>
      </c>
      <c r="O18" s="12">
        <f>'Tabel I-O'!O18*'Tabel Harga'!$E$18</f>
        <v>0</v>
      </c>
      <c r="P18" s="12">
        <f>'Tabel I-O'!P18*'Tabel Harga'!$E$18</f>
        <v>50000</v>
      </c>
      <c r="Q18" s="12">
        <f>'Tabel I-O'!Q18*'Tabel Harga'!$E$18</f>
        <v>0</v>
      </c>
      <c r="R18" s="12">
        <f>'Tabel I-O'!R18*'Tabel Harga'!$E$18</f>
        <v>50000</v>
      </c>
      <c r="S18" s="12">
        <f>'Tabel I-O'!S18*'Tabel Harga'!$E$18</f>
        <v>0</v>
      </c>
      <c r="T18" s="12">
        <f>'Tabel I-O'!T18*'Tabel Harga'!$E$18</f>
        <v>50000</v>
      </c>
      <c r="U18" s="12">
        <f>'Tabel I-O'!U18*'Tabel Harga'!$E$18</f>
        <v>0</v>
      </c>
      <c r="V18" s="12">
        <f>'Tabel I-O'!V18*'Tabel Harga'!$E$18</f>
        <v>50000</v>
      </c>
      <c r="W18" s="12">
        <f>'Tabel I-O'!W18*'Tabel Harga'!$E$18</f>
        <v>0</v>
      </c>
      <c r="X18" s="12">
        <f>'Tabel I-O'!X18*'Tabel Harga'!$E$18</f>
        <v>50000</v>
      </c>
      <c r="Y18" s="12">
        <f>'Tabel I-O'!Y18*'Tabel Harga'!$E$18</f>
        <v>0</v>
      </c>
      <c r="Z18" s="12">
        <f>'Tabel I-O'!Z18*'Tabel Harga'!$E$18</f>
        <v>50000</v>
      </c>
      <c r="AA18" s="12">
        <f>'Tabel I-O'!AA18*'Tabel Harga'!$E$18</f>
        <v>0</v>
      </c>
      <c r="AB18" s="12">
        <f>'Tabel I-O'!AB18*'Tabel Harga'!$E$18</f>
        <v>50000</v>
      </c>
      <c r="AC18" s="12">
        <f>'Tabel I-O'!AC18*'Tabel Harga'!$E$18</f>
        <v>0</v>
      </c>
      <c r="AD18" s="12">
        <f>'Tabel I-O'!AD18*'Tabel Harga'!$E$18</f>
        <v>50000</v>
      </c>
      <c r="AE18" s="12">
        <f>'Tabel I-O'!AE18*'Tabel Harga'!$E$18</f>
        <v>0</v>
      </c>
      <c r="AF18" s="12">
        <f>'Tabel I-O'!AF18*'Tabel Harga'!$E$18</f>
        <v>50000</v>
      </c>
      <c r="AG18" s="12">
        <f>'Tabel I-O'!AG18*'Tabel Harga'!$E$18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78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16" t="s">
        <v>37</v>
      </c>
      <c r="C20" s="19"/>
      <c r="D20" s="12"/>
      <c r="E20" s="10"/>
      <c r="F20" s="10"/>
      <c r="G20" s="10"/>
      <c r="H20" s="12"/>
      <c r="I20" s="12"/>
      <c r="J20" s="12"/>
      <c r="K20" s="13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78" t="s">
        <v>40</v>
      </c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2" t="s">
        <v>86</v>
      </c>
      <c r="C22" s="19" t="s">
        <v>5</v>
      </c>
      <c r="D22" s="12">
        <f>'Tabel I-O'!D22*'Tabel Harga'!$E$22</f>
        <v>2250000</v>
      </c>
      <c r="E22" s="12">
        <f>'Tabel I-O'!E22*'Tabel Harga'!$E$22</f>
        <v>0</v>
      </c>
      <c r="F22" s="12">
        <f>'Tabel I-O'!F22*'Tabel Harga'!$E$22</f>
        <v>0</v>
      </c>
      <c r="G22" s="12">
        <f>'Tabel I-O'!G22*'Tabel Harga'!$E$22</f>
        <v>0</v>
      </c>
      <c r="H22" s="12">
        <f>'Tabel I-O'!H22*'Tabel Harga'!$E$22</f>
        <v>0</v>
      </c>
      <c r="I22" s="12">
        <f>'Tabel I-O'!I22*'Tabel Harga'!$E$22</f>
        <v>0</v>
      </c>
      <c r="J22" s="12">
        <f>'Tabel I-O'!J22*'Tabel Harga'!$E$22</f>
        <v>0</v>
      </c>
      <c r="K22" s="12">
        <f>'Tabel I-O'!K22*'Tabel Harga'!$E$22</f>
        <v>0</v>
      </c>
      <c r="L22" s="12">
        <f>'Tabel I-O'!L22*'Tabel Harga'!$E$22</f>
        <v>0</v>
      </c>
      <c r="M22" s="12">
        <f>'Tabel I-O'!M22*'Tabel Harga'!$E$22</f>
        <v>0</v>
      </c>
      <c r="N22" s="12">
        <f>'Tabel I-O'!N22*'Tabel Harga'!$E$22</f>
        <v>0</v>
      </c>
      <c r="O22" s="12">
        <f>'Tabel I-O'!O22*'Tabel Harga'!$E$22</f>
        <v>0</v>
      </c>
      <c r="P22" s="12">
        <f>'Tabel I-O'!P22*'Tabel Harga'!$E$22</f>
        <v>0</v>
      </c>
      <c r="Q22" s="12">
        <f>'Tabel I-O'!Q22*'Tabel Harga'!$E$22</f>
        <v>0</v>
      </c>
      <c r="R22" s="12">
        <f>'Tabel I-O'!R22*'Tabel Harga'!$E$22</f>
        <v>0</v>
      </c>
      <c r="S22" s="12">
        <f>'Tabel I-O'!S22*'Tabel Harga'!$E$22</f>
        <v>0</v>
      </c>
      <c r="T22" s="12">
        <f>'Tabel I-O'!T22*'Tabel Harga'!$E$22</f>
        <v>0</v>
      </c>
      <c r="U22" s="12">
        <f>'Tabel I-O'!U22*'Tabel Harga'!$E$22</f>
        <v>0</v>
      </c>
      <c r="V22" s="12">
        <f>'Tabel I-O'!V22*'Tabel Harga'!$E$22</f>
        <v>0</v>
      </c>
      <c r="W22" s="12">
        <f>'Tabel I-O'!W22*'Tabel Harga'!$E$22</f>
        <v>0</v>
      </c>
      <c r="X22" s="12">
        <f>'Tabel I-O'!X22*'Tabel Harga'!$E$22</f>
        <v>0</v>
      </c>
      <c r="Y22" s="12">
        <f>'Tabel I-O'!Y22*'Tabel Harga'!$E$22</f>
        <v>0</v>
      </c>
      <c r="Z22" s="12">
        <f>'Tabel I-O'!Z22*'Tabel Harga'!$E$22</f>
        <v>0</v>
      </c>
      <c r="AA22" s="12">
        <f>'Tabel I-O'!AA22*'Tabel Harga'!$E$22</f>
        <v>0</v>
      </c>
      <c r="AB22" s="12">
        <f>'Tabel I-O'!AB22*'Tabel Harga'!$E$22</f>
        <v>0</v>
      </c>
      <c r="AC22" s="12">
        <f>'Tabel I-O'!AC22*'Tabel Harga'!$E$22</f>
        <v>0</v>
      </c>
      <c r="AD22" s="12">
        <f>'Tabel I-O'!AD22*'Tabel Harga'!$E$22</f>
        <v>0</v>
      </c>
      <c r="AE22" s="12">
        <f>'Tabel I-O'!AE22*'Tabel Harga'!$E$22</f>
        <v>0</v>
      </c>
      <c r="AF22" s="12">
        <f>'Tabel I-O'!AF22*'Tabel Harga'!$E$22</f>
        <v>0</v>
      </c>
      <c r="AG22" s="12">
        <f>'Tabel I-O'!AG22*'Tabel Harga'!$E$22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2" t="s">
        <v>85</v>
      </c>
      <c r="C23" s="19" t="s">
        <v>5</v>
      </c>
      <c r="D23" s="12">
        <f>'Tabel I-O'!D23*'Tabel Harga'!$E$23</f>
        <v>75000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2" t="s">
        <v>160</v>
      </c>
      <c r="C24" s="19" t="s">
        <v>5</v>
      </c>
      <c r="D24" s="12">
        <f>'Tabel I-O'!D24*'Tabel Harga'!$E$24</f>
        <v>300000</v>
      </c>
      <c r="E24" s="12">
        <f>'Tabel I-O'!E24*'Tabel Harga'!$E$24</f>
        <v>0</v>
      </c>
      <c r="F24" s="12">
        <f>'Tabel I-O'!F24*'Tabel Harga'!$E$24</f>
        <v>0</v>
      </c>
      <c r="G24" s="12">
        <f>'Tabel I-O'!G24*'Tabel Harga'!$E$24</f>
        <v>0</v>
      </c>
      <c r="H24" s="12">
        <f>'Tabel I-O'!H24*'Tabel Harga'!$E$24</f>
        <v>0</v>
      </c>
      <c r="I24" s="12">
        <f>'Tabel I-O'!I24*'Tabel Harga'!$E$24</f>
        <v>0</v>
      </c>
      <c r="J24" s="12">
        <f>'Tabel I-O'!J24*'Tabel Harga'!$E$24</f>
        <v>0</v>
      </c>
      <c r="K24" s="12">
        <f>'Tabel I-O'!K24*'Tabel Harga'!$E$24</f>
        <v>0</v>
      </c>
      <c r="L24" s="12">
        <f>'Tabel I-O'!L24*'Tabel Harga'!$E$24</f>
        <v>0</v>
      </c>
      <c r="M24" s="12">
        <f>'Tabel I-O'!M24*'Tabel Harga'!$E$24</f>
        <v>0</v>
      </c>
      <c r="N24" s="12">
        <f>'Tabel I-O'!N24*'Tabel Harga'!$E$24</f>
        <v>0</v>
      </c>
      <c r="O24" s="12">
        <f>'Tabel I-O'!O24*'Tabel Harga'!$E$24</f>
        <v>0</v>
      </c>
      <c r="P24" s="12">
        <f>'Tabel I-O'!P24*'Tabel Harga'!$E$24</f>
        <v>0</v>
      </c>
      <c r="Q24" s="12">
        <f>'Tabel I-O'!Q24*'Tabel Harga'!$E$24</f>
        <v>0</v>
      </c>
      <c r="R24" s="12">
        <f>'Tabel I-O'!R24*'Tabel Harga'!$E$24</f>
        <v>0</v>
      </c>
      <c r="S24" s="12">
        <f>'Tabel I-O'!S24*'Tabel Harga'!$E$24</f>
        <v>0</v>
      </c>
      <c r="T24" s="12">
        <f>'Tabel I-O'!T24*'Tabel Harga'!$E$24</f>
        <v>0</v>
      </c>
      <c r="U24" s="12">
        <f>'Tabel I-O'!U24*'Tabel Harga'!$E$24</f>
        <v>0</v>
      </c>
      <c r="V24" s="12">
        <f>'Tabel I-O'!V24*'Tabel Harga'!$E$24</f>
        <v>0</v>
      </c>
      <c r="W24" s="12">
        <f>'Tabel I-O'!W24*'Tabel Harga'!$E$24</f>
        <v>0</v>
      </c>
      <c r="X24" s="12">
        <f>'Tabel I-O'!X24*'Tabel Harga'!$E$24</f>
        <v>0</v>
      </c>
      <c r="Y24" s="12">
        <f>'Tabel I-O'!Y24*'Tabel Harga'!$E$24</f>
        <v>0</v>
      </c>
      <c r="Z24" s="12">
        <f>'Tabel I-O'!Z24*'Tabel Harga'!$E$24</f>
        <v>0</v>
      </c>
      <c r="AA24" s="12">
        <f>'Tabel I-O'!AA24*'Tabel Harga'!$E$24</f>
        <v>0</v>
      </c>
      <c r="AB24" s="12">
        <f>'Tabel I-O'!AB24*'Tabel Harga'!$E$24</f>
        <v>0</v>
      </c>
      <c r="AC24" s="12">
        <f>'Tabel I-O'!AC24*'Tabel Harga'!$E$24</f>
        <v>0</v>
      </c>
      <c r="AD24" s="12">
        <f>'Tabel I-O'!AD24*'Tabel Harga'!$E$24</f>
        <v>0</v>
      </c>
      <c r="AE24" s="12">
        <f>'Tabel I-O'!AE24*'Tabel Harga'!$E$24</f>
        <v>0</v>
      </c>
      <c r="AF24" s="12">
        <f>'Tabel I-O'!AF24*'Tabel Harga'!$E$24</f>
        <v>0</v>
      </c>
      <c r="AG24" s="12">
        <f>'Tabel I-O'!AG24*'Tabel Harga'!$E$24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78" t="s">
        <v>89</v>
      </c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2" t="s">
        <v>131</v>
      </c>
      <c r="C26" s="19" t="s">
        <v>5</v>
      </c>
      <c r="D26" s="12">
        <f>'Tabel I-O'!D26*'Tabel Harga'!$E$26</f>
        <v>1500000</v>
      </c>
      <c r="E26" s="12">
        <f>'Tabel I-O'!E26*'Tabel Harga'!$E$26</f>
        <v>150000</v>
      </c>
      <c r="F26" s="12">
        <f>'Tabel I-O'!F26*'Tabel Harga'!$E$26</f>
        <v>0</v>
      </c>
      <c r="G26" s="12">
        <f>'Tabel I-O'!G26*'Tabel Harga'!$E$26</f>
        <v>0</v>
      </c>
      <c r="H26" s="12">
        <f>'Tabel I-O'!H26*'Tabel Harga'!$E$26</f>
        <v>0</v>
      </c>
      <c r="I26" s="12">
        <f>'Tabel I-O'!I26*'Tabel Harga'!$E$26</f>
        <v>0</v>
      </c>
      <c r="J26" s="12">
        <f>'Tabel I-O'!J26*'Tabel Harga'!$E$26</f>
        <v>0</v>
      </c>
      <c r="K26" s="12">
        <f>'Tabel I-O'!K26*'Tabel Harga'!$E$26</f>
        <v>0</v>
      </c>
      <c r="L26" s="12">
        <f>'Tabel I-O'!L26*'Tabel Harga'!$E$26</f>
        <v>0</v>
      </c>
      <c r="M26" s="12">
        <f>'Tabel I-O'!M26*'Tabel Harga'!$E$26</f>
        <v>0</v>
      </c>
      <c r="N26" s="12">
        <f>'Tabel I-O'!N26*'Tabel Harga'!$E$26</f>
        <v>0</v>
      </c>
      <c r="O26" s="12">
        <f>'Tabel I-O'!O26*'Tabel Harga'!$E$26</f>
        <v>0</v>
      </c>
      <c r="P26" s="12">
        <f>'Tabel I-O'!P26*'Tabel Harga'!$E$26</f>
        <v>0</v>
      </c>
      <c r="Q26" s="12">
        <f>'Tabel I-O'!Q26*'Tabel Harga'!$E$26</f>
        <v>0</v>
      </c>
      <c r="R26" s="12">
        <f>'Tabel I-O'!R26*'Tabel Harga'!$E$26</f>
        <v>0</v>
      </c>
      <c r="S26" s="12">
        <f>'Tabel I-O'!S26*'Tabel Harga'!$E$26</f>
        <v>1500000</v>
      </c>
      <c r="T26" s="12">
        <f>'Tabel I-O'!T26*'Tabel Harga'!$E$26</f>
        <v>150000</v>
      </c>
      <c r="U26" s="12">
        <f>'Tabel I-O'!U26*'Tabel Harga'!$E$26</f>
        <v>0</v>
      </c>
      <c r="V26" s="12">
        <f>'Tabel I-O'!V26*'Tabel Harga'!$E$26</f>
        <v>0</v>
      </c>
      <c r="W26" s="12">
        <f>'Tabel I-O'!W26*'Tabel Harga'!$E$26</f>
        <v>0</v>
      </c>
      <c r="X26" s="12">
        <f>'Tabel I-O'!X26*'Tabel Harga'!$E$26</f>
        <v>0</v>
      </c>
      <c r="Y26" s="12">
        <f>'Tabel I-O'!Y26*'Tabel Harga'!$E$26</f>
        <v>0</v>
      </c>
      <c r="Z26" s="12">
        <f>'Tabel I-O'!Z26*'Tabel Harga'!$E$26</f>
        <v>0</v>
      </c>
      <c r="AA26" s="12">
        <f>'Tabel I-O'!AA26*'Tabel Harga'!$E$26</f>
        <v>0</v>
      </c>
      <c r="AB26" s="12">
        <f>'Tabel I-O'!AB26*'Tabel Harga'!$E$26</f>
        <v>0</v>
      </c>
      <c r="AC26" s="12">
        <f>'Tabel I-O'!AC26*'Tabel Harga'!$E$26</f>
        <v>0</v>
      </c>
      <c r="AD26" s="12">
        <f>'Tabel I-O'!AD26*'Tabel Harga'!$E$26</f>
        <v>0</v>
      </c>
      <c r="AE26" s="12">
        <f>'Tabel I-O'!AE26*'Tabel Harga'!$E$26</f>
        <v>0</v>
      </c>
      <c r="AF26" s="12">
        <f>'Tabel I-O'!AF26*'Tabel Harga'!$E$26</f>
        <v>0</v>
      </c>
      <c r="AG26" s="12">
        <f>'Tabel I-O'!AG26*'Tabel Harga'!$E$26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78" t="s">
        <v>132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2" t="s">
        <v>81</v>
      </c>
      <c r="C28" s="19" t="s">
        <v>5</v>
      </c>
      <c r="D28" s="12">
        <f>'Tabel I-O'!D28*'Tabel Harga'!$E$28</f>
        <v>2250000</v>
      </c>
      <c r="E28" s="12">
        <f>'Tabel I-O'!E28*'Tabel Harga'!$E$28</f>
        <v>2250000</v>
      </c>
      <c r="F28" s="12">
        <f>'Tabel I-O'!F28*'Tabel Harga'!$E$28</f>
        <v>2250000</v>
      </c>
      <c r="G28" s="12">
        <f>'Tabel I-O'!G28*'Tabel Harga'!$E$28</f>
        <v>2250000</v>
      </c>
      <c r="H28" s="12">
        <f>'Tabel I-O'!H28*'Tabel Harga'!$E$28</f>
        <v>2250000</v>
      </c>
      <c r="I28" s="12">
        <f>'Tabel I-O'!I28*'Tabel Harga'!$E$28</f>
        <v>2250000</v>
      </c>
      <c r="J28" s="12">
        <f>'Tabel I-O'!J28*'Tabel Harga'!$E$28</f>
        <v>1500000</v>
      </c>
      <c r="K28" s="12">
        <f>'Tabel I-O'!K28*'Tabel Harga'!$E$28</f>
        <v>1500000</v>
      </c>
      <c r="L28" s="12">
        <f>'Tabel I-O'!L28*'Tabel Harga'!$E$28</f>
        <v>1500000</v>
      </c>
      <c r="M28" s="12">
        <f>'Tabel I-O'!M28*'Tabel Harga'!$E$28</f>
        <v>1500000</v>
      </c>
      <c r="N28" s="12">
        <f>'Tabel I-O'!N28*'Tabel Harga'!$E$28</f>
        <v>1500000</v>
      </c>
      <c r="O28" s="12">
        <f>'Tabel I-O'!O28*'Tabel Harga'!$E$28</f>
        <v>1500000</v>
      </c>
      <c r="P28" s="12">
        <f>'Tabel I-O'!P28*'Tabel Harga'!$E$28</f>
        <v>1500000</v>
      </c>
      <c r="Q28" s="12">
        <f>'Tabel I-O'!Q28*'Tabel Harga'!$E$28</f>
        <v>1500000</v>
      </c>
      <c r="R28" s="12">
        <f>'Tabel I-O'!R28*'Tabel Harga'!$E$28</f>
        <v>1500000</v>
      </c>
      <c r="S28" s="12">
        <f>'Tabel I-O'!S28*'Tabel Harga'!$E$28</f>
        <v>2250000</v>
      </c>
      <c r="T28" s="12">
        <f>'Tabel I-O'!T28*'Tabel Harga'!$E$28</f>
        <v>2250000</v>
      </c>
      <c r="U28" s="12">
        <f>'Tabel I-O'!U28*'Tabel Harga'!$E$28</f>
        <v>1500000</v>
      </c>
      <c r="V28" s="12">
        <f>'Tabel I-O'!V28*'Tabel Harga'!$E$28</f>
        <v>1500000</v>
      </c>
      <c r="W28" s="12">
        <f>'Tabel I-O'!W28*'Tabel Harga'!$E$28</f>
        <v>1500000</v>
      </c>
      <c r="X28" s="12">
        <f>'Tabel I-O'!X28*'Tabel Harga'!$E$28</f>
        <v>1500000</v>
      </c>
      <c r="Y28" s="12">
        <f>'Tabel I-O'!Y28*'Tabel Harga'!$E$28</f>
        <v>1500000</v>
      </c>
      <c r="Z28" s="12">
        <f>'Tabel I-O'!Z28*'Tabel Harga'!$E$28</f>
        <v>1500000</v>
      </c>
      <c r="AA28" s="12">
        <f>'Tabel I-O'!AA28*'Tabel Harga'!$E$28</f>
        <v>1500000</v>
      </c>
      <c r="AB28" s="12">
        <f>'Tabel I-O'!AB28*'Tabel Harga'!$E$28</f>
        <v>1500000</v>
      </c>
      <c r="AC28" s="12">
        <f>'Tabel I-O'!AC28*'Tabel Harga'!$E$28</f>
        <v>1500000</v>
      </c>
      <c r="AD28" s="12">
        <f>'Tabel I-O'!AD28*'Tabel Harga'!$E$28</f>
        <v>1500000</v>
      </c>
      <c r="AE28" s="12">
        <f>'Tabel I-O'!AE28*'Tabel Harga'!$E$28</f>
        <v>1500000</v>
      </c>
      <c r="AF28" s="12">
        <f>'Tabel I-O'!AF28*'Tabel Harga'!$E$28</f>
        <v>1500000</v>
      </c>
      <c r="AG28" s="12">
        <f>'Tabel I-O'!AG28*'Tabel Harga'!$E$28</f>
        <v>1500000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2" t="s">
        <v>82</v>
      </c>
      <c r="C29" s="19"/>
      <c r="D29" s="12">
        <f>'Tabel I-O'!D29*'Tabel Harga'!$E$29</f>
        <v>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78" t="s">
        <v>87</v>
      </c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2" t="s">
        <v>102</v>
      </c>
      <c r="C31" s="19" t="s">
        <v>5</v>
      </c>
      <c r="D31" s="12">
        <f>'Tabel I-O'!D31*'Tabel Harga'!$E$31</f>
        <v>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2700000</v>
      </c>
      <c r="J31" s="12">
        <f>'Tabel I-O'!J31*'Tabel Harga'!$E$31</f>
        <v>2700000</v>
      </c>
      <c r="K31" s="12">
        <f>'Tabel I-O'!K31*'Tabel Harga'!$E$31</f>
        <v>2700000</v>
      </c>
      <c r="L31" s="12">
        <f>'Tabel I-O'!L31*'Tabel Harga'!$E$31</f>
        <v>2700000</v>
      </c>
      <c r="M31" s="12">
        <f>'Tabel I-O'!M31*'Tabel Harga'!$E$31</f>
        <v>2700000</v>
      </c>
      <c r="N31" s="12">
        <f>'Tabel I-O'!N31*'Tabel Harga'!$E$31</f>
        <v>2700000</v>
      </c>
      <c r="O31" s="12">
        <f>'Tabel I-O'!O31*'Tabel Harga'!$E$31</f>
        <v>2700000</v>
      </c>
      <c r="P31" s="12">
        <f>'Tabel I-O'!P31*'Tabel Harga'!$E$31</f>
        <v>2700000</v>
      </c>
      <c r="Q31" s="12">
        <f>'Tabel I-O'!Q31*'Tabel Harga'!$E$31</f>
        <v>2700000</v>
      </c>
      <c r="R31" s="12">
        <f>'Tabel I-O'!R31*'Tabel Harga'!$E$31</f>
        <v>2700000</v>
      </c>
      <c r="S31" s="12">
        <f>'Tabel I-O'!S31*'Tabel Harga'!$E$31</f>
        <v>0</v>
      </c>
      <c r="T31" s="12">
        <f>'Tabel I-O'!T31*'Tabel Harga'!$E$31</f>
        <v>0</v>
      </c>
      <c r="U31" s="12">
        <f>'Tabel I-O'!U31*'Tabel Harga'!$E$31</f>
        <v>0</v>
      </c>
      <c r="V31" s="12">
        <f>'Tabel I-O'!V31*'Tabel Harga'!$E$31</f>
        <v>0</v>
      </c>
      <c r="W31" s="12">
        <f>'Tabel I-O'!W31*'Tabel Harga'!$E$31</f>
        <v>0</v>
      </c>
      <c r="X31" s="12">
        <f>'Tabel I-O'!X31*'Tabel Harga'!$E$31</f>
        <v>2700000</v>
      </c>
      <c r="Y31" s="12">
        <f>'Tabel I-O'!Y31*'Tabel Harga'!$E$31</f>
        <v>2700000</v>
      </c>
      <c r="Z31" s="12">
        <f>'Tabel I-O'!Z31*'Tabel Harga'!$E$31</f>
        <v>2700000</v>
      </c>
      <c r="AA31" s="12">
        <f>'Tabel I-O'!AA31*'Tabel Harga'!$E$31</f>
        <v>2700000</v>
      </c>
      <c r="AB31" s="12">
        <f>'Tabel I-O'!AB31*'Tabel Harga'!$E$31</f>
        <v>2700000</v>
      </c>
      <c r="AC31" s="12">
        <f>'Tabel I-O'!AC31*'Tabel Harga'!$E$31</f>
        <v>2700000</v>
      </c>
      <c r="AD31" s="12">
        <f>'Tabel I-O'!AD31*'Tabel Harga'!$E$31</f>
        <v>2700000</v>
      </c>
      <c r="AE31" s="12">
        <f>'Tabel I-O'!AE31*'Tabel Harga'!$E$31</f>
        <v>2700000</v>
      </c>
      <c r="AF31" s="12">
        <f>'Tabel I-O'!AF31*'Tabel Harga'!$E$31</f>
        <v>2700000</v>
      </c>
      <c r="AG31" s="12">
        <f>'Tabel I-O'!AG31*'Tabel Harga'!$E$31</f>
        <v>2700000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78" t="s">
        <v>202</v>
      </c>
      <c r="C32" s="19" t="s">
        <v>5</v>
      </c>
      <c r="D32" s="12">
        <f>'Tabel I-O'!D32*'Tabel Harga'!$E$32</f>
        <v>0</v>
      </c>
      <c r="E32" s="12">
        <f>'Tabel I-O'!E32*'Tabel Harga'!$E$32</f>
        <v>0</v>
      </c>
      <c r="F32" s="12">
        <f>'Tabel I-O'!F32*'Tabel Harga'!$E$32</f>
        <v>0</v>
      </c>
      <c r="G32" s="12">
        <f>'Tabel I-O'!G32*'Tabel Harga'!$E$32</f>
        <v>0</v>
      </c>
      <c r="H32" s="12">
        <f>'Tabel I-O'!H32*'Tabel Harga'!$E$32</f>
        <v>0</v>
      </c>
      <c r="I32" s="12">
        <f>'Tabel I-O'!I32*'Tabel Harga'!$E$32</f>
        <v>480000</v>
      </c>
      <c r="J32" s="12">
        <f>'Tabel I-O'!J32*'Tabel Harga'!$E$32</f>
        <v>480000</v>
      </c>
      <c r="K32" s="12">
        <f>'Tabel I-O'!K32*'Tabel Harga'!$E$32</f>
        <v>1200000</v>
      </c>
      <c r="L32" s="12">
        <f>'Tabel I-O'!L32*'Tabel Harga'!$E$32</f>
        <v>1200000</v>
      </c>
      <c r="M32" s="12">
        <f>'Tabel I-O'!M32*'Tabel Harga'!$E$32</f>
        <v>1200000</v>
      </c>
      <c r="N32" s="12">
        <f>'Tabel I-O'!N32*'Tabel Harga'!$E$32</f>
        <v>480000</v>
      </c>
      <c r="O32" s="12">
        <f>'Tabel I-O'!O32*'Tabel Harga'!$E$32</f>
        <v>480000</v>
      </c>
      <c r="P32" s="12">
        <f>'Tabel I-O'!P32*'Tabel Harga'!$E$32</f>
        <v>480000</v>
      </c>
      <c r="Q32" s="12">
        <f>'Tabel I-O'!Q32*'Tabel Harga'!$E$32</f>
        <v>480000</v>
      </c>
      <c r="R32" s="12">
        <f>'Tabel I-O'!R32*'Tabel Harga'!$E$32</f>
        <v>480000</v>
      </c>
      <c r="S32" s="12">
        <f>'Tabel I-O'!S32*'Tabel Harga'!$E$32</f>
        <v>0</v>
      </c>
      <c r="T32" s="12">
        <f>'Tabel I-O'!T32*'Tabel Harga'!$E$32</f>
        <v>0</v>
      </c>
      <c r="U32" s="12">
        <f>'Tabel I-O'!U32*'Tabel Harga'!$E$32</f>
        <v>0</v>
      </c>
      <c r="V32" s="12">
        <f>'Tabel I-O'!V32*'Tabel Harga'!$E$32</f>
        <v>0</v>
      </c>
      <c r="W32" s="12">
        <f>'Tabel I-O'!W32*'Tabel Harga'!$E$32</f>
        <v>0</v>
      </c>
      <c r="X32" s="12">
        <f>'Tabel I-O'!X32*'Tabel Harga'!$E$32</f>
        <v>480000</v>
      </c>
      <c r="Y32" s="12">
        <f>'Tabel I-O'!Y32*'Tabel Harga'!$E$32</f>
        <v>480000</v>
      </c>
      <c r="Z32" s="12">
        <f>'Tabel I-O'!Z32*'Tabel Harga'!$E$32</f>
        <v>1200000</v>
      </c>
      <c r="AA32" s="12">
        <f>'Tabel I-O'!AA32*'Tabel Harga'!$E$32</f>
        <v>1200000</v>
      </c>
      <c r="AB32" s="12">
        <f>'Tabel I-O'!AB32*'Tabel Harga'!$E$32</f>
        <v>1200000</v>
      </c>
      <c r="AC32" s="12">
        <f>'Tabel I-O'!AC32*'Tabel Harga'!$E$32</f>
        <v>480000</v>
      </c>
      <c r="AD32" s="12">
        <f>'Tabel I-O'!AD32*'Tabel Harga'!$E$32</f>
        <v>480000</v>
      </c>
      <c r="AE32" s="12">
        <f>'Tabel I-O'!AE32*'Tabel Harga'!$E$32</f>
        <v>480000</v>
      </c>
      <c r="AF32" s="12">
        <f>'Tabel I-O'!AF32*'Tabel Harga'!$E$32</f>
        <v>480000</v>
      </c>
      <c r="AG32" s="12">
        <f>'Tabel I-O'!AG32*'Tabel Harga'!$E$32</f>
        <v>480000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6" t="s">
        <v>24</v>
      </c>
      <c r="C33" s="19" t="s">
        <v>5</v>
      </c>
      <c r="D33" s="10">
        <f t="shared" ref="D33:AG33" si="0">SUM(D8:D32)</f>
        <v>11425000</v>
      </c>
      <c r="E33" s="10">
        <f t="shared" si="0"/>
        <v>2900000</v>
      </c>
      <c r="F33" s="10">
        <f t="shared" si="0"/>
        <v>2300000</v>
      </c>
      <c r="G33" s="10">
        <f t="shared" si="0"/>
        <v>2275000</v>
      </c>
      <c r="H33" s="10">
        <f t="shared" si="0"/>
        <v>2300000</v>
      </c>
      <c r="I33" s="10">
        <f t="shared" si="0"/>
        <v>5430000</v>
      </c>
      <c r="J33" s="10">
        <f t="shared" si="0"/>
        <v>4730000</v>
      </c>
      <c r="K33" s="10">
        <f t="shared" si="0"/>
        <v>5400000</v>
      </c>
      <c r="L33" s="10">
        <f t="shared" si="0"/>
        <v>5475000</v>
      </c>
      <c r="M33" s="10">
        <f t="shared" si="0"/>
        <v>5400000</v>
      </c>
      <c r="N33" s="10">
        <f t="shared" si="0"/>
        <v>4730000</v>
      </c>
      <c r="O33" s="10">
        <f t="shared" si="0"/>
        <v>4680000</v>
      </c>
      <c r="P33" s="10">
        <f t="shared" si="0"/>
        <v>4730000</v>
      </c>
      <c r="Q33" s="10">
        <f t="shared" si="0"/>
        <v>4705000</v>
      </c>
      <c r="R33" s="10">
        <f t="shared" si="0"/>
        <v>4730000</v>
      </c>
      <c r="S33" s="10">
        <f t="shared" si="0"/>
        <v>8750000</v>
      </c>
      <c r="T33" s="10">
        <f t="shared" si="0"/>
        <v>2950000</v>
      </c>
      <c r="U33" s="10">
        <f t="shared" si="0"/>
        <v>1500000</v>
      </c>
      <c r="V33" s="10">
        <f t="shared" si="0"/>
        <v>1575000</v>
      </c>
      <c r="W33" s="10">
        <f t="shared" si="0"/>
        <v>1500000</v>
      </c>
      <c r="X33" s="10">
        <f t="shared" si="0"/>
        <v>4730000</v>
      </c>
      <c r="Y33" s="10">
        <f t="shared" si="0"/>
        <v>4680000</v>
      </c>
      <c r="Z33" s="10">
        <f t="shared" si="0"/>
        <v>5450000</v>
      </c>
      <c r="AA33" s="10">
        <f t="shared" si="0"/>
        <v>5425000</v>
      </c>
      <c r="AB33" s="10">
        <f t="shared" si="0"/>
        <v>5450000</v>
      </c>
      <c r="AC33" s="10">
        <f t="shared" si="0"/>
        <v>4680000</v>
      </c>
      <c r="AD33" s="10">
        <f t="shared" si="0"/>
        <v>4730000</v>
      </c>
      <c r="AE33" s="10">
        <f t="shared" si="0"/>
        <v>4680000</v>
      </c>
      <c r="AF33" s="10">
        <f t="shared" si="0"/>
        <v>4755000</v>
      </c>
      <c r="AG33" s="10">
        <f t="shared" si="0"/>
        <v>4680000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31" t="s">
        <v>27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>
      <c r="B36" s="18"/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18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6" t="s">
        <v>91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35" t="s">
        <v>102</v>
      </c>
      <c r="C39" s="19" t="s">
        <v>5</v>
      </c>
      <c r="D39" s="12">
        <f>'Tabel I-O'!D39*'Tabel Harga'!$E$39</f>
        <v>0</v>
      </c>
      <c r="E39" s="12">
        <f>'Tabel I-O'!E39*'Tabel Harga'!$E$39</f>
        <v>0</v>
      </c>
      <c r="F39" s="12">
        <f>'Tabel I-O'!F39*'Tabel Harga'!$E$39</f>
        <v>0</v>
      </c>
      <c r="G39" s="12">
        <f>'Tabel I-O'!G39*'Tabel Harga'!$E$39</f>
        <v>0</v>
      </c>
      <c r="H39" s="12">
        <f>'Tabel I-O'!H39*'Tabel Harga'!$E$39</f>
        <v>0</v>
      </c>
      <c r="I39" s="12">
        <f>'Tabel I-O'!I39*'Tabel Harga'!$E$39</f>
        <v>9600000</v>
      </c>
      <c r="J39" s="12">
        <f>'Tabel I-O'!J39*'Tabel Harga'!$E$39</f>
        <v>9600000</v>
      </c>
      <c r="K39" s="12">
        <f>'Tabel I-O'!K39*'Tabel Harga'!$E$39</f>
        <v>24000000</v>
      </c>
      <c r="L39" s="12">
        <f>'Tabel I-O'!L39*'Tabel Harga'!$E$39</f>
        <v>24000000</v>
      </c>
      <c r="M39" s="12">
        <f>'Tabel I-O'!M39*'Tabel Harga'!$E$39</f>
        <v>24000000</v>
      </c>
      <c r="N39" s="12">
        <f>'Tabel I-O'!N39*'Tabel Harga'!$E$39</f>
        <v>9600000</v>
      </c>
      <c r="O39" s="12">
        <f>'Tabel I-O'!O39*'Tabel Harga'!$E$39</f>
        <v>9600000</v>
      </c>
      <c r="P39" s="12">
        <f>'Tabel I-O'!P39*'Tabel Harga'!$E$39</f>
        <v>9600000</v>
      </c>
      <c r="Q39" s="12">
        <f>'Tabel I-O'!Q39*'Tabel Harga'!$E$39</f>
        <v>9600000</v>
      </c>
      <c r="R39" s="12"/>
      <c r="S39" s="12"/>
      <c r="T39" s="12">
        <f>'Tabel I-O'!T39*'Tabel Harga'!$E$39</f>
        <v>0</v>
      </c>
      <c r="U39" s="12">
        <f>'Tabel I-O'!U39*'Tabel Harga'!$E$39</f>
        <v>0</v>
      </c>
      <c r="V39" s="12">
        <f>'Tabel I-O'!V39*'Tabel Harga'!$E$39</f>
        <v>0</v>
      </c>
      <c r="W39" s="12">
        <f>'Tabel I-O'!W39*'Tabel Harga'!$E$39</f>
        <v>0</v>
      </c>
      <c r="X39" s="12">
        <f>'Tabel I-O'!X39*'Tabel Harga'!$E$39</f>
        <v>9600000</v>
      </c>
      <c r="Y39" s="12">
        <f>'Tabel I-O'!Y39*'Tabel Harga'!$E$39</f>
        <v>9600000</v>
      </c>
      <c r="Z39" s="12">
        <f>'Tabel I-O'!Z39*'Tabel Harga'!$E$39</f>
        <v>24000000</v>
      </c>
      <c r="AA39" s="12">
        <f>'Tabel I-O'!AA39*'Tabel Harga'!$E$39</f>
        <v>24000000</v>
      </c>
      <c r="AB39" s="12">
        <f>'Tabel I-O'!AB39*'Tabel Harga'!$E$39</f>
        <v>24000000</v>
      </c>
      <c r="AC39" s="12">
        <f>'Tabel I-O'!AC39*'Tabel Harga'!$E$39</f>
        <v>9600000</v>
      </c>
      <c r="AD39" s="12">
        <f>'Tabel I-O'!AD39*'Tabel Harga'!$E$39</f>
        <v>9600000</v>
      </c>
      <c r="AE39" s="12">
        <f>'Tabel I-O'!AE39*'Tabel Harga'!$E$39</f>
        <v>9600000</v>
      </c>
      <c r="AF39" s="12">
        <f>'Tabel I-O'!AF39*'Tabel Harga'!$E$39</f>
        <v>9600000</v>
      </c>
      <c r="AG39" s="12">
        <f>'Tabel I-O'!AG39*'Tabel Harga'!$E$39</f>
        <v>9600000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35" t="s">
        <v>83</v>
      </c>
      <c r="C40" s="19" t="s">
        <v>5</v>
      </c>
      <c r="D40" s="12">
        <f>'Tabel I-O'!D40*'Tabel Harga'!$E$40</f>
        <v>0</v>
      </c>
      <c r="E40" s="12">
        <f>'Tabel I-O'!E40*'Tabel Harga'!$E$40</f>
        <v>0</v>
      </c>
      <c r="F40" s="12">
        <f>'Tabel I-O'!F40*'Tabel Harga'!$E$40</f>
        <v>0</v>
      </c>
      <c r="G40" s="12">
        <f>'Tabel I-O'!G40*'Tabel Harga'!$E$40</f>
        <v>0</v>
      </c>
      <c r="H40" s="12">
        <f>'Tabel I-O'!H40*'Tabel Harga'!$E$40</f>
        <v>0</v>
      </c>
      <c r="I40" s="12">
        <f>'Tabel I-O'!I40*'Tabel Harga'!$E$40</f>
        <v>0</v>
      </c>
      <c r="J40" s="12">
        <f>'Tabel I-O'!J40*'Tabel Harga'!$E$40</f>
        <v>0</v>
      </c>
      <c r="K40" s="12">
        <f>'Tabel I-O'!K40*'Tabel Harga'!$E$40</f>
        <v>0</v>
      </c>
      <c r="L40" s="12">
        <f>'Tabel I-O'!L40*'Tabel Harga'!$E$40</f>
        <v>0</v>
      </c>
      <c r="M40" s="12">
        <f>'Tabel I-O'!M40*'Tabel Harga'!$E$40</f>
        <v>0</v>
      </c>
      <c r="N40" s="12">
        <f>'Tabel I-O'!N40*'Tabel Harga'!$E$40</f>
        <v>0</v>
      </c>
      <c r="O40" s="12">
        <f>'Tabel I-O'!O40*'Tabel Harga'!$E$40</f>
        <v>0</v>
      </c>
      <c r="P40" s="12">
        <f>'Tabel I-O'!P40*'Tabel Harga'!$E$40</f>
        <v>0</v>
      </c>
      <c r="Q40" s="12">
        <f>'Tabel I-O'!Q40*'Tabel Harga'!$E$40</f>
        <v>0</v>
      </c>
      <c r="R40" s="12">
        <f>'Tabel I-O'!R40*'Tabel Harga'!$E$40</f>
        <v>0</v>
      </c>
      <c r="S40" s="12">
        <f>'Tabel I-O'!S40*'Tabel Harga'!$E$40</f>
        <v>0</v>
      </c>
      <c r="T40" s="12">
        <f>'Tabel I-O'!T40*'Tabel Harga'!$E$40</f>
        <v>0</v>
      </c>
      <c r="U40" s="12">
        <f>'Tabel I-O'!U40*'Tabel Harga'!$E$40</f>
        <v>0</v>
      </c>
      <c r="V40" s="12">
        <f>'Tabel I-O'!V40*'Tabel Harga'!$E$40</f>
        <v>0</v>
      </c>
      <c r="W40" s="12">
        <f>'Tabel I-O'!W40*'Tabel Harga'!$E$40</f>
        <v>0</v>
      </c>
      <c r="X40" s="12">
        <f>'Tabel I-O'!X40*'Tabel Harga'!$E$40</f>
        <v>0</v>
      </c>
      <c r="Y40" s="12">
        <f>'Tabel I-O'!Y40*'Tabel Harga'!$E$40</f>
        <v>0</v>
      </c>
      <c r="Z40" s="12">
        <f>'Tabel I-O'!Z40*'Tabel Harga'!$E$40</f>
        <v>0</v>
      </c>
      <c r="AA40" s="12">
        <f>'Tabel I-O'!AA40*'Tabel Harga'!$E$40</f>
        <v>0</v>
      </c>
      <c r="AB40" s="12">
        <f>'Tabel I-O'!AB40*'Tabel Harga'!$E$40</f>
        <v>0</v>
      </c>
      <c r="AC40" s="12">
        <f>'Tabel I-O'!AC40*'Tabel Harga'!$E$40</f>
        <v>0</v>
      </c>
      <c r="AD40" s="12">
        <f>'Tabel I-O'!AD40*'Tabel Harga'!$E$40</f>
        <v>0</v>
      </c>
      <c r="AE40" s="12">
        <f>'Tabel I-O'!AE40*'Tabel Harga'!$E$40</f>
        <v>0</v>
      </c>
      <c r="AF40" s="12">
        <f>'Tabel I-O'!AF40*'Tabel Harga'!$E$40</f>
        <v>0</v>
      </c>
      <c r="AG40" s="12">
        <f>'Tabel I-O'!AG40*'Tabel Harga'!$E$40</f>
        <v>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s="85" customFormat="1">
      <c r="B41" s="16" t="s">
        <v>25</v>
      </c>
      <c r="C41" s="17" t="s">
        <v>5</v>
      </c>
      <c r="D41" s="14">
        <f>SUM(D39:D40)</f>
        <v>0</v>
      </c>
      <c r="E41" s="14">
        <f t="shared" ref="E41:AG41" si="1">SUM(E39:E40)</f>
        <v>0</v>
      </c>
      <c r="F41" s="14">
        <f t="shared" si="1"/>
        <v>0</v>
      </c>
      <c r="G41" s="14">
        <f t="shared" si="1"/>
        <v>0</v>
      </c>
      <c r="H41" s="14">
        <f t="shared" si="1"/>
        <v>0</v>
      </c>
      <c r="I41" s="14">
        <f t="shared" si="1"/>
        <v>9600000</v>
      </c>
      <c r="J41" s="14">
        <f t="shared" si="1"/>
        <v>9600000</v>
      </c>
      <c r="K41" s="14">
        <f t="shared" si="1"/>
        <v>24000000</v>
      </c>
      <c r="L41" s="14">
        <f t="shared" si="1"/>
        <v>24000000</v>
      </c>
      <c r="M41" s="14">
        <f t="shared" si="1"/>
        <v>24000000</v>
      </c>
      <c r="N41" s="14">
        <f t="shared" si="1"/>
        <v>9600000</v>
      </c>
      <c r="O41" s="14">
        <f t="shared" si="1"/>
        <v>9600000</v>
      </c>
      <c r="P41" s="14">
        <f t="shared" si="1"/>
        <v>9600000</v>
      </c>
      <c r="Q41" s="14">
        <f t="shared" si="1"/>
        <v>9600000</v>
      </c>
      <c r="R41" s="14">
        <f t="shared" si="1"/>
        <v>0</v>
      </c>
      <c r="S41" s="14">
        <f t="shared" si="1"/>
        <v>0</v>
      </c>
      <c r="T41" s="14">
        <f t="shared" si="1"/>
        <v>0</v>
      </c>
      <c r="U41" s="14">
        <f t="shared" si="1"/>
        <v>0</v>
      </c>
      <c r="V41" s="14">
        <f t="shared" si="1"/>
        <v>0</v>
      </c>
      <c r="W41" s="14">
        <f t="shared" si="1"/>
        <v>0</v>
      </c>
      <c r="X41" s="14">
        <f t="shared" si="1"/>
        <v>9600000</v>
      </c>
      <c r="Y41" s="14">
        <f t="shared" si="1"/>
        <v>9600000</v>
      </c>
      <c r="Z41" s="14">
        <f t="shared" si="1"/>
        <v>24000000</v>
      </c>
      <c r="AA41" s="14">
        <f t="shared" si="1"/>
        <v>24000000</v>
      </c>
      <c r="AB41" s="14">
        <f t="shared" si="1"/>
        <v>24000000</v>
      </c>
      <c r="AC41" s="14">
        <f t="shared" si="1"/>
        <v>9600000</v>
      </c>
      <c r="AD41" s="14">
        <f t="shared" si="1"/>
        <v>9600000</v>
      </c>
      <c r="AE41" s="14">
        <f t="shared" si="1"/>
        <v>9600000</v>
      </c>
      <c r="AF41" s="14">
        <f t="shared" si="1"/>
        <v>9600000</v>
      </c>
      <c r="AG41" s="14">
        <f t="shared" si="1"/>
        <v>9600000</v>
      </c>
      <c r="AH41" s="15"/>
      <c r="AI41" s="15"/>
      <c r="AJ41" s="15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</row>
    <row r="42" spans="2:49" s="21" customFormat="1" ht="30" customHeight="1">
      <c r="B42" s="22" t="s">
        <v>23</v>
      </c>
      <c r="C42" s="23"/>
      <c r="D42" s="24">
        <f t="shared" ref="D42:AG42" si="2">D41-D33</f>
        <v>-11425000</v>
      </c>
      <c r="E42" s="24">
        <f t="shared" si="2"/>
        <v>-2900000</v>
      </c>
      <c r="F42" s="24">
        <f t="shared" si="2"/>
        <v>-2300000</v>
      </c>
      <c r="G42" s="24">
        <f t="shared" si="2"/>
        <v>-2275000</v>
      </c>
      <c r="H42" s="24">
        <f t="shared" si="2"/>
        <v>-2300000</v>
      </c>
      <c r="I42" s="24">
        <f t="shared" si="2"/>
        <v>4170000</v>
      </c>
      <c r="J42" s="24">
        <f t="shared" si="2"/>
        <v>4870000</v>
      </c>
      <c r="K42" s="24">
        <f t="shared" si="2"/>
        <v>18600000</v>
      </c>
      <c r="L42" s="24">
        <f t="shared" si="2"/>
        <v>18525000</v>
      </c>
      <c r="M42" s="24">
        <f t="shared" si="2"/>
        <v>18600000</v>
      </c>
      <c r="N42" s="24">
        <f t="shared" si="2"/>
        <v>4870000</v>
      </c>
      <c r="O42" s="24">
        <f t="shared" si="2"/>
        <v>4920000</v>
      </c>
      <c r="P42" s="24">
        <f t="shared" si="2"/>
        <v>4870000</v>
      </c>
      <c r="Q42" s="24">
        <f t="shared" si="2"/>
        <v>4895000</v>
      </c>
      <c r="R42" s="24">
        <f t="shared" si="2"/>
        <v>-4730000</v>
      </c>
      <c r="S42" s="24">
        <f t="shared" si="2"/>
        <v>-8750000</v>
      </c>
      <c r="T42" s="24">
        <f t="shared" si="2"/>
        <v>-2950000</v>
      </c>
      <c r="U42" s="24">
        <f t="shared" si="2"/>
        <v>-1500000</v>
      </c>
      <c r="V42" s="24">
        <f t="shared" si="2"/>
        <v>-1575000</v>
      </c>
      <c r="W42" s="24">
        <f t="shared" si="2"/>
        <v>-1500000</v>
      </c>
      <c r="X42" s="24">
        <f t="shared" si="2"/>
        <v>4870000</v>
      </c>
      <c r="Y42" s="24">
        <f t="shared" si="2"/>
        <v>4920000</v>
      </c>
      <c r="Z42" s="24">
        <f t="shared" si="2"/>
        <v>18550000</v>
      </c>
      <c r="AA42" s="24">
        <f t="shared" si="2"/>
        <v>18575000</v>
      </c>
      <c r="AB42" s="24">
        <f t="shared" si="2"/>
        <v>18550000</v>
      </c>
      <c r="AC42" s="24">
        <f t="shared" si="2"/>
        <v>4920000</v>
      </c>
      <c r="AD42" s="24">
        <f t="shared" si="2"/>
        <v>4870000</v>
      </c>
      <c r="AE42" s="24">
        <f t="shared" si="2"/>
        <v>4920000</v>
      </c>
      <c r="AF42" s="24">
        <f t="shared" si="2"/>
        <v>4845000</v>
      </c>
      <c r="AG42" s="24">
        <f t="shared" si="2"/>
        <v>4920000</v>
      </c>
      <c r="AH42" s="25"/>
      <c r="AI42" s="25"/>
      <c r="AJ42" s="25"/>
      <c r="AK42" s="26"/>
      <c r="AL42" s="26"/>
      <c r="AM42" s="26"/>
      <c r="AN42" s="26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2:49">
      <c r="C43" s="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49">
      <c r="B44" s="184" t="s">
        <v>28</v>
      </c>
      <c r="C44" s="188">
        <f>NPV(rate_private,D42:AG42)</f>
        <v>31477740.382822245</v>
      </c>
      <c r="D44" s="18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49">
      <c r="B45" s="184" t="s">
        <v>169</v>
      </c>
      <c r="C45" s="189">
        <f>IRR(D42:AG42,rate_private)</f>
        <v>0.20861231427504959</v>
      </c>
      <c r="D45" s="190"/>
    </row>
    <row r="46" spans="2:49">
      <c r="B46" s="184" t="s">
        <v>185</v>
      </c>
      <c r="C46" s="157">
        <f>SUM(D33:AG33)</f>
        <v>136745000</v>
      </c>
      <c r="D46" s="184"/>
    </row>
    <row r="47" spans="2:49">
      <c r="B47" s="185" t="s">
        <v>186</v>
      </c>
      <c r="C47" s="157">
        <f>SUM(D22:AG32)</f>
        <v>124845000</v>
      </c>
      <c r="D47" s="186">
        <f>C47/C46</f>
        <v>0.91297670847197343</v>
      </c>
    </row>
    <row r="48" spans="2:49">
      <c r="B48" s="185" t="s">
        <v>187</v>
      </c>
      <c r="C48" s="187">
        <f>C46-C47</f>
        <v>11900000</v>
      </c>
      <c r="D48" s="186">
        <f>C48/C46</f>
        <v>8.7023291528026625E-2</v>
      </c>
    </row>
    <row r="50" spans="2:3">
      <c r="B50" s="3" t="s">
        <v>196</v>
      </c>
      <c r="C50" s="99">
        <f>NPV(rate_private,D33:G33)</f>
        <v>16614479.254998349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AW52"/>
  <sheetViews>
    <sheetView zoomScale="85" zoomScaleNormal="85"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C48" sqref="C48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33" width="10.85546875" style="3" bestFit="1" customWidth="1"/>
    <col min="34" max="16384" width="9.140625" style="3"/>
  </cols>
  <sheetData>
    <row r="1" spans="2:49" s="69" customFormat="1" ht="18.75">
      <c r="B1" s="66" t="s">
        <v>29</v>
      </c>
      <c r="C1" s="67"/>
      <c r="D1" s="68"/>
      <c r="E1" s="68"/>
    </row>
    <row r="2" spans="2:49" s="69" customFormat="1">
      <c r="B2" s="69" t="str">
        <f>'Budget Privat'!B2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>
      <c r="B4" s="210" t="s">
        <v>77</v>
      </c>
      <c r="C4" s="208" t="s">
        <v>0</v>
      </c>
      <c r="D4" s="213" t="s">
        <v>42</v>
      </c>
      <c r="E4" s="213" t="s">
        <v>43</v>
      </c>
      <c r="F4" s="213" t="s">
        <v>44</v>
      </c>
      <c r="G4" s="213" t="s">
        <v>45</v>
      </c>
      <c r="H4" s="213" t="s">
        <v>46</v>
      </c>
      <c r="I4" s="213" t="s">
        <v>47</v>
      </c>
      <c r="J4" s="213" t="s">
        <v>48</v>
      </c>
      <c r="K4" s="213" t="s">
        <v>49</v>
      </c>
      <c r="L4" s="213" t="s">
        <v>50</v>
      </c>
      <c r="M4" s="213" t="s">
        <v>51</v>
      </c>
      <c r="N4" s="213" t="s">
        <v>52</v>
      </c>
      <c r="O4" s="213" t="s">
        <v>53</v>
      </c>
      <c r="P4" s="213" t="s">
        <v>54</v>
      </c>
      <c r="Q4" s="213" t="s">
        <v>55</v>
      </c>
      <c r="R4" s="213" t="s">
        <v>56</v>
      </c>
      <c r="S4" s="213" t="s">
        <v>57</v>
      </c>
      <c r="T4" s="213" t="s">
        <v>58</v>
      </c>
      <c r="U4" s="213" t="s">
        <v>59</v>
      </c>
      <c r="V4" s="213" t="s">
        <v>60</v>
      </c>
      <c r="W4" s="213" t="s">
        <v>61</v>
      </c>
      <c r="X4" s="213" t="s">
        <v>62</v>
      </c>
      <c r="Y4" s="213" t="s">
        <v>63</v>
      </c>
      <c r="Z4" s="213" t="s">
        <v>64</v>
      </c>
      <c r="AA4" s="213" t="s">
        <v>65</v>
      </c>
      <c r="AB4" s="213" t="s">
        <v>66</v>
      </c>
      <c r="AC4" s="213" t="s">
        <v>67</v>
      </c>
      <c r="AD4" s="213" t="s">
        <v>68</v>
      </c>
      <c r="AE4" s="213" t="s">
        <v>69</v>
      </c>
      <c r="AF4" s="213" t="s">
        <v>70</v>
      </c>
      <c r="AG4" s="213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>
      <c r="B5" s="211"/>
      <c r="C5" s="209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9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170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 t="s">
        <v>32</v>
      </c>
      <c r="C11" s="19" t="s">
        <v>5</v>
      </c>
      <c r="D11" s="12">
        <f>'Tabel I-O'!D11*'Tabel Harga'!$F$11</f>
        <v>0</v>
      </c>
      <c r="E11" s="12">
        <f>'Tabel I-O'!E11*'Tabel Harga'!$F$11</f>
        <v>0</v>
      </c>
      <c r="F11" s="12">
        <f>'Tabel I-O'!F11*'Tabel Harga'!$F$11</f>
        <v>0</v>
      </c>
      <c r="G11" s="12">
        <f>'Tabel I-O'!G11*'Tabel Harga'!$F$11</f>
        <v>0</v>
      </c>
      <c r="H11" s="12">
        <f>'Tabel I-O'!H11*'Tabel Harga'!$F$11</f>
        <v>0</v>
      </c>
      <c r="I11" s="12">
        <f>'Tabel I-O'!I11*'Tabel Harga'!$F$11</f>
        <v>0</v>
      </c>
      <c r="J11" s="12">
        <f>'Tabel I-O'!J11*'Tabel Harga'!$F$11</f>
        <v>0</v>
      </c>
      <c r="K11" s="12">
        <f>'Tabel I-O'!K11*'Tabel Harga'!$F$11</f>
        <v>0</v>
      </c>
      <c r="L11" s="12">
        <f>'Tabel I-O'!L11*'Tabel Harga'!$F$11</f>
        <v>0</v>
      </c>
      <c r="M11" s="12">
        <f>'Tabel I-O'!M11*'Tabel Harga'!$F$11</f>
        <v>0</v>
      </c>
      <c r="N11" s="12">
        <f>'Tabel I-O'!N11*'Tabel Harga'!$F$11</f>
        <v>0</v>
      </c>
      <c r="O11" s="12">
        <f>'Tabel I-O'!O11*'Tabel Harga'!$F$11</f>
        <v>0</v>
      </c>
      <c r="P11" s="12">
        <f>'Tabel I-O'!P11*'Tabel Harga'!$F$11</f>
        <v>0</v>
      </c>
      <c r="Q11" s="12">
        <f>'Tabel I-O'!Q11*'Tabel Harga'!$F$11</f>
        <v>0</v>
      </c>
      <c r="R11" s="12">
        <f>'Tabel I-O'!R11*'Tabel Harga'!$F$11</f>
        <v>0</v>
      </c>
      <c r="S11" s="12">
        <f>'Tabel I-O'!S11*'Tabel Harga'!$F$11</f>
        <v>0</v>
      </c>
      <c r="T11" s="12">
        <f>'Tabel I-O'!T11*'Tabel Harga'!$F$11</f>
        <v>0</v>
      </c>
      <c r="U11" s="12">
        <f>'Tabel I-O'!U11*'Tabel Harga'!$F$11</f>
        <v>0</v>
      </c>
      <c r="V11" s="12">
        <f>'Tabel I-O'!V11*'Tabel Harga'!$F$11</f>
        <v>0</v>
      </c>
      <c r="W11" s="12">
        <f>'Tabel I-O'!W11*'Tabel Harga'!$F$11</f>
        <v>0</v>
      </c>
      <c r="X11" s="12">
        <f>'Tabel I-O'!X11*'Tabel Harga'!$F$11</f>
        <v>0</v>
      </c>
      <c r="Y11" s="12">
        <f>'Tabel I-O'!Y11*'Tabel Harga'!$F$11</f>
        <v>0</v>
      </c>
      <c r="Z11" s="12">
        <f>'Tabel I-O'!Z11*'Tabel Harga'!$F$11</f>
        <v>0</v>
      </c>
      <c r="AA11" s="12">
        <f>'Tabel I-O'!AA11*'Tabel Harga'!$F$11</f>
        <v>0</v>
      </c>
      <c r="AB11" s="12">
        <f>'Tabel I-O'!AB11*'Tabel Harga'!$F$11</f>
        <v>0</v>
      </c>
      <c r="AC11" s="12">
        <f>'Tabel I-O'!AC11*'Tabel Harga'!$F$11</f>
        <v>0</v>
      </c>
      <c r="AD11" s="12">
        <f>'Tabel I-O'!AD11*'Tabel Harga'!$F$11</f>
        <v>0</v>
      </c>
      <c r="AE11" s="12">
        <f>'Tabel I-O'!AE11*'Tabel Harga'!$F$11</f>
        <v>0</v>
      </c>
      <c r="AF11" s="12">
        <f>'Tabel I-O'!AF11*'Tabel Harga'!$F$11</f>
        <v>0</v>
      </c>
      <c r="AG11" s="12">
        <f>'Tabel I-O'!AG11*'Tabel Harga'!$F$11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 t="s">
        <v>102</v>
      </c>
      <c r="C14" s="19" t="s">
        <v>5</v>
      </c>
      <c r="D14" s="12">
        <f>'Tabel I-O'!D14*'Tabel Harga'!$F$14</f>
        <v>5000000</v>
      </c>
      <c r="E14" s="12">
        <f>'Tabel I-O'!E14*'Tabel Harga'!$F$14</f>
        <v>500000</v>
      </c>
      <c r="F14" s="12">
        <f>'Tabel I-O'!F14*'Tabel Harga'!$F$14</f>
        <v>0</v>
      </c>
      <c r="G14" s="12">
        <f>'Tabel I-O'!G14*'Tabel Harga'!$F$14</f>
        <v>0</v>
      </c>
      <c r="H14" s="12">
        <f>'Tabel I-O'!H14*'Tabel Harga'!$F$14</f>
        <v>0</v>
      </c>
      <c r="I14" s="12">
        <f>'Tabel I-O'!I14*'Tabel Harga'!$F$14</f>
        <v>0</v>
      </c>
      <c r="J14" s="12">
        <f>'Tabel I-O'!J14*'Tabel Harga'!$F$14</f>
        <v>0</v>
      </c>
      <c r="K14" s="12">
        <f>'Tabel I-O'!K14*'Tabel Harga'!$F$14</f>
        <v>0</v>
      </c>
      <c r="L14" s="12">
        <f>'Tabel I-O'!L14*'Tabel Harga'!$F$14</f>
        <v>0</v>
      </c>
      <c r="M14" s="12">
        <f>'Tabel I-O'!M14*'Tabel Harga'!$F$14</f>
        <v>0</v>
      </c>
      <c r="N14" s="12">
        <f>'Tabel I-O'!N14*'Tabel Harga'!$F$14</f>
        <v>0</v>
      </c>
      <c r="O14" s="12">
        <f>'Tabel I-O'!O14*'Tabel Harga'!$F$14</f>
        <v>0</v>
      </c>
      <c r="P14" s="12">
        <f>'Tabel I-O'!P14*'Tabel Harga'!$F$14</f>
        <v>0</v>
      </c>
      <c r="Q14" s="12">
        <f>'Tabel I-O'!Q14*'Tabel Harga'!$F$14</f>
        <v>0</v>
      </c>
      <c r="R14" s="12">
        <f>'Tabel I-O'!R14*'Tabel Harga'!$F$14</f>
        <v>0</v>
      </c>
      <c r="S14" s="12">
        <f>'Tabel I-O'!S14*'Tabel Harga'!$F$14</f>
        <v>5000000</v>
      </c>
      <c r="T14" s="12">
        <f>'Tabel I-O'!T14*'Tabel Harga'!$F$14</f>
        <v>500000</v>
      </c>
      <c r="U14" s="12">
        <f>'Tabel I-O'!U14*'Tabel Harga'!$F$14</f>
        <v>0</v>
      </c>
      <c r="V14" s="12">
        <f>'Tabel I-O'!V14*'Tabel Harga'!$F$14</f>
        <v>0</v>
      </c>
      <c r="W14" s="12">
        <f>'Tabel I-O'!W14*'Tabel Harga'!$F$14</f>
        <v>0</v>
      </c>
      <c r="X14" s="12">
        <f>'Tabel I-O'!X14*'Tabel Harga'!$F$14</f>
        <v>0</v>
      </c>
      <c r="Y14" s="12">
        <f>'Tabel I-O'!Y14*'Tabel Harga'!$F$14</f>
        <v>0</v>
      </c>
      <c r="Z14" s="12">
        <f>'Tabel I-O'!Z14*'Tabel Harga'!$F$14</f>
        <v>0</v>
      </c>
      <c r="AA14" s="12">
        <f>'Tabel I-O'!AA14*'Tabel Harga'!$F$14</f>
        <v>0</v>
      </c>
      <c r="AB14" s="12">
        <f>'Tabel I-O'!AB14*'Tabel Harga'!$F$14</f>
        <v>0</v>
      </c>
      <c r="AC14" s="12">
        <f>'Tabel I-O'!AC14*'Tabel Harga'!$F$14</f>
        <v>0</v>
      </c>
      <c r="AD14" s="12">
        <f>'Tabel I-O'!AD14*'Tabel Harga'!$F$14</f>
        <v>0</v>
      </c>
      <c r="AE14" s="12">
        <f>'Tabel I-O'!AE14*'Tabel Harga'!$F$14</f>
        <v>0</v>
      </c>
      <c r="AF14" s="12">
        <f>'Tabel I-O'!AF14*'Tabel Harga'!$F$14</f>
        <v>0</v>
      </c>
      <c r="AG14" s="12">
        <f>'Tabel I-O'!AG14*'Tabel Harga'!$F$14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35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>
      <c r="B16" s="16" t="s">
        <v>7</v>
      </c>
      <c r="C16" s="19"/>
      <c r="D16" s="12"/>
      <c r="E16" s="10"/>
      <c r="F16" s="10"/>
      <c r="G16" s="10"/>
      <c r="H16" s="10"/>
      <c r="I16" s="10"/>
      <c r="J16" s="10"/>
      <c r="K16" s="11"/>
      <c r="L16" s="10"/>
      <c r="M16" s="10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78" t="s">
        <v>38</v>
      </c>
      <c r="C17" s="19" t="s">
        <v>5</v>
      </c>
      <c r="D17" s="12">
        <f>'Tabel I-O'!D17*'Tabel Harga'!$F$17</f>
        <v>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25000</v>
      </c>
      <c r="H17" s="12">
        <f>'Tabel I-O'!H17*'Tabel Harga'!$F$17</f>
        <v>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0</v>
      </c>
      <c r="Q17" s="12">
        <f>'Tabel I-O'!Q17*'Tabel Harga'!$F$17</f>
        <v>25000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0</v>
      </c>
      <c r="U17" s="12">
        <f>'Tabel I-O'!U17*'Tabel Harga'!$F$17</f>
        <v>0</v>
      </c>
      <c r="V17" s="12">
        <f>'Tabel I-O'!V17*'Tabel Harga'!$F$17</f>
        <v>25000</v>
      </c>
      <c r="W17" s="12">
        <f>'Tabel I-O'!W17*'Tabel Harga'!$F$17</f>
        <v>0</v>
      </c>
      <c r="X17" s="12">
        <f>'Tabel I-O'!X17*'Tabel Harga'!$F$17</f>
        <v>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25000</v>
      </c>
      <c r="AB17" s="12">
        <f>'Tabel I-O'!AB17*'Tabel Harga'!$F$17</f>
        <v>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35" t="s">
        <v>39</v>
      </c>
      <c r="C18" s="19" t="s">
        <v>5</v>
      </c>
      <c r="D18" s="12">
        <f>'Tabel I-O'!D18*'Tabel Harga'!$F$18</f>
        <v>50000</v>
      </c>
      <c r="E18" s="12">
        <f>'Tabel I-O'!E18*'Tabel Harga'!$F$18</f>
        <v>0</v>
      </c>
      <c r="F18" s="12">
        <f>'Tabel I-O'!F18*'Tabel Harga'!$F$18</f>
        <v>50000</v>
      </c>
      <c r="G18" s="12">
        <f>'Tabel I-O'!G18*'Tabel Harga'!$F$18</f>
        <v>0</v>
      </c>
      <c r="H18" s="12">
        <f>'Tabel I-O'!H18*'Tabel Harga'!$F$18</f>
        <v>50000</v>
      </c>
      <c r="I18" s="12">
        <f>'Tabel I-O'!I18*'Tabel Harga'!$F$18</f>
        <v>0</v>
      </c>
      <c r="J18" s="12">
        <f>'Tabel I-O'!J18*'Tabel Harga'!$F$18</f>
        <v>50000</v>
      </c>
      <c r="K18" s="12">
        <f>'Tabel I-O'!K18*'Tabel Harga'!$F$18</f>
        <v>0</v>
      </c>
      <c r="L18" s="12">
        <f>'Tabel I-O'!L18*'Tabel Harga'!$F$18</f>
        <v>50000</v>
      </c>
      <c r="M18" s="12">
        <f>'Tabel I-O'!M18*'Tabel Harga'!$F$18</f>
        <v>0</v>
      </c>
      <c r="N18" s="12">
        <f>'Tabel I-O'!N18*'Tabel Harga'!$F$18</f>
        <v>50000</v>
      </c>
      <c r="O18" s="12">
        <f>'Tabel I-O'!O18*'Tabel Harga'!$F$18</f>
        <v>0</v>
      </c>
      <c r="P18" s="12">
        <f>'Tabel I-O'!P18*'Tabel Harga'!$F$18</f>
        <v>50000</v>
      </c>
      <c r="Q18" s="12">
        <f>'Tabel I-O'!Q18*'Tabel Harga'!$F$18</f>
        <v>0</v>
      </c>
      <c r="R18" s="12">
        <f>'Tabel I-O'!R18*'Tabel Harga'!$F$18</f>
        <v>50000</v>
      </c>
      <c r="S18" s="12">
        <f>'Tabel I-O'!S18*'Tabel Harga'!$F$18</f>
        <v>0</v>
      </c>
      <c r="T18" s="12">
        <f>'Tabel I-O'!T18*'Tabel Harga'!$F$18</f>
        <v>50000</v>
      </c>
      <c r="U18" s="12">
        <f>'Tabel I-O'!U18*'Tabel Harga'!$F$18</f>
        <v>0</v>
      </c>
      <c r="V18" s="12">
        <f>'Tabel I-O'!V18*'Tabel Harga'!$F$18</f>
        <v>50000</v>
      </c>
      <c r="W18" s="12">
        <f>'Tabel I-O'!W18*'Tabel Harga'!$F$18</f>
        <v>0</v>
      </c>
      <c r="X18" s="12">
        <f>'Tabel I-O'!X18*'Tabel Harga'!$F$18</f>
        <v>50000</v>
      </c>
      <c r="Y18" s="12">
        <f>'Tabel I-O'!Y18*'Tabel Harga'!$F$18</f>
        <v>0</v>
      </c>
      <c r="Z18" s="12">
        <f>'Tabel I-O'!Z18*'Tabel Harga'!$F$18</f>
        <v>50000</v>
      </c>
      <c r="AA18" s="12">
        <f>'Tabel I-O'!AA18*'Tabel Harga'!$F$18</f>
        <v>0</v>
      </c>
      <c r="AB18" s="12">
        <f>'Tabel I-O'!AB18*'Tabel Harga'!$F$18</f>
        <v>50000</v>
      </c>
      <c r="AC18" s="12">
        <f>'Tabel I-O'!AC18*'Tabel Harga'!$F$18</f>
        <v>0</v>
      </c>
      <c r="AD18" s="12">
        <f>'Tabel I-O'!AD18*'Tabel Harga'!$F$18</f>
        <v>50000</v>
      </c>
      <c r="AE18" s="12">
        <f>'Tabel I-O'!AE18*'Tabel Harga'!$F$18</f>
        <v>0</v>
      </c>
      <c r="AF18" s="12">
        <f>'Tabel I-O'!AF18*'Tabel Harga'!$F$18</f>
        <v>50000</v>
      </c>
      <c r="AG18" s="12">
        <f>'Tabel I-O'!AG18*'Tabel Harga'!$F$18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78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16" t="s">
        <v>37</v>
      </c>
      <c r="C20" s="19"/>
      <c r="D20" s="12"/>
      <c r="E20" s="10"/>
      <c r="F20" s="10"/>
      <c r="G20" s="10"/>
      <c r="H20" s="12"/>
      <c r="I20" s="12"/>
      <c r="J20" s="12"/>
      <c r="K20" s="13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78" t="s">
        <v>40</v>
      </c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2" t="s">
        <v>86</v>
      </c>
      <c r="C22" s="19" t="s">
        <v>5</v>
      </c>
      <c r="D22" s="12">
        <f>'Tabel I-O'!D22*'Tabel Harga'!$F$22</f>
        <v>2250000</v>
      </c>
      <c r="E22" s="12">
        <f>'Tabel I-O'!E22*'Tabel Harga'!$F$22</f>
        <v>0</v>
      </c>
      <c r="F22" s="12">
        <f>'Tabel I-O'!F22*'Tabel Harga'!$F$22</f>
        <v>0</v>
      </c>
      <c r="G22" s="12">
        <f>'Tabel I-O'!G22*'Tabel Harga'!$F$22</f>
        <v>0</v>
      </c>
      <c r="H22" s="12">
        <f>'Tabel I-O'!H22*'Tabel Harga'!$F$22</f>
        <v>0</v>
      </c>
      <c r="I22" s="12">
        <f>'Tabel I-O'!I22*'Tabel Harga'!$F$22</f>
        <v>0</v>
      </c>
      <c r="J22" s="12">
        <f>'Tabel I-O'!J22*'Tabel Harga'!$F$22</f>
        <v>0</v>
      </c>
      <c r="K22" s="12">
        <f>'Tabel I-O'!K22*'Tabel Harga'!$F$22</f>
        <v>0</v>
      </c>
      <c r="L22" s="12">
        <f>'Tabel I-O'!L22*'Tabel Harga'!$F$22</f>
        <v>0</v>
      </c>
      <c r="M22" s="12">
        <f>'Tabel I-O'!M22*'Tabel Harga'!$F$22</f>
        <v>0</v>
      </c>
      <c r="N22" s="12">
        <f>'Tabel I-O'!N22*'Tabel Harga'!$F$22</f>
        <v>0</v>
      </c>
      <c r="O22" s="12">
        <f>'Tabel I-O'!O22*'Tabel Harga'!$F$22</f>
        <v>0</v>
      </c>
      <c r="P22" s="12">
        <f>'Tabel I-O'!P22*'Tabel Harga'!$F$22</f>
        <v>0</v>
      </c>
      <c r="Q22" s="12">
        <f>'Tabel I-O'!Q22*'Tabel Harga'!$F$22</f>
        <v>0</v>
      </c>
      <c r="R22" s="12">
        <f>'Tabel I-O'!R22*'Tabel Harga'!$F$22</f>
        <v>0</v>
      </c>
      <c r="S22" s="12">
        <f>'Tabel I-O'!S22*'Tabel Harga'!$F$22</f>
        <v>0</v>
      </c>
      <c r="T22" s="12">
        <f>'Tabel I-O'!T22*'Tabel Harga'!$F$22</f>
        <v>0</v>
      </c>
      <c r="U22" s="12">
        <f>'Tabel I-O'!U22*'Tabel Harga'!$F$22</f>
        <v>0</v>
      </c>
      <c r="V22" s="12">
        <f>'Tabel I-O'!V22*'Tabel Harga'!$F$22</f>
        <v>0</v>
      </c>
      <c r="W22" s="12">
        <f>'Tabel I-O'!W22*'Tabel Harga'!$F$22</f>
        <v>0</v>
      </c>
      <c r="X22" s="12">
        <f>'Tabel I-O'!X22*'Tabel Harga'!$F$22</f>
        <v>0</v>
      </c>
      <c r="Y22" s="12">
        <f>'Tabel I-O'!Y22*'Tabel Harga'!$F$22</f>
        <v>0</v>
      </c>
      <c r="Z22" s="12">
        <f>'Tabel I-O'!Z22*'Tabel Harga'!$F$22</f>
        <v>0</v>
      </c>
      <c r="AA22" s="12">
        <f>'Tabel I-O'!AA22*'Tabel Harga'!$F$22</f>
        <v>0</v>
      </c>
      <c r="AB22" s="12">
        <f>'Tabel I-O'!AB22*'Tabel Harga'!$F$22</f>
        <v>0</v>
      </c>
      <c r="AC22" s="12">
        <f>'Tabel I-O'!AC22*'Tabel Harga'!$F$22</f>
        <v>0</v>
      </c>
      <c r="AD22" s="12">
        <f>'Tabel I-O'!AD22*'Tabel Harga'!$F$22</f>
        <v>0</v>
      </c>
      <c r="AE22" s="12">
        <f>'Tabel I-O'!AE22*'Tabel Harga'!$F$22</f>
        <v>0</v>
      </c>
      <c r="AF22" s="12">
        <f>'Tabel I-O'!AF22*'Tabel Harga'!$F$22</f>
        <v>0</v>
      </c>
      <c r="AG22" s="12">
        <f>'Tabel I-O'!AG22*'Tabel Harga'!$F$22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2" t="s">
        <v>85</v>
      </c>
      <c r="C23" s="19" t="s">
        <v>5</v>
      </c>
      <c r="D23" s="12">
        <f>'Tabel I-O'!D23*'Tabel Harga'!$E$23</f>
        <v>75000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2" t="s">
        <v>160</v>
      </c>
      <c r="C24" s="19" t="s">
        <v>5</v>
      </c>
      <c r="D24" s="12">
        <f>'Tabel I-O'!D24*'Tabel Harga'!$F$24</f>
        <v>300000</v>
      </c>
      <c r="E24" s="12">
        <f>'Tabel I-O'!E24*'Tabel Harga'!$F$24</f>
        <v>0</v>
      </c>
      <c r="F24" s="12">
        <f>'Tabel I-O'!F24*'Tabel Harga'!$F$24</f>
        <v>0</v>
      </c>
      <c r="G24" s="12">
        <f>'Tabel I-O'!G24*'Tabel Harga'!$F$24</f>
        <v>0</v>
      </c>
      <c r="H24" s="12">
        <f>'Tabel I-O'!H24*'Tabel Harga'!$F$24</f>
        <v>0</v>
      </c>
      <c r="I24" s="12">
        <f>'Tabel I-O'!I24*'Tabel Harga'!$F$24</f>
        <v>0</v>
      </c>
      <c r="J24" s="12">
        <f>'Tabel I-O'!J24*'Tabel Harga'!$F$24</f>
        <v>0</v>
      </c>
      <c r="K24" s="12">
        <f>'Tabel I-O'!K24*'Tabel Harga'!$F$24</f>
        <v>0</v>
      </c>
      <c r="L24" s="12">
        <f>'Tabel I-O'!L24*'Tabel Harga'!$F$24</f>
        <v>0</v>
      </c>
      <c r="M24" s="12">
        <f>'Tabel I-O'!M24*'Tabel Harga'!$F$24</f>
        <v>0</v>
      </c>
      <c r="N24" s="12">
        <f>'Tabel I-O'!N24*'Tabel Harga'!$F$24</f>
        <v>0</v>
      </c>
      <c r="O24" s="12">
        <f>'Tabel I-O'!O24*'Tabel Harga'!$F$24</f>
        <v>0</v>
      </c>
      <c r="P24" s="12">
        <f>'Tabel I-O'!P24*'Tabel Harga'!$F$24</f>
        <v>0</v>
      </c>
      <c r="Q24" s="12">
        <f>'Tabel I-O'!Q24*'Tabel Harga'!$F$24</f>
        <v>0</v>
      </c>
      <c r="R24" s="12">
        <f>'Tabel I-O'!R24*'Tabel Harga'!$F$24</f>
        <v>0</v>
      </c>
      <c r="S24" s="12">
        <f>'Tabel I-O'!S24*'Tabel Harga'!$F$24</f>
        <v>0</v>
      </c>
      <c r="T24" s="12">
        <f>'Tabel I-O'!T24*'Tabel Harga'!$F$24</f>
        <v>0</v>
      </c>
      <c r="U24" s="12">
        <f>'Tabel I-O'!U24*'Tabel Harga'!$F$24</f>
        <v>0</v>
      </c>
      <c r="V24" s="12">
        <f>'Tabel I-O'!V24*'Tabel Harga'!$F$24</f>
        <v>0</v>
      </c>
      <c r="W24" s="12">
        <f>'Tabel I-O'!W24*'Tabel Harga'!$F$24</f>
        <v>0</v>
      </c>
      <c r="X24" s="12">
        <f>'Tabel I-O'!X24*'Tabel Harga'!$F$24</f>
        <v>0</v>
      </c>
      <c r="Y24" s="12">
        <f>'Tabel I-O'!Y24*'Tabel Harga'!$F$24</f>
        <v>0</v>
      </c>
      <c r="Z24" s="12">
        <f>'Tabel I-O'!Z24*'Tabel Harga'!$F$24</f>
        <v>0</v>
      </c>
      <c r="AA24" s="12">
        <f>'Tabel I-O'!AA24*'Tabel Harga'!$F$24</f>
        <v>0</v>
      </c>
      <c r="AB24" s="12">
        <f>'Tabel I-O'!AB24*'Tabel Harga'!$F$24</f>
        <v>0</v>
      </c>
      <c r="AC24" s="12">
        <f>'Tabel I-O'!AC24*'Tabel Harga'!$F$24</f>
        <v>0</v>
      </c>
      <c r="AD24" s="12">
        <f>'Tabel I-O'!AD24*'Tabel Harga'!$F$24</f>
        <v>0</v>
      </c>
      <c r="AE24" s="12">
        <f>'Tabel I-O'!AE24*'Tabel Harga'!$F$24</f>
        <v>0</v>
      </c>
      <c r="AF24" s="12">
        <f>'Tabel I-O'!AF24*'Tabel Harga'!$F$24</f>
        <v>0</v>
      </c>
      <c r="AG24" s="12">
        <f>'Tabel I-O'!AG24*'Tabel Harga'!$F$24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78" t="s">
        <v>89</v>
      </c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2" t="s">
        <v>131</v>
      </c>
      <c r="C26" s="19" t="s">
        <v>5</v>
      </c>
      <c r="D26" s="12">
        <f>'Tabel I-O'!D26*'Tabel Harga'!$F$26</f>
        <v>1500000</v>
      </c>
      <c r="E26" s="12">
        <f>'Tabel I-O'!E26*'Tabel Harga'!$F$26</f>
        <v>150000</v>
      </c>
      <c r="F26" s="12">
        <f>'Tabel I-O'!F26*'Tabel Harga'!$F$26</f>
        <v>0</v>
      </c>
      <c r="G26" s="12">
        <f>'Tabel I-O'!G26*'Tabel Harga'!$F$26</f>
        <v>0</v>
      </c>
      <c r="H26" s="12">
        <f>'Tabel I-O'!H26*'Tabel Harga'!$F$26</f>
        <v>0</v>
      </c>
      <c r="I26" s="12">
        <f>'Tabel I-O'!I26*'Tabel Harga'!$F$26</f>
        <v>0</v>
      </c>
      <c r="J26" s="12">
        <f>'Tabel I-O'!J26*'Tabel Harga'!$F$26</f>
        <v>0</v>
      </c>
      <c r="K26" s="12">
        <f>'Tabel I-O'!K26*'Tabel Harga'!$F$26</f>
        <v>0</v>
      </c>
      <c r="L26" s="12">
        <f>'Tabel I-O'!L26*'Tabel Harga'!$F$26</f>
        <v>0</v>
      </c>
      <c r="M26" s="12">
        <f>'Tabel I-O'!M26*'Tabel Harga'!$F$26</f>
        <v>0</v>
      </c>
      <c r="N26" s="12">
        <f>'Tabel I-O'!N26*'Tabel Harga'!$F$26</f>
        <v>0</v>
      </c>
      <c r="O26" s="12">
        <f>'Tabel I-O'!O26*'Tabel Harga'!$F$26</f>
        <v>0</v>
      </c>
      <c r="P26" s="12">
        <f>'Tabel I-O'!P26*'Tabel Harga'!$F$26</f>
        <v>0</v>
      </c>
      <c r="Q26" s="12">
        <f>'Tabel I-O'!Q26*'Tabel Harga'!$F$26</f>
        <v>0</v>
      </c>
      <c r="R26" s="12">
        <f>'Tabel I-O'!R26*'Tabel Harga'!$F$26</f>
        <v>0</v>
      </c>
      <c r="S26" s="12">
        <f>'Tabel I-O'!S26*'Tabel Harga'!$F$26</f>
        <v>1500000</v>
      </c>
      <c r="T26" s="12">
        <f>'Tabel I-O'!T26*'Tabel Harga'!$F$26</f>
        <v>150000</v>
      </c>
      <c r="U26" s="12">
        <f>'Tabel I-O'!U26*'Tabel Harga'!$F$26</f>
        <v>0</v>
      </c>
      <c r="V26" s="12">
        <f>'Tabel I-O'!V26*'Tabel Harga'!$F$26</f>
        <v>0</v>
      </c>
      <c r="W26" s="12">
        <f>'Tabel I-O'!W26*'Tabel Harga'!$F$26</f>
        <v>0</v>
      </c>
      <c r="X26" s="12">
        <f>'Tabel I-O'!X26*'Tabel Harga'!$F$26</f>
        <v>0</v>
      </c>
      <c r="Y26" s="12">
        <f>'Tabel I-O'!Y26*'Tabel Harga'!$F$26</f>
        <v>0</v>
      </c>
      <c r="Z26" s="12">
        <f>'Tabel I-O'!Z26*'Tabel Harga'!$F$26</f>
        <v>0</v>
      </c>
      <c r="AA26" s="12">
        <f>'Tabel I-O'!AA26*'Tabel Harga'!$F$26</f>
        <v>0</v>
      </c>
      <c r="AB26" s="12">
        <f>'Tabel I-O'!AB26*'Tabel Harga'!$F$26</f>
        <v>0</v>
      </c>
      <c r="AC26" s="12">
        <f>'Tabel I-O'!AC26*'Tabel Harga'!$F$26</f>
        <v>0</v>
      </c>
      <c r="AD26" s="12">
        <f>'Tabel I-O'!AD26*'Tabel Harga'!$F$26</f>
        <v>0</v>
      </c>
      <c r="AE26" s="12">
        <f>'Tabel I-O'!AE26*'Tabel Harga'!$F$26</f>
        <v>0</v>
      </c>
      <c r="AF26" s="12">
        <f>'Tabel I-O'!AF26*'Tabel Harga'!$F$26</f>
        <v>0</v>
      </c>
      <c r="AG26" s="12">
        <f>'Tabel I-O'!AG26*'Tabel Harga'!$F$26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78" t="s">
        <v>132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2" t="s">
        <v>81</v>
      </c>
      <c r="C28" s="19" t="s">
        <v>5</v>
      </c>
      <c r="D28" s="12">
        <f>'Tabel I-O'!D28*'Tabel Harga'!$F$28</f>
        <v>2250000</v>
      </c>
      <c r="E28" s="12">
        <f>'Tabel I-O'!E28*'Tabel Harga'!$F$28</f>
        <v>2250000</v>
      </c>
      <c r="F28" s="12">
        <f>'Tabel I-O'!F28*'Tabel Harga'!$F$28</f>
        <v>2250000</v>
      </c>
      <c r="G28" s="12">
        <f>'Tabel I-O'!G28*'Tabel Harga'!$F$28</f>
        <v>2250000</v>
      </c>
      <c r="H28" s="12">
        <f>'Tabel I-O'!H28*'Tabel Harga'!$F$28</f>
        <v>2250000</v>
      </c>
      <c r="I28" s="12">
        <f>'Tabel I-O'!I28*'Tabel Harga'!$F$28</f>
        <v>2250000</v>
      </c>
      <c r="J28" s="12">
        <f>'Tabel I-O'!J28*'Tabel Harga'!$F$28</f>
        <v>1500000</v>
      </c>
      <c r="K28" s="12">
        <f>'Tabel I-O'!K28*'Tabel Harga'!$F$28</f>
        <v>1500000</v>
      </c>
      <c r="L28" s="12">
        <f>'Tabel I-O'!L28*'Tabel Harga'!$F$28</f>
        <v>1500000</v>
      </c>
      <c r="M28" s="12">
        <f>'Tabel I-O'!M28*'Tabel Harga'!$F$28</f>
        <v>1500000</v>
      </c>
      <c r="N28" s="12">
        <f>'Tabel I-O'!N28*'Tabel Harga'!$F$28</f>
        <v>1500000</v>
      </c>
      <c r="O28" s="12">
        <f>'Tabel I-O'!O28*'Tabel Harga'!$F$28</f>
        <v>1500000</v>
      </c>
      <c r="P28" s="12">
        <f>'Tabel I-O'!P28*'Tabel Harga'!$F$28</f>
        <v>1500000</v>
      </c>
      <c r="Q28" s="12">
        <f>'Tabel I-O'!Q28*'Tabel Harga'!$F$28</f>
        <v>1500000</v>
      </c>
      <c r="R28" s="12">
        <f>'Tabel I-O'!R28*'Tabel Harga'!$F$28</f>
        <v>1500000</v>
      </c>
      <c r="S28" s="12">
        <f>'Tabel I-O'!S28*'Tabel Harga'!$F$28</f>
        <v>2250000</v>
      </c>
      <c r="T28" s="12">
        <f>'Tabel I-O'!T28*'Tabel Harga'!$F$28</f>
        <v>2250000</v>
      </c>
      <c r="U28" s="12">
        <f>'Tabel I-O'!U28*'Tabel Harga'!$F$28</f>
        <v>1500000</v>
      </c>
      <c r="V28" s="12">
        <f>'Tabel I-O'!V28*'Tabel Harga'!$F$28</f>
        <v>1500000</v>
      </c>
      <c r="W28" s="12">
        <f>'Tabel I-O'!W28*'Tabel Harga'!$F$28</f>
        <v>1500000</v>
      </c>
      <c r="X28" s="12">
        <f>'Tabel I-O'!X28*'Tabel Harga'!$F$28</f>
        <v>1500000</v>
      </c>
      <c r="Y28" s="12">
        <f>'Tabel I-O'!Y28*'Tabel Harga'!$F$28</f>
        <v>1500000</v>
      </c>
      <c r="Z28" s="12">
        <f>'Tabel I-O'!Z28*'Tabel Harga'!$F$28</f>
        <v>1500000</v>
      </c>
      <c r="AA28" s="12">
        <f>'Tabel I-O'!AA28*'Tabel Harga'!$F$28</f>
        <v>1500000</v>
      </c>
      <c r="AB28" s="12">
        <f>'Tabel I-O'!AB28*'Tabel Harga'!$F$28</f>
        <v>1500000</v>
      </c>
      <c r="AC28" s="12">
        <f>'Tabel I-O'!AC28*'Tabel Harga'!$F$28</f>
        <v>1500000</v>
      </c>
      <c r="AD28" s="12">
        <f>'Tabel I-O'!AD28*'Tabel Harga'!$F$28</f>
        <v>1500000</v>
      </c>
      <c r="AE28" s="12">
        <f>'Tabel I-O'!AE28*'Tabel Harga'!$F$28</f>
        <v>1500000</v>
      </c>
      <c r="AF28" s="12">
        <f>'Tabel I-O'!AF28*'Tabel Harga'!$F$28</f>
        <v>1500000</v>
      </c>
      <c r="AG28" s="12">
        <f>'Tabel I-O'!AG28*'Tabel Harga'!$F$28</f>
        <v>1500000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2" t="s">
        <v>82</v>
      </c>
      <c r="C29" s="19" t="s">
        <v>5</v>
      </c>
      <c r="D29" s="12">
        <f>'Tabel I-O'!D29*'Tabel Harga'!$E$29</f>
        <v>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78" t="s">
        <v>87</v>
      </c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2" t="s">
        <v>102</v>
      </c>
      <c r="C31" s="19" t="s">
        <v>5</v>
      </c>
      <c r="D31" s="12">
        <f>'Tabel I-O'!D31*'Tabel Harga'!$F$31</f>
        <v>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2700000</v>
      </c>
      <c r="J31" s="12">
        <f>'Tabel I-O'!J31*'Tabel Harga'!$F$31</f>
        <v>2700000</v>
      </c>
      <c r="K31" s="12">
        <f>'Tabel I-O'!K31*'Tabel Harga'!$F$31</f>
        <v>2700000</v>
      </c>
      <c r="L31" s="12">
        <f>'Tabel I-O'!L31*'Tabel Harga'!$F$31</f>
        <v>2700000</v>
      </c>
      <c r="M31" s="12">
        <f>'Tabel I-O'!M31*'Tabel Harga'!$F$31</f>
        <v>2700000</v>
      </c>
      <c r="N31" s="12">
        <f>'Tabel I-O'!N31*'Tabel Harga'!$F$31</f>
        <v>2700000</v>
      </c>
      <c r="O31" s="12">
        <f>'Tabel I-O'!O31*'Tabel Harga'!$F$31</f>
        <v>2700000</v>
      </c>
      <c r="P31" s="12">
        <f>'Tabel I-O'!P31*'Tabel Harga'!$F$31</f>
        <v>2700000</v>
      </c>
      <c r="Q31" s="12">
        <f>'Tabel I-O'!Q31*'Tabel Harga'!$F$31</f>
        <v>2700000</v>
      </c>
      <c r="R31" s="12">
        <f>'Tabel I-O'!R31*'Tabel Harga'!$F$31</f>
        <v>2700000</v>
      </c>
      <c r="S31" s="12">
        <f>'Tabel I-O'!S31*'Tabel Harga'!$F$31</f>
        <v>0</v>
      </c>
      <c r="T31" s="12">
        <f>'Tabel I-O'!T31*'Tabel Harga'!$F$31</f>
        <v>0</v>
      </c>
      <c r="U31" s="12">
        <f>'Tabel I-O'!U31*'Tabel Harga'!$F$31</f>
        <v>0</v>
      </c>
      <c r="V31" s="12">
        <f>'Tabel I-O'!V31*'Tabel Harga'!$F$31</f>
        <v>0</v>
      </c>
      <c r="W31" s="12">
        <f>'Tabel I-O'!W31*'Tabel Harga'!$F$31</f>
        <v>0</v>
      </c>
      <c r="X31" s="12">
        <f>'Tabel I-O'!X31*'Tabel Harga'!$F$31</f>
        <v>2700000</v>
      </c>
      <c r="Y31" s="12">
        <f>'Tabel I-O'!Y31*'Tabel Harga'!$F$31</f>
        <v>2700000</v>
      </c>
      <c r="Z31" s="12">
        <f>'Tabel I-O'!Z31*'Tabel Harga'!$F$31</f>
        <v>2700000</v>
      </c>
      <c r="AA31" s="12">
        <f>'Tabel I-O'!AA31*'Tabel Harga'!$F$31</f>
        <v>2700000</v>
      </c>
      <c r="AB31" s="12">
        <f>'Tabel I-O'!AB31*'Tabel Harga'!$F$31</f>
        <v>2700000</v>
      </c>
      <c r="AC31" s="12">
        <f>'Tabel I-O'!AC31*'Tabel Harga'!$F$31</f>
        <v>2700000</v>
      </c>
      <c r="AD31" s="12">
        <f>'Tabel I-O'!AD31*'Tabel Harga'!$F$31</f>
        <v>2700000</v>
      </c>
      <c r="AE31" s="12">
        <f>'Tabel I-O'!AE31*'Tabel Harga'!$F$31</f>
        <v>2700000</v>
      </c>
      <c r="AF31" s="12">
        <f>'Tabel I-O'!AF31*'Tabel Harga'!$F$31</f>
        <v>2700000</v>
      </c>
      <c r="AG31" s="12">
        <f>'Tabel I-O'!AG31*'Tabel Harga'!$F$31</f>
        <v>2700000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78" t="s">
        <v>88</v>
      </c>
      <c r="C32" s="19" t="s">
        <v>5</v>
      </c>
      <c r="D32" s="12">
        <f>'Tabel I-O'!D32*'Tabel Harga'!$F$32</f>
        <v>0</v>
      </c>
      <c r="E32" s="12">
        <f>'Tabel I-O'!E32*'Tabel Harga'!$F$32</f>
        <v>0</v>
      </c>
      <c r="F32" s="12">
        <f>'Tabel I-O'!F32*'Tabel Harga'!$F$32</f>
        <v>0</v>
      </c>
      <c r="G32" s="12">
        <f>'Tabel I-O'!G32*'Tabel Harga'!$F$32</f>
        <v>0</v>
      </c>
      <c r="H32" s="12">
        <f>'Tabel I-O'!H32*'Tabel Harga'!$F$32</f>
        <v>0</v>
      </c>
      <c r="I32" s="12">
        <f>'Tabel I-O'!I32*'Tabel Harga'!$F$32</f>
        <v>480000</v>
      </c>
      <c r="J32" s="12">
        <f>'Tabel I-O'!J32*'Tabel Harga'!$F$32</f>
        <v>480000</v>
      </c>
      <c r="K32" s="12">
        <f>'Tabel I-O'!K32*'Tabel Harga'!$F$32</f>
        <v>1200000</v>
      </c>
      <c r="L32" s="12">
        <f>'Tabel I-O'!L32*'Tabel Harga'!$F$32</f>
        <v>1200000</v>
      </c>
      <c r="M32" s="12">
        <f>'Tabel I-O'!M32*'Tabel Harga'!$F$32</f>
        <v>1200000</v>
      </c>
      <c r="N32" s="12">
        <f>'Tabel I-O'!N32*'Tabel Harga'!$F$32</f>
        <v>480000</v>
      </c>
      <c r="O32" s="12">
        <f>'Tabel I-O'!O32*'Tabel Harga'!$F$32</f>
        <v>480000</v>
      </c>
      <c r="P32" s="12">
        <f>'Tabel I-O'!P32*'Tabel Harga'!$F$32</f>
        <v>480000</v>
      </c>
      <c r="Q32" s="12">
        <f>'Tabel I-O'!Q32*'Tabel Harga'!$F$32</f>
        <v>480000</v>
      </c>
      <c r="R32" s="12">
        <f>'Tabel I-O'!R32*'Tabel Harga'!$F$32</f>
        <v>480000</v>
      </c>
      <c r="S32" s="12">
        <f>'Tabel I-O'!S32*'Tabel Harga'!$F$32</f>
        <v>0</v>
      </c>
      <c r="T32" s="12">
        <f>'Tabel I-O'!T32*'Tabel Harga'!$F$32</f>
        <v>0</v>
      </c>
      <c r="U32" s="12">
        <f>'Tabel I-O'!U32*'Tabel Harga'!$F$32</f>
        <v>0</v>
      </c>
      <c r="V32" s="12">
        <f>'Tabel I-O'!V32*'Tabel Harga'!$F$32</f>
        <v>0</v>
      </c>
      <c r="W32" s="12">
        <f>'Tabel I-O'!W32*'Tabel Harga'!$F$32</f>
        <v>0</v>
      </c>
      <c r="X32" s="12">
        <f>'Tabel I-O'!X32*'Tabel Harga'!$F$32</f>
        <v>480000</v>
      </c>
      <c r="Y32" s="12">
        <f>'Tabel I-O'!Y32*'Tabel Harga'!$F$32</f>
        <v>480000</v>
      </c>
      <c r="Z32" s="12">
        <f>'Tabel I-O'!Z32*'Tabel Harga'!$F$32</f>
        <v>1200000</v>
      </c>
      <c r="AA32" s="12">
        <f>'Tabel I-O'!AA32*'Tabel Harga'!$F$32</f>
        <v>1200000</v>
      </c>
      <c r="AB32" s="12">
        <f>'Tabel I-O'!AB32*'Tabel Harga'!$F$32</f>
        <v>1200000</v>
      </c>
      <c r="AC32" s="12">
        <f>'Tabel I-O'!AC32*'Tabel Harga'!$F$32</f>
        <v>480000</v>
      </c>
      <c r="AD32" s="12">
        <f>'Tabel I-O'!AD32*'Tabel Harga'!$F$32</f>
        <v>480000</v>
      </c>
      <c r="AE32" s="12">
        <f>'Tabel I-O'!AE32*'Tabel Harga'!$F$32</f>
        <v>480000</v>
      </c>
      <c r="AF32" s="12">
        <f>'Tabel I-O'!AF32*'Tabel Harga'!$F$32</f>
        <v>480000</v>
      </c>
      <c r="AG32" s="12">
        <f>'Tabel I-O'!AG32*'Tabel Harga'!$F$32</f>
        <v>480000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78" t="s">
        <v>90</v>
      </c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6" t="s">
        <v>24</v>
      </c>
      <c r="C34" s="19" t="s">
        <v>5</v>
      </c>
      <c r="D34" s="10">
        <f t="shared" ref="D34:AG34" si="0">SUM(D8:D33)</f>
        <v>11425000</v>
      </c>
      <c r="E34" s="10">
        <f t="shared" si="0"/>
        <v>2900000</v>
      </c>
      <c r="F34" s="10">
        <f t="shared" si="0"/>
        <v>2300000</v>
      </c>
      <c r="G34" s="10">
        <f t="shared" si="0"/>
        <v>2275000</v>
      </c>
      <c r="H34" s="10">
        <f t="shared" si="0"/>
        <v>2300000</v>
      </c>
      <c r="I34" s="10">
        <f t="shared" si="0"/>
        <v>5430000</v>
      </c>
      <c r="J34" s="10">
        <f t="shared" si="0"/>
        <v>4730000</v>
      </c>
      <c r="K34" s="10">
        <f t="shared" si="0"/>
        <v>5400000</v>
      </c>
      <c r="L34" s="10">
        <f t="shared" si="0"/>
        <v>5475000</v>
      </c>
      <c r="M34" s="10">
        <f t="shared" si="0"/>
        <v>5400000</v>
      </c>
      <c r="N34" s="10">
        <f t="shared" si="0"/>
        <v>4730000</v>
      </c>
      <c r="O34" s="10">
        <f t="shared" si="0"/>
        <v>4680000</v>
      </c>
      <c r="P34" s="10">
        <f t="shared" si="0"/>
        <v>4730000</v>
      </c>
      <c r="Q34" s="10">
        <f t="shared" si="0"/>
        <v>4705000</v>
      </c>
      <c r="R34" s="10">
        <f t="shared" si="0"/>
        <v>4730000</v>
      </c>
      <c r="S34" s="10">
        <f t="shared" si="0"/>
        <v>8750000</v>
      </c>
      <c r="T34" s="10">
        <f t="shared" si="0"/>
        <v>2950000</v>
      </c>
      <c r="U34" s="10">
        <f t="shared" si="0"/>
        <v>1500000</v>
      </c>
      <c r="V34" s="10">
        <f t="shared" si="0"/>
        <v>1575000</v>
      </c>
      <c r="W34" s="10">
        <f t="shared" si="0"/>
        <v>1500000</v>
      </c>
      <c r="X34" s="10">
        <f t="shared" si="0"/>
        <v>4730000</v>
      </c>
      <c r="Y34" s="10">
        <f t="shared" si="0"/>
        <v>4680000</v>
      </c>
      <c r="Z34" s="10">
        <f t="shared" si="0"/>
        <v>5450000</v>
      </c>
      <c r="AA34" s="10">
        <f t="shared" si="0"/>
        <v>5425000</v>
      </c>
      <c r="AB34" s="10">
        <f t="shared" si="0"/>
        <v>5450000</v>
      </c>
      <c r="AC34" s="10">
        <f t="shared" si="0"/>
        <v>4680000</v>
      </c>
      <c r="AD34" s="10">
        <f t="shared" si="0"/>
        <v>4730000</v>
      </c>
      <c r="AE34" s="10">
        <f t="shared" si="0"/>
        <v>4680000</v>
      </c>
      <c r="AF34" s="10">
        <f t="shared" si="0"/>
        <v>4755000</v>
      </c>
      <c r="AG34" s="10">
        <f t="shared" si="0"/>
        <v>4680000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8"/>
      <c r="C35" s="19"/>
      <c r="D35" s="12"/>
      <c r="E35" s="12"/>
      <c r="F35" s="12"/>
      <c r="G35" s="12"/>
      <c r="H35" s="12"/>
      <c r="I35" s="12"/>
      <c r="J35" s="12"/>
      <c r="K35" s="13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31" t="s">
        <v>27</v>
      </c>
      <c r="C36" s="32"/>
      <c r="D36" s="33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2:49">
      <c r="B37" s="18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6" t="s">
        <v>91</v>
      </c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35" t="s">
        <v>102</v>
      </c>
      <c r="C40" s="19" t="s">
        <v>5</v>
      </c>
      <c r="D40" s="12">
        <f>'Tabel I-O'!D39*'Tabel Harga'!$F$39</f>
        <v>0</v>
      </c>
      <c r="E40" s="12">
        <f>'Tabel I-O'!E39*'Tabel Harga'!$F$39</f>
        <v>0</v>
      </c>
      <c r="F40" s="12">
        <f>'Tabel I-O'!F39*'Tabel Harga'!$F$39</f>
        <v>0</v>
      </c>
      <c r="G40" s="12">
        <f>'Tabel I-O'!G39*'Tabel Harga'!$F$39</f>
        <v>0</v>
      </c>
      <c r="H40" s="12">
        <f>'Tabel I-O'!H39*'Tabel Harga'!$F$39</f>
        <v>0</v>
      </c>
      <c r="I40" s="12">
        <f>'Tabel I-O'!I39*'Tabel Harga'!$F$39</f>
        <v>9600000</v>
      </c>
      <c r="J40" s="12">
        <f>'Tabel I-O'!J39*'Tabel Harga'!$F$39</f>
        <v>9600000</v>
      </c>
      <c r="K40" s="12">
        <f>'Tabel I-O'!K39*'Tabel Harga'!$F$39</f>
        <v>24000000</v>
      </c>
      <c r="L40" s="12">
        <f>'Tabel I-O'!L39*'Tabel Harga'!$F$39</f>
        <v>24000000</v>
      </c>
      <c r="M40" s="12">
        <f>'Tabel I-O'!M39*'Tabel Harga'!$F$39</f>
        <v>24000000</v>
      </c>
      <c r="N40" s="12">
        <f>'Tabel I-O'!N39*'Tabel Harga'!$F$39</f>
        <v>9600000</v>
      </c>
      <c r="O40" s="12">
        <f>'Tabel I-O'!O39*'Tabel Harga'!$F$39</f>
        <v>9600000</v>
      </c>
      <c r="P40" s="12">
        <f>'Tabel I-O'!P39*'Tabel Harga'!$F$39</f>
        <v>9600000</v>
      </c>
      <c r="Q40" s="12">
        <f>'Tabel I-O'!Q39*'Tabel Harga'!$F$39</f>
        <v>9600000</v>
      </c>
      <c r="R40" s="12"/>
      <c r="S40" s="12"/>
      <c r="T40" s="12">
        <f>'Tabel I-O'!T39*'Tabel Harga'!$F$39</f>
        <v>0</v>
      </c>
      <c r="U40" s="12">
        <f>'Tabel I-O'!U39*'Tabel Harga'!$F$39</f>
        <v>0</v>
      </c>
      <c r="V40" s="12">
        <f>'Tabel I-O'!V39*'Tabel Harga'!$F$39</f>
        <v>0</v>
      </c>
      <c r="W40" s="12">
        <f>'Tabel I-O'!W39*'Tabel Harga'!$F$39</f>
        <v>0</v>
      </c>
      <c r="X40" s="12">
        <f>'Tabel I-O'!X39*'Tabel Harga'!$F$39</f>
        <v>9600000</v>
      </c>
      <c r="Y40" s="12">
        <f>'Tabel I-O'!Y39*'Tabel Harga'!$F$39</f>
        <v>9600000</v>
      </c>
      <c r="Z40" s="12">
        <f>'Tabel I-O'!Z39*'Tabel Harga'!$F$39</f>
        <v>24000000</v>
      </c>
      <c r="AA40" s="12">
        <f>'Tabel I-O'!AA39*'Tabel Harga'!$F$39</f>
        <v>24000000</v>
      </c>
      <c r="AB40" s="12">
        <f>'Tabel I-O'!AB39*'Tabel Harga'!$F$39</f>
        <v>24000000</v>
      </c>
      <c r="AC40" s="12">
        <f>'Tabel I-O'!AC39*'Tabel Harga'!$F$39</f>
        <v>9600000</v>
      </c>
      <c r="AD40" s="12">
        <f>'Tabel I-O'!AD39*'Tabel Harga'!$F$39</f>
        <v>9600000</v>
      </c>
      <c r="AE40" s="12">
        <f>'Tabel I-O'!AE39*'Tabel Harga'!$F$39</f>
        <v>9600000</v>
      </c>
      <c r="AF40" s="12">
        <f>'Tabel I-O'!AF39*'Tabel Harga'!$F$39</f>
        <v>9600000</v>
      </c>
      <c r="AG40" s="12">
        <f>'Tabel I-O'!AG39*'Tabel Harga'!$F$39</f>
        <v>9600000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35" t="s">
        <v>159</v>
      </c>
      <c r="C41" s="19" t="s">
        <v>5</v>
      </c>
      <c r="D41" s="12">
        <f>'Tabel I-O'!D40*'Tabel Harga'!$F$40</f>
        <v>0</v>
      </c>
      <c r="E41" s="12">
        <f>'Tabel I-O'!E40*'Tabel Harga'!$F$40</f>
        <v>0</v>
      </c>
      <c r="F41" s="12">
        <f>'Tabel I-O'!F40*'Tabel Harga'!$F$40</f>
        <v>0</v>
      </c>
      <c r="G41" s="12">
        <f>'Tabel I-O'!G40*'Tabel Harga'!$F$40</f>
        <v>0</v>
      </c>
      <c r="H41" s="12">
        <f>'Tabel I-O'!H40*'Tabel Harga'!$F$40</f>
        <v>0</v>
      </c>
      <c r="I41" s="12">
        <f>'Tabel I-O'!I40*'Tabel Harga'!$F$40</f>
        <v>0</v>
      </c>
      <c r="J41" s="12">
        <f>'Tabel I-O'!J40*'Tabel Harga'!$F$40</f>
        <v>0</v>
      </c>
      <c r="K41" s="12">
        <f>'Tabel I-O'!K40*'Tabel Harga'!$F$40</f>
        <v>0</v>
      </c>
      <c r="L41" s="12">
        <f>'Tabel I-O'!L40*'Tabel Harga'!$F$40</f>
        <v>0</v>
      </c>
      <c r="M41" s="12">
        <f>'Tabel I-O'!M40*'Tabel Harga'!$F$40</f>
        <v>0</v>
      </c>
      <c r="N41" s="12">
        <f>'Tabel I-O'!N40*'Tabel Harga'!$F$40</f>
        <v>0</v>
      </c>
      <c r="O41" s="12">
        <f>'Tabel I-O'!O40*'Tabel Harga'!$F$40</f>
        <v>0</v>
      </c>
      <c r="P41" s="12">
        <f>'Tabel I-O'!P40*'Tabel Harga'!$F$40</f>
        <v>0</v>
      </c>
      <c r="Q41" s="12">
        <f>'Tabel I-O'!Q40*'Tabel Harga'!$F$40</f>
        <v>0</v>
      </c>
      <c r="R41" s="12">
        <f>'Tabel I-O'!R40*'Tabel Harga'!$F$40</f>
        <v>0</v>
      </c>
      <c r="S41" s="12">
        <f>'Tabel I-O'!S40*'Tabel Harga'!$F$40</f>
        <v>0</v>
      </c>
      <c r="T41" s="12">
        <f>'Tabel I-O'!T40*'Tabel Harga'!$F$40</f>
        <v>0</v>
      </c>
      <c r="U41" s="12">
        <f>'Tabel I-O'!U40*'Tabel Harga'!$F$40</f>
        <v>0</v>
      </c>
      <c r="V41" s="12">
        <f>'Tabel I-O'!V40*'Tabel Harga'!$F$40</f>
        <v>0</v>
      </c>
      <c r="W41" s="12">
        <f>'Tabel I-O'!W40*'Tabel Harga'!$F$40</f>
        <v>0</v>
      </c>
      <c r="X41" s="12">
        <f>'Tabel I-O'!X40*'Tabel Harga'!$F$40</f>
        <v>0</v>
      </c>
      <c r="Y41" s="12">
        <f>'Tabel I-O'!Y40*'Tabel Harga'!$F$40</f>
        <v>0</v>
      </c>
      <c r="Z41" s="12">
        <f>'Tabel I-O'!Z40*'Tabel Harga'!$F$40</f>
        <v>0</v>
      </c>
      <c r="AA41" s="12">
        <f>'Tabel I-O'!AA40*'Tabel Harga'!$F$40</f>
        <v>0</v>
      </c>
      <c r="AB41" s="12">
        <f>'Tabel I-O'!AB40*'Tabel Harga'!$F$40</f>
        <v>0</v>
      </c>
      <c r="AC41" s="12">
        <f>'Tabel I-O'!AC40*'Tabel Harga'!$F$40</f>
        <v>0</v>
      </c>
      <c r="AD41" s="12">
        <f>'Tabel I-O'!AD40*'Tabel Harga'!$F$40</f>
        <v>0</v>
      </c>
      <c r="AE41" s="12">
        <f>'Tabel I-O'!AE40*'Tabel Harga'!$F$40</f>
        <v>0</v>
      </c>
      <c r="AF41" s="12">
        <f>'Tabel I-O'!AF40*'Tabel Harga'!$F$40</f>
        <v>0</v>
      </c>
      <c r="AG41" s="12">
        <f>'Tabel I-O'!AG40*'Tabel Harga'!$F$40</f>
        <v>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6" t="s">
        <v>25</v>
      </c>
      <c r="C42" s="19" t="s">
        <v>5</v>
      </c>
      <c r="D42" s="14">
        <f>SUM(D40:D41)</f>
        <v>0</v>
      </c>
      <c r="E42" s="14">
        <f t="shared" ref="E42:AG42" si="1">SUM(E40:E41)</f>
        <v>0</v>
      </c>
      <c r="F42" s="14">
        <f t="shared" si="1"/>
        <v>0</v>
      </c>
      <c r="G42" s="14">
        <f t="shared" si="1"/>
        <v>0</v>
      </c>
      <c r="H42" s="14">
        <f t="shared" si="1"/>
        <v>0</v>
      </c>
      <c r="I42" s="14">
        <f t="shared" si="1"/>
        <v>9600000</v>
      </c>
      <c r="J42" s="14">
        <f t="shared" si="1"/>
        <v>9600000</v>
      </c>
      <c r="K42" s="14">
        <f t="shared" si="1"/>
        <v>24000000</v>
      </c>
      <c r="L42" s="14">
        <f t="shared" si="1"/>
        <v>24000000</v>
      </c>
      <c r="M42" s="14">
        <f t="shared" si="1"/>
        <v>24000000</v>
      </c>
      <c r="N42" s="14">
        <f t="shared" si="1"/>
        <v>9600000</v>
      </c>
      <c r="O42" s="14">
        <f t="shared" si="1"/>
        <v>9600000</v>
      </c>
      <c r="P42" s="14">
        <f t="shared" si="1"/>
        <v>9600000</v>
      </c>
      <c r="Q42" s="14">
        <f t="shared" si="1"/>
        <v>9600000</v>
      </c>
      <c r="R42" s="14">
        <f t="shared" si="1"/>
        <v>0</v>
      </c>
      <c r="S42" s="14">
        <f t="shared" si="1"/>
        <v>0</v>
      </c>
      <c r="T42" s="14">
        <f t="shared" si="1"/>
        <v>0</v>
      </c>
      <c r="U42" s="14">
        <f t="shared" si="1"/>
        <v>0</v>
      </c>
      <c r="V42" s="14">
        <f t="shared" si="1"/>
        <v>0</v>
      </c>
      <c r="W42" s="14">
        <f t="shared" si="1"/>
        <v>0</v>
      </c>
      <c r="X42" s="14">
        <f t="shared" si="1"/>
        <v>9600000</v>
      </c>
      <c r="Y42" s="14">
        <f t="shared" si="1"/>
        <v>9600000</v>
      </c>
      <c r="Z42" s="14">
        <f t="shared" si="1"/>
        <v>24000000</v>
      </c>
      <c r="AA42" s="14">
        <f t="shared" si="1"/>
        <v>24000000</v>
      </c>
      <c r="AB42" s="14">
        <f t="shared" si="1"/>
        <v>24000000</v>
      </c>
      <c r="AC42" s="14">
        <f t="shared" si="1"/>
        <v>9600000</v>
      </c>
      <c r="AD42" s="14">
        <f t="shared" si="1"/>
        <v>9600000</v>
      </c>
      <c r="AE42" s="14">
        <f t="shared" si="1"/>
        <v>9600000</v>
      </c>
      <c r="AF42" s="14">
        <f t="shared" si="1"/>
        <v>9600000</v>
      </c>
      <c r="AG42" s="14">
        <f t="shared" si="1"/>
        <v>9600000</v>
      </c>
      <c r="AH42" s="15"/>
      <c r="AI42" s="5"/>
      <c r="AJ42" s="5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s="21" customFormat="1">
      <c r="B43" s="145" t="s">
        <v>23</v>
      </c>
      <c r="C43" s="23"/>
      <c r="D43" s="24">
        <f t="shared" ref="D43:AG43" si="2">D42-D34</f>
        <v>-11425000</v>
      </c>
      <c r="E43" s="24">
        <f t="shared" si="2"/>
        <v>-2900000</v>
      </c>
      <c r="F43" s="24">
        <f t="shared" si="2"/>
        <v>-2300000</v>
      </c>
      <c r="G43" s="24">
        <f t="shared" si="2"/>
        <v>-2275000</v>
      </c>
      <c r="H43" s="24">
        <f t="shared" si="2"/>
        <v>-2300000</v>
      </c>
      <c r="I43" s="24">
        <f t="shared" si="2"/>
        <v>4170000</v>
      </c>
      <c r="J43" s="24">
        <f t="shared" si="2"/>
        <v>4870000</v>
      </c>
      <c r="K43" s="24">
        <f t="shared" si="2"/>
        <v>18600000</v>
      </c>
      <c r="L43" s="24">
        <f t="shared" si="2"/>
        <v>18525000</v>
      </c>
      <c r="M43" s="24">
        <f t="shared" si="2"/>
        <v>18600000</v>
      </c>
      <c r="N43" s="24">
        <f t="shared" si="2"/>
        <v>4870000</v>
      </c>
      <c r="O43" s="24">
        <f t="shared" si="2"/>
        <v>4920000</v>
      </c>
      <c r="P43" s="24">
        <f t="shared" si="2"/>
        <v>4870000</v>
      </c>
      <c r="Q43" s="24">
        <f t="shared" si="2"/>
        <v>4895000</v>
      </c>
      <c r="R43" s="24">
        <f t="shared" si="2"/>
        <v>-4730000</v>
      </c>
      <c r="S43" s="24">
        <f t="shared" si="2"/>
        <v>-8750000</v>
      </c>
      <c r="T43" s="24">
        <f t="shared" si="2"/>
        <v>-2950000</v>
      </c>
      <c r="U43" s="24">
        <f t="shared" si="2"/>
        <v>-1500000</v>
      </c>
      <c r="V43" s="24">
        <f t="shared" si="2"/>
        <v>-1575000</v>
      </c>
      <c r="W43" s="24">
        <f t="shared" si="2"/>
        <v>-1500000</v>
      </c>
      <c r="X43" s="24">
        <f t="shared" si="2"/>
        <v>4870000</v>
      </c>
      <c r="Y43" s="24">
        <f t="shared" si="2"/>
        <v>4920000</v>
      </c>
      <c r="Z43" s="24">
        <f t="shared" si="2"/>
        <v>18550000</v>
      </c>
      <c r="AA43" s="24">
        <f t="shared" si="2"/>
        <v>18575000</v>
      </c>
      <c r="AB43" s="24">
        <f t="shared" si="2"/>
        <v>18550000</v>
      </c>
      <c r="AC43" s="24">
        <f t="shared" si="2"/>
        <v>4920000</v>
      </c>
      <c r="AD43" s="24">
        <f t="shared" si="2"/>
        <v>4870000</v>
      </c>
      <c r="AE43" s="24">
        <f t="shared" si="2"/>
        <v>4920000</v>
      </c>
      <c r="AF43" s="24">
        <f t="shared" si="2"/>
        <v>4845000</v>
      </c>
      <c r="AG43" s="24">
        <f t="shared" si="2"/>
        <v>4920000</v>
      </c>
      <c r="AH43" s="25"/>
      <c r="AI43" s="25"/>
      <c r="AJ43" s="25"/>
      <c r="AK43" s="26"/>
      <c r="AL43" s="26"/>
      <c r="AM43" s="26"/>
      <c r="AN43" s="26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2:49">
      <c r="C44" s="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49">
      <c r="B45" s="3" t="s">
        <v>28</v>
      </c>
      <c r="C45" s="5">
        <f>NPV(Summary!$D$7,D43:AG43)</f>
        <v>76969645.890041485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>
      <c r="C46" s="56">
        <f>C45/Summary!D8</f>
        <v>8473.1006043638808</v>
      </c>
    </row>
    <row r="48" spans="2:49">
      <c r="B48" s="184" t="s">
        <v>185</v>
      </c>
      <c r="C48" s="157">
        <f>SUM(D34:AG34)</f>
        <v>136745000</v>
      </c>
      <c r="D48" s="184"/>
    </row>
    <row r="49" spans="2:4">
      <c r="B49" s="185" t="s">
        <v>186</v>
      </c>
      <c r="C49" s="157">
        <f>SUM(D22:AG33)</f>
        <v>124845000</v>
      </c>
      <c r="D49" s="186">
        <f>C49/C48</f>
        <v>0.91297670847197343</v>
      </c>
    </row>
    <row r="50" spans="2:4">
      <c r="B50" s="185" t="s">
        <v>187</v>
      </c>
      <c r="C50" s="187">
        <f>C48-C49</f>
        <v>11900000</v>
      </c>
      <c r="D50" s="186">
        <f>C50/C48</f>
        <v>8.7023291528026625E-2</v>
      </c>
    </row>
    <row r="52" spans="2:4">
      <c r="B52" s="3" t="s">
        <v>196</v>
      </c>
      <c r="C52" s="99">
        <f>NPV(rate_social,D34:G34)</f>
        <v>18012206.739153527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G55"/>
  <sheetViews>
    <sheetView zoomScale="85" zoomScaleNormal="85" workbookViewId="0">
      <selection activeCell="C5" sqref="C5"/>
    </sheetView>
  </sheetViews>
  <sheetFormatPr defaultRowHeight="12.75"/>
  <cols>
    <col min="1" max="1" width="14.42578125" style="58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7.7109375" bestFit="1" customWidth="1"/>
    <col min="8" max="8" width="7.85546875" customWidth="1"/>
    <col min="9" max="9" width="7.7109375" customWidth="1"/>
    <col min="10" max="10" width="11.5703125" bestFit="1" customWidth="1"/>
    <col min="11" max="11" width="7.7109375" bestFit="1" customWidth="1"/>
    <col min="12" max="12" width="7.7109375" customWidth="1"/>
    <col min="13" max="13" width="7.7109375" bestFit="1" customWidth="1"/>
    <col min="14" max="24" width="9" customWidth="1"/>
    <col min="25" max="25" width="7.85546875" customWidth="1"/>
    <col min="26" max="27" width="7.7109375" bestFit="1" customWidth="1"/>
    <col min="28" max="28" width="7.5703125" bestFit="1" customWidth="1"/>
    <col min="29" max="32" width="6.7109375" bestFit="1" customWidth="1"/>
  </cols>
  <sheetData>
    <row r="1" spans="1:33">
      <c r="A1" s="59" t="s">
        <v>78</v>
      </c>
    </row>
    <row r="2" spans="1:33">
      <c r="A2" s="59" t="s">
        <v>79</v>
      </c>
      <c r="B2" s="88"/>
      <c r="K2">
        <f>336/1625</f>
        <v>0.20676923076923076</v>
      </c>
    </row>
    <row r="3" spans="1:33">
      <c r="A3" s="59"/>
      <c r="B3" s="77"/>
      <c r="D3" s="61"/>
    </row>
    <row r="4" spans="1:33">
      <c r="A4" s="90"/>
      <c r="B4" s="88"/>
      <c r="C4" s="83"/>
      <c r="D4" s="61"/>
    </row>
    <row r="5" spans="1:33">
      <c r="A5" s="90" t="s">
        <v>103</v>
      </c>
      <c r="B5" s="88" t="s">
        <v>199</v>
      </c>
      <c r="C5" s="83">
        <v>1000</v>
      </c>
      <c r="D5" s="206">
        <f>C5/24</f>
        <v>41.666666666666664</v>
      </c>
      <c r="J5" s="83"/>
    </row>
    <row r="7" spans="1:33">
      <c r="B7" s="143" t="s">
        <v>127</v>
      </c>
      <c r="C7" s="110">
        <v>1</v>
      </c>
      <c r="D7" s="110">
        <v>2</v>
      </c>
      <c r="E7" s="110">
        <v>3</v>
      </c>
      <c r="F7" s="110">
        <v>4</v>
      </c>
      <c r="G7" s="110">
        <v>5</v>
      </c>
      <c r="H7" s="110">
        <v>6</v>
      </c>
      <c r="I7" s="110">
        <v>7</v>
      </c>
      <c r="J7" s="110">
        <v>8</v>
      </c>
      <c r="K7" s="110">
        <v>9</v>
      </c>
      <c r="L7" s="110">
        <v>10</v>
      </c>
      <c r="M7" s="110">
        <v>11</v>
      </c>
      <c r="N7" s="110">
        <v>12</v>
      </c>
      <c r="O7" s="110">
        <v>13</v>
      </c>
      <c r="P7" s="110">
        <v>14</v>
      </c>
      <c r="Q7" s="110">
        <v>15</v>
      </c>
      <c r="R7" s="110">
        <v>16</v>
      </c>
      <c r="S7" s="110">
        <v>17</v>
      </c>
      <c r="T7" s="110">
        <v>18</v>
      </c>
      <c r="U7" s="110">
        <v>19</v>
      </c>
      <c r="V7" s="110">
        <v>20</v>
      </c>
      <c r="W7" s="110">
        <v>21</v>
      </c>
      <c r="X7" s="110">
        <v>22</v>
      </c>
      <c r="Y7" s="110">
        <v>23</v>
      </c>
      <c r="Z7" s="110">
        <v>24</v>
      </c>
      <c r="AA7" s="110">
        <v>25</v>
      </c>
      <c r="AB7" s="110">
        <v>26</v>
      </c>
      <c r="AC7" s="110">
        <v>27</v>
      </c>
      <c r="AD7" s="110">
        <v>28</v>
      </c>
      <c r="AE7" s="110">
        <v>29</v>
      </c>
      <c r="AF7" s="110">
        <v>30</v>
      </c>
    </row>
    <row r="8" spans="1:33">
      <c r="B8" s="144" t="s">
        <v>128</v>
      </c>
      <c r="C8" s="107">
        <v>0</v>
      </c>
      <c r="D8" s="107">
        <v>0</v>
      </c>
      <c r="E8" s="107">
        <v>0</v>
      </c>
      <c r="F8" s="107">
        <v>0</v>
      </c>
      <c r="G8" s="107">
        <v>0</v>
      </c>
      <c r="H8" s="108">
        <f>$J$42</f>
        <v>0</v>
      </c>
      <c r="I8" s="108">
        <f>$J$42</f>
        <v>0</v>
      </c>
      <c r="J8" s="108">
        <f>$J$42</f>
        <v>0</v>
      </c>
      <c r="K8" s="108">
        <f>$J$42</f>
        <v>0</v>
      </c>
      <c r="L8" s="108">
        <f>$J$42</f>
        <v>0</v>
      </c>
      <c r="M8" s="108">
        <f>$J$43</f>
        <v>0</v>
      </c>
      <c r="N8" s="108">
        <f>$J$43</f>
        <v>0</v>
      </c>
      <c r="O8" s="108">
        <f>$J$43</f>
        <v>0</v>
      </c>
      <c r="P8" s="108">
        <f>$J$43</f>
        <v>0</v>
      </c>
      <c r="Q8" s="108">
        <f>$J$43</f>
        <v>0</v>
      </c>
      <c r="R8" s="108">
        <f>$J$44</f>
        <v>0</v>
      </c>
      <c r="S8" s="108">
        <f>$J$44</f>
        <v>0</v>
      </c>
      <c r="T8" s="108">
        <f>$J$44</f>
        <v>0</v>
      </c>
      <c r="U8" s="108">
        <f>$J$44</f>
        <v>0</v>
      </c>
      <c r="V8" s="108">
        <f>$J$44</f>
        <v>0</v>
      </c>
      <c r="W8" s="108">
        <f t="shared" ref="W8:AF8" si="0">$J$43</f>
        <v>0</v>
      </c>
      <c r="X8" s="108">
        <f t="shared" si="0"/>
        <v>0</v>
      </c>
      <c r="Y8" s="108">
        <f t="shared" si="0"/>
        <v>0</v>
      </c>
      <c r="Z8" s="108">
        <f t="shared" si="0"/>
        <v>0</v>
      </c>
      <c r="AA8" s="108">
        <f t="shared" si="0"/>
        <v>0</v>
      </c>
      <c r="AB8" s="108">
        <f t="shared" si="0"/>
        <v>0</v>
      </c>
      <c r="AC8" s="108">
        <f t="shared" si="0"/>
        <v>0</v>
      </c>
      <c r="AD8" s="108">
        <f t="shared" si="0"/>
        <v>0</v>
      </c>
      <c r="AE8" s="108">
        <f t="shared" si="0"/>
        <v>0</v>
      </c>
      <c r="AF8" s="108">
        <f t="shared" si="0"/>
        <v>0</v>
      </c>
      <c r="AG8" s="98"/>
    </row>
    <row r="9" spans="1:33">
      <c r="B9" s="144" t="s">
        <v>129</v>
      </c>
      <c r="C9" s="107">
        <f t="shared" ref="C9:AF9" si="1">C8/4</f>
        <v>0</v>
      </c>
      <c r="D9" s="107">
        <f t="shared" si="1"/>
        <v>0</v>
      </c>
      <c r="E9" s="107">
        <f t="shared" si="1"/>
        <v>0</v>
      </c>
      <c r="F9" s="107">
        <f t="shared" si="1"/>
        <v>0</v>
      </c>
      <c r="G9" s="107">
        <f t="shared" si="1"/>
        <v>0</v>
      </c>
      <c r="H9" s="107">
        <f t="shared" si="1"/>
        <v>0</v>
      </c>
      <c r="I9" s="107">
        <f t="shared" si="1"/>
        <v>0</v>
      </c>
      <c r="J9" s="107">
        <f t="shared" si="1"/>
        <v>0</v>
      </c>
      <c r="K9" s="107">
        <f t="shared" si="1"/>
        <v>0</v>
      </c>
      <c r="L9" s="107">
        <f t="shared" si="1"/>
        <v>0</v>
      </c>
      <c r="M9" s="107">
        <f t="shared" si="1"/>
        <v>0</v>
      </c>
      <c r="N9" s="107">
        <f t="shared" si="1"/>
        <v>0</v>
      </c>
      <c r="O9" s="107">
        <f t="shared" si="1"/>
        <v>0</v>
      </c>
      <c r="P9" s="107">
        <f t="shared" si="1"/>
        <v>0</v>
      </c>
      <c r="Q9" s="107">
        <f t="shared" si="1"/>
        <v>0</v>
      </c>
      <c r="R9" s="107">
        <f>Q9</f>
        <v>0</v>
      </c>
      <c r="S9" s="107">
        <f t="shared" ref="S9:V9" si="2">R9</f>
        <v>0</v>
      </c>
      <c r="T9" s="107">
        <f t="shared" si="2"/>
        <v>0</v>
      </c>
      <c r="U9" s="107">
        <f t="shared" si="2"/>
        <v>0</v>
      </c>
      <c r="V9" s="107">
        <f t="shared" si="2"/>
        <v>0</v>
      </c>
      <c r="W9" s="107">
        <f t="shared" si="1"/>
        <v>0</v>
      </c>
      <c r="X9" s="107">
        <f t="shared" si="1"/>
        <v>0</v>
      </c>
      <c r="Y9" s="107">
        <f t="shared" si="1"/>
        <v>0</v>
      </c>
      <c r="Z9" s="107">
        <f t="shared" si="1"/>
        <v>0</v>
      </c>
      <c r="AA9" s="107">
        <f t="shared" si="1"/>
        <v>0</v>
      </c>
      <c r="AB9" s="107">
        <f t="shared" si="1"/>
        <v>0</v>
      </c>
      <c r="AC9" s="107">
        <f t="shared" si="1"/>
        <v>0</v>
      </c>
      <c r="AD9" s="107">
        <f t="shared" si="1"/>
        <v>0</v>
      </c>
      <c r="AE9" s="107">
        <f t="shared" si="1"/>
        <v>0</v>
      </c>
      <c r="AF9" s="107">
        <f t="shared" si="1"/>
        <v>0</v>
      </c>
      <c r="AG9" s="98"/>
    </row>
    <row r="10" spans="1:33">
      <c r="B10" s="144" t="s">
        <v>130</v>
      </c>
      <c r="C10" s="107">
        <f>E24</f>
        <v>0</v>
      </c>
      <c r="D10" s="107">
        <f>F24</f>
        <v>0</v>
      </c>
      <c r="E10" s="107">
        <f>G25</f>
        <v>0</v>
      </c>
      <c r="F10" s="115"/>
      <c r="G10" s="107"/>
      <c r="H10" s="107">
        <f>$C$14*$C$5*12</f>
        <v>2400</v>
      </c>
      <c r="I10" s="107">
        <f>$C$14*$C$5*12</f>
        <v>2400</v>
      </c>
      <c r="J10" s="107">
        <f t="shared" ref="J10:L10" si="3">$C$15*$C$5*12</f>
        <v>6000</v>
      </c>
      <c r="K10" s="107">
        <f t="shared" si="3"/>
        <v>6000</v>
      </c>
      <c r="L10" s="107">
        <f t="shared" si="3"/>
        <v>6000</v>
      </c>
      <c r="M10" s="107">
        <f>C16*$C$5*12</f>
        <v>2400</v>
      </c>
      <c r="N10" s="107">
        <f>C16*$C$5*12</f>
        <v>2400</v>
      </c>
      <c r="O10" s="107">
        <f>C16*$C$5*12</f>
        <v>2400</v>
      </c>
      <c r="P10" s="116">
        <f>C16*C5*12</f>
        <v>2400</v>
      </c>
      <c r="Q10" s="116">
        <f>C16*C5*12</f>
        <v>2400</v>
      </c>
      <c r="R10" s="117" t="s">
        <v>125</v>
      </c>
      <c r="S10" s="115"/>
      <c r="T10" s="115"/>
      <c r="U10" s="107"/>
      <c r="V10" s="107"/>
      <c r="W10" s="107">
        <f>$C$14*$C$5*12</f>
        <v>2400</v>
      </c>
      <c r="X10" s="107">
        <f>$C$14*$C$5*12</f>
        <v>2400</v>
      </c>
      <c r="Y10" s="107">
        <f t="shared" ref="Y10:AA10" si="4">$C$15*$C$5*12</f>
        <v>6000</v>
      </c>
      <c r="Z10" s="107">
        <f t="shared" si="4"/>
        <v>6000</v>
      </c>
      <c r="AA10" s="107">
        <f t="shared" si="4"/>
        <v>6000</v>
      </c>
      <c r="AB10" s="107">
        <f>$C$16*$C$5*12</f>
        <v>2400</v>
      </c>
      <c r="AC10" s="107">
        <f t="shared" ref="AC10:AF10" si="5">$C$16*$C$5*12</f>
        <v>2400</v>
      </c>
      <c r="AD10" s="107">
        <f t="shared" si="5"/>
        <v>2400</v>
      </c>
      <c r="AE10" s="107">
        <f t="shared" si="5"/>
        <v>2400</v>
      </c>
      <c r="AF10" s="107">
        <f t="shared" si="5"/>
        <v>2400</v>
      </c>
    </row>
    <row r="11" spans="1:33">
      <c r="E11" s="91"/>
    </row>
    <row r="12" spans="1:33">
      <c r="B12" s="61"/>
    </row>
    <row r="13" spans="1:33">
      <c r="B13" s="214" t="s">
        <v>172</v>
      </c>
      <c r="C13" s="215"/>
      <c r="D13" s="216"/>
      <c r="E13" s="109" t="s">
        <v>167</v>
      </c>
      <c r="F13" s="94"/>
      <c r="G13" s="110" t="s">
        <v>121</v>
      </c>
      <c r="H13" s="110"/>
      <c r="I13" s="110" t="s">
        <v>120</v>
      </c>
      <c r="J13" s="110"/>
      <c r="M13" s="88" t="s">
        <v>135</v>
      </c>
      <c r="O13" t="s">
        <v>144</v>
      </c>
      <c r="P13" s="88" t="s">
        <v>143</v>
      </c>
      <c r="R13" s="88" t="s">
        <v>135</v>
      </c>
      <c r="T13" s="88" t="s">
        <v>138</v>
      </c>
      <c r="U13" s="88" t="s">
        <v>142</v>
      </c>
      <c r="X13" s="88" t="s">
        <v>135</v>
      </c>
      <c r="Z13" s="88" t="s">
        <v>83</v>
      </c>
      <c r="AA13" s="88" t="s">
        <v>148</v>
      </c>
      <c r="AC13">
        <v>125</v>
      </c>
    </row>
    <row r="14" spans="1:33">
      <c r="B14" s="110" t="s">
        <v>200</v>
      </c>
      <c r="C14" s="137" t="s">
        <v>203</v>
      </c>
      <c r="D14" s="112" t="s">
        <v>163</v>
      </c>
      <c r="E14" s="142">
        <f>C14*$B$18</f>
        <v>9.9978709814775399E-2</v>
      </c>
      <c r="F14" s="94"/>
      <c r="G14" s="110" t="s">
        <v>98</v>
      </c>
      <c r="H14" s="110"/>
      <c r="I14" s="110">
        <f>10000/4</f>
        <v>2500</v>
      </c>
      <c r="J14" s="110">
        <f>10000/4</f>
        <v>2500</v>
      </c>
      <c r="O14" s="90" t="s">
        <v>146</v>
      </c>
      <c r="P14" s="88" t="s">
        <v>149</v>
      </c>
      <c r="T14" s="88" t="s">
        <v>102</v>
      </c>
      <c r="U14" s="88" t="s">
        <v>147</v>
      </c>
      <c r="Z14" s="88" t="s">
        <v>141</v>
      </c>
      <c r="AA14" s="88" t="s">
        <v>145</v>
      </c>
      <c r="AC14">
        <v>960</v>
      </c>
    </row>
    <row r="15" spans="1:33">
      <c r="B15" s="111" t="s">
        <v>201</v>
      </c>
      <c r="C15" s="137" t="s">
        <v>104</v>
      </c>
      <c r="D15" s="112" t="s">
        <v>163</v>
      </c>
      <c r="E15" s="142">
        <f>C15*$B$18</f>
        <v>0.24994677453693848</v>
      </c>
      <c r="F15" s="94"/>
      <c r="G15" s="110" t="s">
        <v>96</v>
      </c>
      <c r="H15" s="110"/>
      <c r="I15" s="110">
        <f>10000/(3*3)</f>
        <v>1111.1111111111111</v>
      </c>
      <c r="J15" s="110">
        <v>1100</v>
      </c>
      <c r="O15" s="88"/>
      <c r="Z15" s="88" t="s">
        <v>102</v>
      </c>
      <c r="AA15" s="88" t="s">
        <v>149</v>
      </c>
      <c r="AC15">
        <v>480</v>
      </c>
    </row>
    <row r="16" spans="1:33">
      <c r="B16" s="111" t="s">
        <v>168</v>
      </c>
      <c r="C16" s="137" t="s">
        <v>203</v>
      </c>
      <c r="D16" s="112" t="s">
        <v>163</v>
      </c>
      <c r="E16" s="142">
        <f>C16*$B$18</f>
        <v>9.9978709814775399E-2</v>
      </c>
      <c r="F16" s="94"/>
      <c r="G16" s="146" t="s">
        <v>174</v>
      </c>
      <c r="H16" s="102"/>
      <c r="I16" s="102">
        <f>10000/16</f>
        <v>625</v>
      </c>
      <c r="J16" s="102">
        <f>10000/16</f>
        <v>625</v>
      </c>
      <c r="M16" s="119" t="s">
        <v>133</v>
      </c>
      <c r="N16" s="225" t="s">
        <v>134</v>
      </c>
      <c r="O16" s="226"/>
      <c r="P16" s="119" t="s">
        <v>133</v>
      </c>
      <c r="R16" s="122" t="s">
        <v>133</v>
      </c>
      <c r="S16" s="217" t="s">
        <v>134</v>
      </c>
      <c r="T16" s="218"/>
      <c r="U16" s="125" t="s">
        <v>133</v>
      </c>
      <c r="W16" s="119" t="s">
        <v>133</v>
      </c>
      <c r="X16" s="129"/>
      <c r="Y16" s="133" t="s">
        <v>134</v>
      </c>
      <c r="Z16" s="130"/>
      <c r="AA16" s="136" t="s">
        <v>137</v>
      </c>
      <c r="AB16" s="103"/>
      <c r="AC16" s="135" t="s">
        <v>134</v>
      </c>
      <c r="AD16" s="102"/>
      <c r="AE16" s="119" t="s">
        <v>133</v>
      </c>
    </row>
    <row r="17" spans="2:31">
      <c r="B17" s="94" t="s">
        <v>164</v>
      </c>
      <c r="C17" s="94"/>
      <c r="D17" s="94"/>
      <c r="E17" s="94"/>
      <c r="F17" s="113"/>
      <c r="G17" s="110" t="s">
        <v>97</v>
      </c>
      <c r="H17" s="110"/>
      <c r="I17" s="110">
        <f>10000/(5*5)</f>
        <v>400</v>
      </c>
      <c r="J17" s="110">
        <f>10000/(5*5)</f>
        <v>400</v>
      </c>
      <c r="M17" s="120"/>
      <c r="N17" s="225" t="s">
        <v>134</v>
      </c>
      <c r="O17" s="226"/>
      <c r="P17" s="120"/>
      <c r="R17" s="123"/>
      <c r="S17" s="219"/>
      <c r="T17" s="220"/>
      <c r="U17" s="126"/>
      <c r="W17" s="131"/>
      <c r="X17" s="129"/>
      <c r="Y17" s="132"/>
      <c r="Z17" s="131"/>
      <c r="AA17" s="104"/>
      <c r="AB17" s="104"/>
      <c r="AC17" s="102"/>
      <c r="AD17" s="102"/>
      <c r="AE17" s="131"/>
    </row>
    <row r="18" spans="2:31">
      <c r="B18" s="139">
        <f xml:space="preserve"> (2348/4697)*100%</f>
        <v>0.49989354907387695</v>
      </c>
      <c r="C18" s="94" t="s">
        <v>15</v>
      </c>
      <c r="D18" s="94"/>
      <c r="E18" s="94"/>
      <c r="F18" s="94"/>
      <c r="G18" s="110" t="s">
        <v>99</v>
      </c>
      <c r="H18" s="110"/>
      <c r="I18" s="114">
        <f>10000/(9*8)</f>
        <v>138.88888888888889</v>
      </c>
      <c r="J18" s="110">
        <v>140</v>
      </c>
      <c r="M18" s="119" t="s">
        <v>133</v>
      </c>
      <c r="N18" s="225" t="s">
        <v>134</v>
      </c>
      <c r="O18" s="226"/>
      <c r="P18" s="119" t="s">
        <v>133</v>
      </c>
      <c r="Q18" s="88"/>
      <c r="R18" s="122" t="s">
        <v>133</v>
      </c>
      <c r="S18" s="127"/>
      <c r="T18" s="128"/>
      <c r="U18" s="125" t="s">
        <v>133</v>
      </c>
      <c r="W18" s="102"/>
      <c r="X18" s="102"/>
      <c r="Y18" s="104"/>
      <c r="Z18" s="104"/>
      <c r="AA18" s="136" t="s">
        <v>137</v>
      </c>
      <c r="AB18" s="104"/>
      <c r="AC18" s="102"/>
      <c r="AD18" s="102"/>
      <c r="AE18" s="102"/>
    </row>
    <row r="19" spans="2:31">
      <c r="B19" s="140" t="s">
        <v>165</v>
      </c>
      <c r="F19" s="94"/>
      <c r="G19" s="110" t="s">
        <v>100</v>
      </c>
      <c r="H19" s="110"/>
      <c r="I19" s="114">
        <f>10000/(9*9)</f>
        <v>123.45679012345678</v>
      </c>
      <c r="J19" s="110">
        <v>125</v>
      </c>
      <c r="K19" s="94"/>
      <c r="M19" s="121"/>
      <c r="N19" s="225" t="s">
        <v>134</v>
      </c>
      <c r="O19" s="226"/>
      <c r="P19" s="120"/>
      <c r="Q19" s="92"/>
      <c r="R19" s="124"/>
      <c r="S19" s="221" t="s">
        <v>134</v>
      </c>
      <c r="T19" s="222"/>
      <c r="U19" s="126"/>
      <c r="W19" s="102"/>
      <c r="X19" s="102"/>
      <c r="Y19" s="103"/>
      <c r="Z19" s="104"/>
      <c r="AA19" s="104"/>
      <c r="AB19" s="103"/>
      <c r="AC19" s="101"/>
      <c r="AD19" s="102"/>
      <c r="AE19" s="102"/>
    </row>
    <row r="20" spans="2:31">
      <c r="B20" s="141" t="s">
        <v>166</v>
      </c>
      <c r="G20" s="94"/>
      <c r="H20" s="94"/>
      <c r="I20" s="94"/>
      <c r="J20" s="94"/>
      <c r="K20" s="94"/>
      <c r="M20" s="119" t="s">
        <v>133</v>
      </c>
      <c r="N20" s="225" t="s">
        <v>134</v>
      </c>
      <c r="O20" s="226"/>
      <c r="P20" s="119" t="s">
        <v>133</v>
      </c>
      <c r="Q20" s="93"/>
      <c r="R20" s="122" t="s">
        <v>133</v>
      </c>
      <c r="S20" s="223"/>
      <c r="T20" s="224"/>
      <c r="U20" s="125" t="s">
        <v>133</v>
      </c>
      <c r="W20" s="102"/>
      <c r="X20" s="102"/>
      <c r="Y20" s="134" t="s">
        <v>134</v>
      </c>
      <c r="Z20" s="104"/>
      <c r="AA20" s="136" t="s">
        <v>137</v>
      </c>
      <c r="AB20" s="104"/>
      <c r="AC20" s="135" t="s">
        <v>134</v>
      </c>
      <c r="AD20" s="102"/>
      <c r="AE20" s="102"/>
    </row>
    <row r="21" spans="2:31">
      <c r="C21" s="94"/>
      <c r="D21" s="94"/>
      <c r="E21" s="94"/>
      <c r="G21" s="94"/>
      <c r="H21" s="94"/>
      <c r="I21" s="94"/>
      <c r="J21" s="94"/>
      <c r="K21" s="94"/>
      <c r="M21" s="118" t="s">
        <v>155</v>
      </c>
      <c r="O21" s="92"/>
      <c r="P21" s="92"/>
      <c r="Q21" s="92"/>
      <c r="R21" s="118" t="s">
        <v>157</v>
      </c>
      <c r="S21" s="93"/>
      <c r="W21" s="102"/>
      <c r="X21" s="102"/>
      <c r="Y21" s="104"/>
      <c r="Z21" s="104"/>
      <c r="AA21" s="104"/>
      <c r="AB21" s="104"/>
      <c r="AC21" s="102"/>
      <c r="AD21" s="102"/>
      <c r="AE21" s="102"/>
    </row>
    <row r="22" spans="2:31">
      <c r="B22" s="94"/>
      <c r="C22" s="94"/>
      <c r="D22" s="94"/>
      <c r="E22" s="94"/>
      <c r="F22" s="94"/>
      <c r="G22" s="96"/>
      <c r="H22" s="94"/>
      <c r="I22" s="94"/>
      <c r="J22" s="94"/>
      <c r="K22" s="94"/>
      <c r="M22" s="118" t="s">
        <v>156</v>
      </c>
      <c r="R22" s="118" t="s">
        <v>158</v>
      </c>
      <c r="W22" s="102"/>
      <c r="X22" s="102"/>
      <c r="Y22" s="103"/>
      <c r="Z22" s="104"/>
      <c r="AA22" s="136" t="s">
        <v>137</v>
      </c>
      <c r="AB22" s="103"/>
      <c r="AC22" s="101"/>
      <c r="AD22" s="102"/>
      <c r="AE22" s="102"/>
    </row>
    <row r="23" spans="2:31">
      <c r="B23" s="95" t="s">
        <v>105</v>
      </c>
      <c r="C23" s="105" t="s">
        <v>106</v>
      </c>
      <c r="D23" s="105" t="s">
        <v>107</v>
      </c>
      <c r="E23" s="105" t="s">
        <v>108</v>
      </c>
      <c r="F23" s="95" t="s">
        <v>126</v>
      </c>
      <c r="W23" s="102"/>
      <c r="X23" s="102"/>
      <c r="Y23" s="104"/>
      <c r="Z23" s="104"/>
      <c r="AA23" s="104"/>
      <c r="AB23" s="104"/>
      <c r="AC23" s="102"/>
      <c r="AD23" s="102"/>
      <c r="AE23" s="102"/>
    </row>
    <row r="24" spans="2:31">
      <c r="C24" s="106"/>
      <c r="D24" s="97"/>
      <c r="E24" s="97"/>
      <c r="F24" s="94"/>
      <c r="W24" s="119" t="s">
        <v>133</v>
      </c>
      <c r="X24" s="132"/>
      <c r="Y24" s="133" t="s">
        <v>134</v>
      </c>
      <c r="Z24" s="130"/>
      <c r="AA24" s="136" t="s">
        <v>137</v>
      </c>
      <c r="AB24" s="104"/>
      <c r="AC24" s="135" t="s">
        <v>134</v>
      </c>
      <c r="AD24" s="102"/>
      <c r="AE24" s="119" t="s">
        <v>133</v>
      </c>
    </row>
    <row r="25" spans="2:31">
      <c r="C25" s="106">
        <v>1</v>
      </c>
      <c r="D25" s="97">
        <v>0</v>
      </c>
      <c r="E25" s="97">
        <v>0</v>
      </c>
      <c r="F25" s="97">
        <f>E25/4</f>
        <v>0</v>
      </c>
      <c r="H25" s="94" t="s">
        <v>109</v>
      </c>
      <c r="I25" s="94"/>
      <c r="J25" s="94"/>
      <c r="K25" s="94"/>
      <c r="W25" s="118" t="s">
        <v>139</v>
      </c>
    </row>
    <row r="26" spans="2:31">
      <c r="C26" s="106">
        <v>2</v>
      </c>
      <c r="D26" s="97">
        <v>0</v>
      </c>
      <c r="E26" s="97">
        <v>0</v>
      </c>
      <c r="F26" s="97">
        <f>E26/4</f>
        <v>0</v>
      </c>
      <c r="H26" s="94" t="s">
        <v>110</v>
      </c>
      <c r="I26" s="94"/>
      <c r="J26" s="94"/>
      <c r="K26" s="94"/>
      <c r="W26" s="118" t="s">
        <v>136</v>
      </c>
    </row>
    <row r="27" spans="2:31">
      <c r="C27" s="106">
        <v>3</v>
      </c>
      <c r="D27" s="97">
        <v>0</v>
      </c>
      <c r="E27" s="97">
        <v>0</v>
      </c>
      <c r="F27" s="97">
        <f>E27/4</f>
        <v>0</v>
      </c>
      <c r="H27" s="94" t="s">
        <v>111</v>
      </c>
      <c r="I27" s="94"/>
      <c r="J27" s="94"/>
      <c r="K27" s="94"/>
      <c r="W27" s="88" t="s">
        <v>140</v>
      </c>
    </row>
    <row r="28" spans="2:31">
      <c r="C28" s="106">
        <v>4</v>
      </c>
      <c r="D28" s="97">
        <v>0</v>
      </c>
      <c r="E28" s="97">
        <v>0</v>
      </c>
      <c r="F28" s="97">
        <f>E28/4</f>
        <v>0</v>
      </c>
      <c r="H28" s="96" t="s">
        <v>112</v>
      </c>
      <c r="I28" s="97"/>
      <c r="J28" s="97"/>
      <c r="K28" s="97"/>
    </row>
    <row r="29" spans="2:31">
      <c r="C29" s="106">
        <v>5</v>
      </c>
      <c r="D29" s="97">
        <v>0</v>
      </c>
      <c r="E29" s="97">
        <v>0</v>
      </c>
      <c r="F29" s="97">
        <f>E29/4</f>
        <v>0</v>
      </c>
      <c r="H29" s="98">
        <f>+'[1]I-O'!F29</f>
        <v>0</v>
      </c>
      <c r="I29" s="97"/>
      <c r="J29" s="97"/>
      <c r="K29" s="97"/>
    </row>
    <row r="30" spans="2:31">
      <c r="C30" s="106">
        <v>6</v>
      </c>
      <c r="D30" s="97">
        <v>3000</v>
      </c>
      <c r="E30" s="98">
        <f>$J$42</f>
        <v>0</v>
      </c>
      <c r="F30" s="97">
        <f t="shared" ref="F30:F54" si="6">E30/3</f>
        <v>0</v>
      </c>
      <c r="H30" s="94" t="s">
        <v>116</v>
      </c>
      <c r="I30" s="94"/>
      <c r="J30" s="94"/>
      <c r="K30" s="94"/>
    </row>
    <row r="31" spans="2:31">
      <c r="C31" s="106">
        <v>7</v>
      </c>
      <c r="D31" s="97">
        <v>3000</v>
      </c>
      <c r="E31" s="98">
        <f>$J$42</f>
        <v>0</v>
      </c>
      <c r="F31" s="97">
        <f t="shared" si="6"/>
        <v>0</v>
      </c>
      <c r="H31" s="94" t="s">
        <v>117</v>
      </c>
      <c r="I31" s="94"/>
      <c r="J31" s="94"/>
      <c r="K31" s="99">
        <f>2.3*1000</f>
        <v>2300</v>
      </c>
    </row>
    <row r="32" spans="2:31">
      <c r="C32" s="106">
        <v>8</v>
      </c>
      <c r="D32" s="97">
        <v>6000</v>
      </c>
      <c r="E32" s="98">
        <f>$J$42</f>
        <v>0</v>
      </c>
      <c r="F32" s="97">
        <f t="shared" si="6"/>
        <v>0</v>
      </c>
      <c r="H32" s="94" t="s">
        <v>118</v>
      </c>
      <c r="I32" s="99"/>
      <c r="J32" s="99"/>
      <c r="K32" s="99">
        <f>+K31*4</f>
        <v>9200</v>
      </c>
    </row>
    <row r="33" spans="3:11">
      <c r="C33" s="106">
        <v>9</v>
      </c>
      <c r="D33" s="97">
        <v>6570</v>
      </c>
      <c r="E33" s="98">
        <f>$J$42</f>
        <v>0</v>
      </c>
      <c r="F33" s="97">
        <f t="shared" si="6"/>
        <v>0</v>
      </c>
      <c r="H33" s="94" t="s">
        <v>119</v>
      </c>
      <c r="I33" s="94"/>
      <c r="J33" s="94"/>
      <c r="K33" s="99">
        <f>+K32/156</f>
        <v>58.974358974358971</v>
      </c>
    </row>
    <row r="34" spans="3:11">
      <c r="C34" s="106">
        <v>10</v>
      </c>
      <c r="D34" s="97">
        <v>7095.6</v>
      </c>
      <c r="E34" s="98">
        <f>$J$42</f>
        <v>0</v>
      </c>
      <c r="F34" s="97">
        <f t="shared" si="6"/>
        <v>0</v>
      </c>
      <c r="I34" s="94"/>
      <c r="J34" s="94"/>
      <c r="K34" s="94"/>
    </row>
    <row r="35" spans="3:11">
      <c r="C35" s="106">
        <v>11</v>
      </c>
      <c r="D35" s="97">
        <v>7568.64</v>
      </c>
      <c r="E35" s="98">
        <f>$J$43</f>
        <v>0</v>
      </c>
      <c r="F35" s="97">
        <f t="shared" si="6"/>
        <v>0</v>
      </c>
      <c r="H35" s="94" t="s">
        <v>124</v>
      </c>
      <c r="I35" s="94"/>
      <c r="J35" s="94"/>
      <c r="K35" s="94"/>
    </row>
    <row r="36" spans="3:11">
      <c r="C36" s="106">
        <v>12</v>
      </c>
      <c r="D36" s="97">
        <v>7994.3759999999993</v>
      </c>
      <c r="E36" s="98">
        <f>$J$43</f>
        <v>0</v>
      </c>
      <c r="F36" s="97">
        <f t="shared" si="6"/>
        <v>0</v>
      </c>
      <c r="H36" s="94" t="s">
        <v>151</v>
      </c>
      <c r="K36" s="94"/>
    </row>
    <row r="37" spans="3:11">
      <c r="C37" s="106">
        <v>13</v>
      </c>
      <c r="D37" s="97">
        <v>10615.384615384615</v>
      </c>
      <c r="E37" s="98">
        <f>$J$43</f>
        <v>0</v>
      </c>
      <c r="F37" s="97">
        <f t="shared" si="6"/>
        <v>0</v>
      </c>
      <c r="H37" s="94" t="s">
        <v>113</v>
      </c>
      <c r="I37" s="94"/>
      <c r="J37" s="94"/>
      <c r="K37" s="94"/>
    </row>
    <row r="38" spans="3:11">
      <c r="C38" s="106">
        <v>14</v>
      </c>
      <c r="D38" s="97">
        <v>10615.384615384615</v>
      </c>
      <c r="E38" s="98">
        <f>$J$43</f>
        <v>0</v>
      </c>
      <c r="F38" s="97">
        <f t="shared" si="6"/>
        <v>0</v>
      </c>
      <c r="H38" s="94" t="s">
        <v>122</v>
      </c>
      <c r="I38" s="94"/>
      <c r="J38" s="94"/>
      <c r="K38" s="94"/>
    </row>
    <row r="39" spans="3:11">
      <c r="C39" s="106">
        <v>15</v>
      </c>
      <c r="D39" s="97">
        <v>10615.384615384615</v>
      </c>
      <c r="E39" s="98">
        <f>$J$43</f>
        <v>0</v>
      </c>
      <c r="F39" s="97">
        <f t="shared" si="6"/>
        <v>0</v>
      </c>
      <c r="H39" s="94" t="s">
        <v>123</v>
      </c>
      <c r="I39" s="94"/>
      <c r="J39" s="94"/>
      <c r="K39" s="94"/>
    </row>
    <row r="40" spans="3:11">
      <c r="C40" s="106">
        <v>16</v>
      </c>
      <c r="D40" s="97">
        <v>10615.384615384615</v>
      </c>
      <c r="E40" s="98">
        <f>$J$44</f>
        <v>0</v>
      </c>
      <c r="F40" s="97">
        <f t="shared" si="6"/>
        <v>0</v>
      </c>
      <c r="H40" s="94" t="s">
        <v>152</v>
      </c>
      <c r="K40" s="94"/>
    </row>
    <row r="41" spans="3:11">
      <c r="C41" s="106">
        <v>17</v>
      </c>
      <c r="D41" s="97">
        <v>10615.384615384615</v>
      </c>
      <c r="E41" s="98">
        <f t="shared" ref="E41:E44" si="7">$J$44</f>
        <v>0</v>
      </c>
      <c r="F41" s="97">
        <f t="shared" si="6"/>
        <v>0</v>
      </c>
      <c r="H41" s="94" t="s">
        <v>153</v>
      </c>
      <c r="K41" s="94"/>
    </row>
    <row r="42" spans="3:11">
      <c r="C42" s="106">
        <v>18</v>
      </c>
      <c r="D42" s="97">
        <v>10615.384615384615</v>
      </c>
      <c r="E42" s="98">
        <f t="shared" si="7"/>
        <v>0</v>
      </c>
      <c r="F42" s="97">
        <f t="shared" si="6"/>
        <v>0</v>
      </c>
      <c r="G42" s="94"/>
      <c r="H42" s="94" t="s">
        <v>114</v>
      </c>
      <c r="I42" s="94"/>
      <c r="J42" s="100">
        <f>4*4*C4</f>
        <v>0</v>
      </c>
      <c r="K42" s="94"/>
    </row>
    <row r="43" spans="3:11">
      <c r="C43" s="106">
        <v>19</v>
      </c>
      <c r="D43" s="97">
        <v>10615.384615384615</v>
      </c>
      <c r="E43" s="98">
        <f t="shared" si="7"/>
        <v>0</v>
      </c>
      <c r="F43" s="97">
        <f t="shared" si="6"/>
        <v>0</v>
      </c>
      <c r="H43" s="94" t="s">
        <v>115</v>
      </c>
      <c r="I43" s="94"/>
      <c r="J43" s="100">
        <f>4*15*C4</f>
        <v>0</v>
      </c>
      <c r="K43" s="94"/>
    </row>
    <row r="44" spans="3:11">
      <c r="C44" s="106">
        <v>20</v>
      </c>
      <c r="D44" s="97">
        <v>10615.384615384615</v>
      </c>
      <c r="E44" s="98">
        <f t="shared" si="7"/>
        <v>0</v>
      </c>
      <c r="F44" s="97">
        <f t="shared" si="6"/>
        <v>0</v>
      </c>
      <c r="H44" s="94" t="s">
        <v>154</v>
      </c>
      <c r="J44" s="100">
        <f>4*20*C4</f>
        <v>0</v>
      </c>
      <c r="K44" s="94"/>
    </row>
    <row r="45" spans="3:11">
      <c r="C45" s="106">
        <v>21</v>
      </c>
      <c r="D45" s="97">
        <v>10615.384615384615</v>
      </c>
      <c r="E45" s="98">
        <f t="shared" ref="E45:E54" si="8">$J$43</f>
        <v>0</v>
      </c>
      <c r="F45" s="97">
        <f t="shared" si="6"/>
        <v>0</v>
      </c>
      <c r="H45" s="94" t="s">
        <v>171</v>
      </c>
      <c r="J45" s="100">
        <f>4*15*C4</f>
        <v>0</v>
      </c>
      <c r="K45" s="94"/>
    </row>
    <row r="46" spans="3:11">
      <c r="C46" s="106">
        <v>22</v>
      </c>
      <c r="D46" s="97">
        <v>10615.384615384615</v>
      </c>
      <c r="E46" s="98">
        <f t="shared" si="8"/>
        <v>0</v>
      </c>
      <c r="F46" s="97">
        <f t="shared" si="6"/>
        <v>0</v>
      </c>
      <c r="J46" s="94"/>
      <c r="K46" s="94"/>
    </row>
    <row r="47" spans="3:11">
      <c r="C47" s="106">
        <v>23</v>
      </c>
      <c r="D47" s="97">
        <v>10615.384615384615</v>
      </c>
      <c r="E47" s="98">
        <f t="shared" si="8"/>
        <v>0</v>
      </c>
      <c r="F47" s="97">
        <f t="shared" si="6"/>
        <v>0</v>
      </c>
      <c r="H47" s="94" t="s">
        <v>126</v>
      </c>
      <c r="J47" s="94"/>
      <c r="K47" s="94"/>
    </row>
    <row r="48" spans="3:11">
      <c r="C48" s="106">
        <v>24</v>
      </c>
      <c r="D48" s="97">
        <v>10615.384615384615</v>
      </c>
      <c r="E48" s="98">
        <f t="shared" si="8"/>
        <v>0</v>
      </c>
      <c r="F48" s="97">
        <f t="shared" si="6"/>
        <v>0</v>
      </c>
      <c r="H48" s="94" t="s">
        <v>175</v>
      </c>
      <c r="J48" s="94"/>
      <c r="K48" s="94"/>
    </row>
    <row r="49" spans="3:11">
      <c r="C49" s="106">
        <v>25</v>
      </c>
      <c r="D49" s="97">
        <v>10615.384615384615</v>
      </c>
      <c r="E49" s="98">
        <f t="shared" si="8"/>
        <v>0</v>
      </c>
      <c r="F49" s="97">
        <f t="shared" si="6"/>
        <v>0</v>
      </c>
      <c r="G49" s="94"/>
      <c r="H49" s="94"/>
      <c r="I49" s="94"/>
      <c r="J49" s="94"/>
      <c r="K49" s="94"/>
    </row>
    <row r="50" spans="3:11">
      <c r="C50" s="106">
        <v>26</v>
      </c>
      <c r="D50" s="97">
        <v>10615.384615384615</v>
      </c>
      <c r="E50" s="98">
        <f t="shared" si="8"/>
        <v>0</v>
      </c>
      <c r="F50" s="97">
        <f t="shared" si="6"/>
        <v>0</v>
      </c>
      <c r="G50" s="94"/>
      <c r="H50" s="94"/>
      <c r="I50" s="94"/>
      <c r="J50" s="94"/>
      <c r="K50" s="94"/>
    </row>
    <row r="51" spans="3:11">
      <c r="C51" s="106">
        <v>27</v>
      </c>
      <c r="D51" s="97">
        <v>10615.384615384615</v>
      </c>
      <c r="E51" s="98">
        <f t="shared" si="8"/>
        <v>0</v>
      </c>
      <c r="F51" s="97">
        <f t="shared" si="6"/>
        <v>0</v>
      </c>
      <c r="G51" s="94"/>
      <c r="H51" s="94"/>
      <c r="I51" s="94"/>
      <c r="J51" s="94"/>
      <c r="K51" s="94"/>
    </row>
    <row r="52" spans="3:11">
      <c r="C52" s="106">
        <v>28</v>
      </c>
      <c r="D52" s="97">
        <v>10615.384615384615</v>
      </c>
      <c r="E52" s="98">
        <f t="shared" si="8"/>
        <v>0</v>
      </c>
      <c r="F52" s="97">
        <f t="shared" si="6"/>
        <v>0</v>
      </c>
      <c r="G52" s="94"/>
      <c r="H52" s="94"/>
      <c r="I52" s="94"/>
      <c r="J52" s="94"/>
      <c r="K52" s="94"/>
    </row>
    <row r="53" spans="3:11">
      <c r="C53" s="106">
        <v>29</v>
      </c>
      <c r="D53" s="97">
        <v>10615.384615384615</v>
      </c>
      <c r="E53" s="98">
        <f t="shared" si="8"/>
        <v>0</v>
      </c>
      <c r="F53" s="97">
        <f t="shared" si="6"/>
        <v>0</v>
      </c>
      <c r="G53" s="94"/>
      <c r="H53" s="94"/>
      <c r="I53" s="94"/>
      <c r="J53" s="94"/>
      <c r="K53" s="94"/>
    </row>
    <row r="54" spans="3:11">
      <c r="C54" s="106">
        <v>30</v>
      </c>
      <c r="D54" s="97">
        <v>10615.384615384615</v>
      </c>
      <c r="E54" s="98">
        <f t="shared" si="8"/>
        <v>0</v>
      </c>
      <c r="F54" s="97">
        <f t="shared" si="6"/>
        <v>0</v>
      </c>
      <c r="G54" s="94"/>
      <c r="H54" s="94"/>
      <c r="I54" s="94"/>
      <c r="J54" s="94"/>
      <c r="K54" s="94"/>
    </row>
    <row r="55" spans="3:11">
      <c r="G55" s="94"/>
      <c r="H55" s="94"/>
      <c r="I55" s="94"/>
      <c r="J55" s="94"/>
      <c r="K55" s="94"/>
    </row>
  </sheetData>
  <mergeCells count="8">
    <mergeCell ref="B13:D13"/>
    <mergeCell ref="S16:T17"/>
    <mergeCell ref="S19:T20"/>
    <mergeCell ref="N16:O16"/>
    <mergeCell ref="N17:O17"/>
    <mergeCell ref="N18:O18"/>
    <mergeCell ref="N19:O19"/>
    <mergeCell ref="N20:O20"/>
  </mergeCells>
  <pageMargins left="0.7" right="0.7" top="0.75" bottom="0.75" header="0.3" footer="0.3"/>
  <pageSetup paperSize="9" orientation="portrait" r:id="rId1"/>
  <ignoredErrors>
    <ignoredError sqref="C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C1" sqref="C1:J1048576"/>
    </sheetView>
  </sheetViews>
  <sheetFormatPr defaultRowHeight="12.75"/>
  <cols>
    <col min="2" max="2" width="9.140625" customWidth="1"/>
    <col min="21" max="21" width="9.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2011-10-27T10:49:20Z</dcterms:modified>
</cp:coreProperties>
</file>