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320" windowHeight="9975"/>
  </bookViews>
  <sheets>
    <sheet name="Rev Arutmin" sheetId="5" r:id="rId1"/>
    <sheet name="Arutmin" sheetId="4" r:id="rId2"/>
    <sheet name="Reserve-Resource" sheetId="2" r:id="rId3"/>
    <sheet name="Prices" sheetId="3" r:id="rId4"/>
    <sheet name="Intervw" sheetId="1" r:id="rId5"/>
  </sheets>
  <calcPr calcId="125725"/>
</workbook>
</file>

<file path=xl/calcChain.xml><?xml version="1.0" encoding="utf-8"?>
<calcChain xmlns="http://schemas.openxmlformats.org/spreadsheetml/2006/main">
  <c r="B28" i="5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27"/>
  <c r="D23"/>
  <c r="D24"/>
  <c r="D13"/>
  <c r="D14"/>
  <c r="D15"/>
  <c r="D16"/>
  <c r="D17"/>
  <c r="D18"/>
  <c r="D19"/>
  <c r="D20"/>
  <c r="D21"/>
  <c r="D12"/>
  <c r="B8"/>
  <c r="C13"/>
  <c r="C14"/>
  <c r="C15"/>
  <c r="C16"/>
  <c r="C17"/>
  <c r="C18"/>
  <c r="C19"/>
  <c r="C20"/>
  <c r="C21"/>
  <c r="C12"/>
  <c r="E28" l="1"/>
  <c r="L55" i="4"/>
  <c r="I54"/>
  <c r="I55"/>
  <c r="I56"/>
  <c r="I57"/>
  <c r="I58"/>
  <c r="I59"/>
  <c r="I60"/>
  <c r="I61"/>
  <c r="I62"/>
  <c r="I53"/>
  <c r="H54"/>
  <c r="H55"/>
  <c r="H56"/>
  <c r="H57"/>
  <c r="H58"/>
  <c r="H59"/>
  <c r="H60"/>
  <c r="H61"/>
  <c r="H62"/>
  <c r="H53"/>
  <c r="E27" i="5" l="1"/>
  <c r="M67" i="4" l="1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67"/>
  <c r="L64"/>
  <c r="L63"/>
  <c r="L56" l="1"/>
  <c r="J54" l="1"/>
  <c r="J55"/>
  <c r="J56"/>
  <c r="J57"/>
  <c r="J58"/>
  <c r="J59"/>
  <c r="J60"/>
  <c r="J61"/>
  <c r="J62"/>
  <c r="J53"/>
  <c r="F54"/>
  <c r="F55"/>
  <c r="F56"/>
  <c r="F57"/>
  <c r="F58"/>
  <c r="F59"/>
  <c r="F60"/>
  <c r="F61"/>
  <c r="F62"/>
  <c r="F53"/>
  <c r="D54"/>
  <c r="D55"/>
  <c r="D56"/>
  <c r="D57"/>
  <c r="D58"/>
  <c r="D59"/>
  <c r="D60"/>
  <c r="D61"/>
  <c r="D62"/>
  <c r="D53"/>
  <c r="C54"/>
  <c r="C55"/>
  <c r="C56"/>
  <c r="C57"/>
  <c r="C58"/>
  <c r="C59"/>
  <c r="C60"/>
  <c r="C61"/>
  <c r="C62"/>
  <c r="C53"/>
  <c r="B54"/>
  <c r="B55"/>
  <c r="B56"/>
  <c r="B57"/>
  <c r="B58"/>
  <c r="B59"/>
  <c r="B60"/>
  <c r="B61"/>
  <c r="B62"/>
  <c r="B53"/>
  <c r="J38"/>
  <c r="J49"/>
  <c r="J48"/>
  <c r="G49"/>
  <c r="F49"/>
  <c r="F48"/>
  <c r="G48" s="1"/>
  <c r="G51" s="1"/>
  <c r="K38" s="1"/>
  <c r="L38" s="1"/>
  <c r="E49"/>
  <c r="E48"/>
  <c r="E39"/>
  <c r="E38"/>
  <c r="E27"/>
  <c r="E28"/>
  <c r="E29"/>
  <c r="E30"/>
  <c r="E31"/>
  <c r="E32"/>
  <c r="B28"/>
  <c r="B29"/>
  <c r="B30"/>
  <c r="B31"/>
  <c r="B32"/>
  <c r="B27"/>
  <c r="G19"/>
  <c r="G18"/>
  <c r="B33"/>
  <c r="E33" s="1"/>
  <c r="B34"/>
  <c r="E34" s="1"/>
  <c r="B35"/>
  <c r="E35" s="1"/>
  <c r="B36"/>
  <c r="E36" s="1"/>
  <c r="J11"/>
  <c r="N9" s="1"/>
  <c r="B16" i="3"/>
  <c r="B15"/>
  <c r="C9" i="2"/>
  <c r="C10"/>
  <c r="C11"/>
  <c r="B11"/>
  <c r="C6"/>
  <c r="B4"/>
  <c r="N10" i="4" l="1"/>
</calcChain>
</file>

<file path=xl/sharedStrings.xml><?xml version="1.0" encoding="utf-8"?>
<sst xmlns="http://schemas.openxmlformats.org/spreadsheetml/2006/main" count="230" uniqueCount="177">
  <si>
    <t xml:space="preserve">Production/Exploitation: </t>
  </si>
  <si>
    <r>
      <t>·</t>
    </r>
    <r>
      <rPr>
        <sz val="7"/>
        <color rgb="FF333333"/>
        <rFont val="Times New Roman"/>
        <family val="1"/>
      </rPr>
      <t xml:space="preserve">         </t>
    </r>
    <r>
      <rPr>
        <sz val="9"/>
        <color rgb="FF333333"/>
        <rFont val="Arial"/>
        <family val="2"/>
      </rPr>
      <t xml:space="preserve">Construction: </t>
    </r>
  </si>
  <si>
    <r>
      <t>·</t>
    </r>
    <r>
      <rPr>
        <sz val="7"/>
        <color rgb="FF333333"/>
        <rFont val="Times New Roman"/>
        <family val="1"/>
      </rPr>
      <t xml:space="preserve">         </t>
    </r>
    <r>
      <rPr>
        <sz val="9"/>
        <color rgb="FF333333"/>
        <rFont val="Arial"/>
        <family val="2"/>
      </rPr>
      <t xml:space="preserve">Feasibility Study: </t>
    </r>
  </si>
  <si>
    <r>
      <t>·</t>
    </r>
    <r>
      <rPr>
        <sz val="7"/>
        <color rgb="FF333333"/>
        <rFont val="Times New Roman"/>
        <family val="1"/>
      </rPr>
      <t xml:space="preserve">         </t>
    </r>
    <r>
      <rPr>
        <sz val="9"/>
        <color rgb="FF333333"/>
        <rFont val="Arial"/>
        <family val="2"/>
      </rPr>
      <t xml:space="preserve">Explorati on: </t>
    </r>
  </si>
  <si>
    <r>
      <t>·</t>
    </r>
    <r>
      <rPr>
        <sz val="7"/>
        <color rgb="FF333333"/>
        <rFont val="Times New Roman"/>
        <family val="1"/>
      </rPr>
      <t xml:space="preserve">         </t>
    </r>
    <r>
      <rPr>
        <sz val="9"/>
        <color rgb="FF333333"/>
        <rFont val="Arial"/>
        <family val="2"/>
      </rPr>
      <t xml:space="preserve">General study: </t>
    </r>
  </si>
  <si>
    <t>Luas (Ha)</t>
  </si>
  <si>
    <t>Luas ijin Pertambangan yang Dikeluarkan</t>
  </si>
  <si>
    <t>228.556,25 Ha</t>
  </si>
  <si>
    <t>Luas Bukaan Tambang</t>
  </si>
  <si>
    <t>8.810,22 Ha</t>
  </si>
  <si>
    <t>Lahan Yang Direklamasi</t>
  </si>
  <si>
    <t>6.239,57 Ha</t>
  </si>
  <si>
    <t>Lahan Yang Direvegetasi</t>
  </si>
  <si>
    <t>3.431,54 Ha</t>
  </si>
  <si>
    <t>Sarana dan Prasarana</t>
  </si>
  <si>
    <t>1.444,01 Ha</t>
  </si>
  <si>
    <r>
      <t>·</t>
    </r>
    <r>
      <rPr>
        <sz val="7"/>
        <color rgb="FF333333"/>
        <rFont val="Times New Roman"/>
        <family val="1"/>
      </rPr>
      <t xml:space="preserve">         </t>
    </r>
    <r>
      <rPr>
        <sz val="9"/>
        <color rgb="FF333333"/>
        <rFont val="Arial"/>
        <family val="2"/>
      </rPr>
      <t>Total Mining Authority (Kuasa Pertambangan (KP)): 129</t>
    </r>
  </si>
  <si>
    <r>
      <t>·</t>
    </r>
    <r>
      <rPr>
        <sz val="7"/>
        <color rgb="FF333333"/>
        <rFont val="Times New Roman"/>
        <family val="1"/>
      </rPr>
      <t xml:space="preserve">         </t>
    </r>
    <r>
      <rPr>
        <sz val="9"/>
        <color rgb="FF333333"/>
        <rFont val="Arial"/>
        <family val="2"/>
      </rPr>
      <t>Total Mining Authority for Small Scale (Kuasa Pertambangan KUD): 40</t>
    </r>
  </si>
  <si>
    <r>
      <t>·</t>
    </r>
    <r>
      <rPr>
        <sz val="7"/>
        <color rgb="FF333333"/>
        <rFont val="Times New Roman"/>
        <family val="1"/>
      </rPr>
      <t xml:space="preserve">         </t>
    </r>
    <r>
      <rPr>
        <sz val="9"/>
        <color rgb="FF333333"/>
        <rFont val="Arial"/>
        <family val="2"/>
      </rPr>
      <t>Total PKP2B: 24</t>
    </r>
  </si>
  <si>
    <t>Bila dibandingkan dengan luas Provinsi kalimantan Selatan, Luas lahan yang telah dibuka untuk kegiatan usaha pertambangan adalah 0,23 %.</t>
  </si>
  <si>
    <t>ton</t>
  </si>
  <si>
    <t>produksi batubara tahun 2010</t>
  </si>
  <si>
    <t>kontribusi batubara terhadap PAD kalsel</t>
  </si>
  <si>
    <t>(hanya dari share saja, belum termasuk pajak-pajak dari tambang batubara)</t>
  </si>
  <si>
    <t>cadangan batubara yang terukur (pasti)</t>
  </si>
  <si>
    <t>2,428 milyar ton</t>
  </si>
  <si>
    <t>cadangan batubara yang terindikasi</t>
  </si>
  <si>
    <t>4,101 milyar ton</t>
  </si>
  <si>
    <t>cadangan batubara total kalsel</t>
  </si>
  <si>
    <t>6,529 milyar ton</t>
  </si>
  <si>
    <t>1.3 triliun rupiah</t>
  </si>
  <si>
    <t>data indonesia coal mining association</t>
  </si>
  <si>
    <t>(40% wilayah APL, 30% HP dan 30% perkebunan rakyat+ perusahaan</t>
  </si>
  <si>
    <t>biaya cost produksi</t>
  </si>
  <si>
    <t>$/ ton</t>
  </si>
  <si>
    <t>harga batubara</t>
  </si>
  <si>
    <t>75000-100000</t>
  </si>
  <si>
    <t>Coal at South Kalimantan</t>
  </si>
  <si>
    <t>resource</t>
  </si>
  <si>
    <t>reserve</t>
  </si>
  <si>
    <t>Kalimantan resource and reserve</t>
  </si>
  <si>
    <t>Indonesia coal resource and reserve (million tons)</t>
  </si>
  <si>
    <t>Resource</t>
  </si>
  <si>
    <t>Reserve</t>
  </si>
  <si>
    <t>total</t>
  </si>
  <si>
    <t>source: handbook of energy economics statistics of Indonesia 2010</t>
  </si>
  <si>
    <t>http://prokum.esdm.go.id/Publikasi/Handbook%20of%20Energy%20&amp;%20Economic%20Statistics%20of%20Indonesia%20/Handbook%202010.pdf</t>
  </si>
  <si>
    <t>Coal Price</t>
  </si>
  <si>
    <t>Average price of coal FOB export (US$/ton)</t>
  </si>
  <si>
    <t>average</t>
  </si>
  <si>
    <t>median</t>
  </si>
  <si>
    <t>source</t>
  </si>
  <si>
    <t>harga batubara acuan juli2010</t>
  </si>
  <si>
    <t xml:space="preserve">type </t>
  </si>
  <si>
    <t>kal</t>
  </si>
  <si>
    <t>usd/ton</t>
  </si>
  <si>
    <t>6171-6600</t>
  </si>
  <si>
    <t>89.70-100.01</t>
  </si>
  <si>
    <t>5730-6148</t>
  </si>
  <si>
    <t>83.27-93.66</t>
  </si>
  <si>
    <t>2995-5700</t>
  </si>
  <si>
    <t>23.88-78.54</t>
  </si>
  <si>
    <t>hard coal</t>
  </si>
  <si>
    <t>sub-bituminous, lignite</t>
  </si>
  <si>
    <t>http://mail.djmbp.esdm.go.id/files/HBA%20Juli.pdf</t>
  </si>
  <si>
    <t>s.d october</t>
  </si>
  <si>
    <t>http://mail.djmbp.esdm.go.id/files/HBA%20Oktober%202011.pdf</t>
  </si>
  <si>
    <t>Average Harga Batubara Acuan (HBA) --FOB vessel</t>
  </si>
  <si>
    <t>year</t>
  </si>
  <si>
    <t>case: Arutmin</t>
  </si>
  <si>
    <t>jan-june 2011</t>
  </si>
  <si>
    <t>million tons</t>
  </si>
  <si>
    <t>site</t>
  </si>
  <si>
    <t>Asam-asam</t>
  </si>
  <si>
    <t>Satui</t>
  </si>
  <si>
    <t>Batulicin</t>
  </si>
  <si>
    <t>Senakin</t>
  </si>
  <si>
    <t>million tons (from all mining sites in s.kalimantan)</t>
  </si>
  <si>
    <t>target 2011</t>
  </si>
  <si>
    <t>first operated</t>
  </si>
  <si>
    <t>recent coal production</t>
  </si>
  <si>
    <t>bituminous coal</t>
  </si>
  <si>
    <t>sub-bituminous coal</t>
  </si>
  <si>
    <t>Size of operation</t>
  </si>
  <si>
    <t>ha</t>
  </si>
  <si>
    <t xml:space="preserve">all sites </t>
  </si>
  <si>
    <t>millions ton/ha</t>
  </si>
  <si>
    <t>ton/ha</t>
  </si>
  <si>
    <t>high quality</t>
  </si>
  <si>
    <t>pecah-cuci</t>
  </si>
  <si>
    <t xml:space="preserve">pecah </t>
  </si>
  <si>
    <t>no-ash</t>
  </si>
  <si>
    <t>ashed</t>
  </si>
  <si>
    <t>ecocoal</t>
  </si>
  <si>
    <t>low price</t>
  </si>
  <si>
    <t>high price</t>
  </si>
  <si>
    <t>gross production per ha (total production by total concession area)</t>
  </si>
  <si>
    <t>2010 share planned  production</t>
  </si>
  <si>
    <t>source: BUMI annual reports</t>
  </si>
  <si>
    <t>http://www.bumiresources.com/index.php?option=com_financialinfo&amp;task=category&amp;id=28&amp;Itemid=105</t>
  </si>
  <si>
    <t>Production</t>
  </si>
  <si>
    <t>Year</t>
  </si>
  <si>
    <t>total cost</t>
  </si>
  <si>
    <t>avg price</t>
  </si>
  <si>
    <t>BUMI annual report</t>
  </si>
  <si>
    <t>laba bersih ($)</t>
  </si>
  <si>
    <t>Surat Edaran Kepada Pemegang Saham BUMI resouorce</t>
  </si>
  <si>
    <t>$/ha</t>
  </si>
  <si>
    <t>analysis</t>
  </si>
  <si>
    <t>net profit ($)</t>
  </si>
  <si>
    <t xml:space="preserve"> price ($/ton)</t>
  </si>
  <si>
    <t>production</t>
  </si>
  <si>
    <t>profit per ton</t>
  </si>
  <si>
    <t>total revenue</t>
  </si>
  <si>
    <t>cost per ton</t>
  </si>
  <si>
    <t>profit</t>
  </si>
  <si>
    <t>$/ton</t>
  </si>
  <si>
    <t>price</t>
  </si>
  <si>
    <t>median cost per ton</t>
  </si>
  <si>
    <t>luas konsesi</t>
  </si>
  <si>
    <t>Produksi</t>
  </si>
  <si>
    <t>perkiraan kasar (ton/ha)</t>
  </si>
  <si>
    <t>price 2010</t>
  </si>
  <si>
    <t>Revenue ($ ton/ha)</t>
  </si>
  <si>
    <t>Cost per ton</t>
  </si>
  <si>
    <t>Profit</t>
  </si>
  <si>
    <t>Year of prod</t>
  </si>
  <si>
    <t>10 years</t>
  </si>
  <si>
    <t>30 yr cycle</t>
  </si>
  <si>
    <t>avg</t>
  </si>
  <si>
    <t>med</t>
  </si>
  <si>
    <t>private npv</t>
  </si>
  <si>
    <t>cost/ha</t>
  </si>
  <si>
    <t>profit/ha</t>
  </si>
  <si>
    <t>Coal Mining</t>
  </si>
  <si>
    <t>Size of concession</t>
  </si>
  <si>
    <t>Site</t>
  </si>
  <si>
    <t>S. Kalimantan</t>
  </si>
  <si>
    <t>2010 price</t>
  </si>
  <si>
    <t xml:space="preserve">Profit </t>
  </si>
  <si>
    <t>Average</t>
  </si>
  <si>
    <t>30 year estimation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</si>
  <si>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</si>
  <si>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</si>
  <si>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</si>
  <si>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</si>
  <si>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</si>
  <si>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</si>
  <si>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</si>
  <si>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</si>
  <si>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</si>
  <si>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</si>
  <si>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</si>
  <si>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</si>
  <si>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</si>
  <si>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</si>
  <si>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</si>
  <si>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</si>
  <si>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</si>
  <si>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</si>
  <si>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</si>
  <si>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</si>
  <si>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</si>
  <si>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</si>
  <si>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</si>
  <si>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</si>
  <si>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</si>
  <si>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</si>
  <si>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</si>
  <si>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</si>
  <si>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</si>
  <si>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</si>
  <si>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NPV</t>
  </si>
  <si>
    <t>Arutmin</t>
  </si>
  <si>
    <t>Profit ($/ha)</t>
  </si>
  <si>
    <t>cost of production</t>
  </si>
  <si>
    <t>Profit value per unit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</si>
</sst>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Symbol"/>
      <family val="1"/>
      <charset val="2"/>
    </font>
    <font>
      <sz val="7"/>
      <color rgb="FF333333"/>
      <name val="Times New Roman"/>
      <family val="1"/>
    </font>
    <font>
      <sz val="9"/>
      <color rgb="FF333333"/>
      <name val="Arial"/>
      <family val="2"/>
    </font>
    <font>
      <sz val="8.5"/>
      <color theme="1"/>
      <name val="Times New Roman"/>
      <family val="1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rgb="FF474747"/>
      <name val="Verdana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2" fillId="0" borderId="0" xfId="0" applyFont="1"/>
    <xf numFmtId="0" fontId="4" fillId="0" borderId="0" xfId="0" applyFont="1"/>
    <xf numFmtId="43" fontId="0" fillId="0" borderId="0" xfId="1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164" fontId="0" fillId="0" borderId="0" xfId="1" applyNumberFormat="1" applyFont="1"/>
    <xf numFmtId="0" fontId="0" fillId="0" borderId="0" xfId="0" applyAlignment="1">
      <alignment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0" fillId="2" borderId="0" xfId="0" applyFill="1"/>
    <xf numFmtId="165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9" fontId="0" fillId="0" borderId="0" xfId="2" applyFont="1"/>
    <xf numFmtId="0" fontId="7" fillId="0" borderId="0" xfId="3" applyAlignment="1" applyProtection="1"/>
    <xf numFmtId="0" fontId="8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43" fontId="0" fillId="2" borderId="0" xfId="0" applyNumberFormat="1" applyFill="1"/>
    <xf numFmtId="166" fontId="9" fillId="3" borderId="0" xfId="2" applyNumberFormat="1" applyFont="1" applyFill="1"/>
    <xf numFmtId="0" fontId="6" fillId="0" borderId="0" xfId="0" applyFont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umiresources.com/index.php?option=com_financialinfo&amp;task=category&amp;id=28&amp;Itemid=1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okum.esdm.go.id/Publikasi/Handbook%20of%20Energy%20&amp;%20Economic%20Statistics%20of%20Indonesia%20/Handbook%20201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mail.djmbp.esdm.go.id/files/HBA%20Oktober%202011.pdf" TargetMode="External"/><Relationship Id="rId2" Type="http://schemas.openxmlformats.org/officeDocument/2006/relationships/hyperlink" Target="http://mail.djmbp.esdm.go.id/files/HBA%20Juli.pdf" TargetMode="External"/><Relationship Id="rId1" Type="http://schemas.openxmlformats.org/officeDocument/2006/relationships/hyperlink" Target="http://prokum.esdm.go.id/Publikasi/Handbook%20of%20Energy%20&amp;%20Economic%20Statistics%20of%20Indonesia%20/Handbook%20201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tabSelected="1" workbookViewId="0">
      <selection activeCell="D23" sqref="D23"/>
    </sheetView>
  </sheetViews>
  <sheetFormatPr defaultRowHeight="15"/>
  <cols>
    <col min="1" max="1" width="20.7109375" customWidth="1"/>
    <col min="2" max="2" width="13.140625" bestFit="1" customWidth="1"/>
    <col min="3" max="3" width="11.42578125" customWidth="1"/>
    <col min="4" max="4" width="12.42578125" customWidth="1"/>
    <col min="5" max="5" width="12.140625" customWidth="1"/>
  </cols>
  <sheetData>
    <row r="1" spans="1:4">
      <c r="A1" t="s">
        <v>134</v>
      </c>
    </row>
    <row r="2" spans="1:4">
      <c r="A2" t="s">
        <v>173</v>
      </c>
    </row>
    <row r="4" spans="1:4">
      <c r="A4" t="s">
        <v>135</v>
      </c>
      <c r="B4">
        <v>70153</v>
      </c>
      <c r="C4" t="s">
        <v>84</v>
      </c>
    </row>
    <row r="5" spans="1:4">
      <c r="A5" t="s">
        <v>136</v>
      </c>
      <c r="B5" t="s">
        <v>137</v>
      </c>
    </row>
    <row r="6" spans="1:4">
      <c r="A6" t="s">
        <v>175</v>
      </c>
      <c r="B6" s="25">
        <v>39.187357974439777</v>
      </c>
      <c r="C6" s="19" t="s">
        <v>116</v>
      </c>
    </row>
    <row r="7" spans="1:4">
      <c r="A7" t="s">
        <v>138</v>
      </c>
      <c r="B7" s="25">
        <v>91.74</v>
      </c>
      <c r="C7" s="19" t="s">
        <v>116</v>
      </c>
    </row>
    <row r="8" spans="1:4">
      <c r="A8" t="s">
        <v>176</v>
      </c>
      <c r="B8" s="25">
        <f>B7-B6</f>
        <v>52.552642025560218</v>
      </c>
      <c r="C8" s="19" t="s">
        <v>116</v>
      </c>
    </row>
    <row r="10" spans="1:4">
      <c r="A10" t="s">
        <v>101</v>
      </c>
      <c r="B10" s="27" t="s">
        <v>100</v>
      </c>
      <c r="C10" s="27"/>
      <c r="D10" s="19" t="s">
        <v>139</v>
      </c>
    </row>
    <row r="11" spans="1:4">
      <c r="B11" s="19" t="s">
        <v>71</v>
      </c>
      <c r="C11" s="19" t="s">
        <v>87</v>
      </c>
      <c r="D11" s="19" t="s">
        <v>107</v>
      </c>
    </row>
    <row r="12" spans="1:4">
      <c r="A12">
        <v>2002</v>
      </c>
      <c r="B12" s="24">
        <v>10.5</v>
      </c>
      <c r="C12" s="26">
        <f>(B12*1000000)/ $B$4</f>
        <v>149.67285789631234</v>
      </c>
      <c r="D12" s="28">
        <f>C12*$B$8</f>
        <v>7865.7041219674466</v>
      </c>
    </row>
    <row r="13" spans="1:4">
      <c r="A13">
        <v>2003</v>
      </c>
      <c r="B13" s="24">
        <v>13.7</v>
      </c>
      <c r="C13" s="26">
        <f t="shared" ref="C13:C21" si="0">(B13*1000000)/ $B$4</f>
        <v>195.28744315995039</v>
      </c>
      <c r="D13" s="28">
        <f t="shared" ref="D13:D21" si="1">C13*$B$8</f>
        <v>10262.871092471811</v>
      </c>
    </row>
    <row r="14" spans="1:4">
      <c r="A14">
        <v>2004</v>
      </c>
      <c r="B14" s="24">
        <v>15</v>
      </c>
      <c r="C14" s="26">
        <f t="shared" si="0"/>
        <v>213.81836842330335</v>
      </c>
      <c r="D14" s="28">
        <f t="shared" si="1"/>
        <v>11236.72017423921</v>
      </c>
    </row>
    <row r="15" spans="1:4">
      <c r="A15">
        <v>2005</v>
      </c>
      <c r="B15" s="24">
        <v>16.8</v>
      </c>
      <c r="C15" s="26">
        <f t="shared" si="0"/>
        <v>239.47657263409977</v>
      </c>
      <c r="D15" s="28">
        <f t="shared" si="1"/>
        <v>12585.126595147914</v>
      </c>
    </row>
    <row r="16" spans="1:4">
      <c r="A16">
        <v>2006</v>
      </c>
      <c r="B16" s="24">
        <v>15.3</v>
      </c>
      <c r="C16" s="26">
        <f t="shared" si="0"/>
        <v>218.09473579176941</v>
      </c>
      <c r="D16" s="28">
        <f t="shared" si="1"/>
        <v>11461.454577723993</v>
      </c>
    </row>
    <row r="17" spans="1:5">
      <c r="A17">
        <v>2007</v>
      </c>
      <c r="B17" s="24">
        <v>15.6</v>
      </c>
      <c r="C17" s="26">
        <f t="shared" si="0"/>
        <v>222.37110316023549</v>
      </c>
      <c r="D17" s="28">
        <f t="shared" si="1"/>
        <v>11686.188981208777</v>
      </c>
    </row>
    <row r="18" spans="1:5">
      <c r="A18">
        <v>2008</v>
      </c>
      <c r="B18" s="24">
        <v>15.4</v>
      </c>
      <c r="C18" s="26">
        <f t="shared" si="0"/>
        <v>219.5201915812581</v>
      </c>
      <c r="D18" s="28">
        <f t="shared" si="1"/>
        <v>11536.366045552255</v>
      </c>
    </row>
    <row r="19" spans="1:5">
      <c r="A19">
        <v>2009</v>
      </c>
      <c r="B19" s="24">
        <v>19.29</v>
      </c>
      <c r="C19" s="26">
        <f t="shared" si="0"/>
        <v>274.97042179236809</v>
      </c>
      <c r="D19" s="28">
        <f t="shared" si="1"/>
        <v>14450.422144071623</v>
      </c>
    </row>
    <row r="20" spans="1:5">
      <c r="A20">
        <v>2010</v>
      </c>
      <c r="B20" s="24">
        <v>20.399999999999999</v>
      </c>
      <c r="C20" s="26">
        <f t="shared" si="0"/>
        <v>290.79298105569256</v>
      </c>
      <c r="D20" s="28">
        <f t="shared" si="1"/>
        <v>15281.939436965326</v>
      </c>
    </row>
    <row r="21" spans="1:5">
      <c r="A21">
        <v>2011</v>
      </c>
      <c r="B21" s="24">
        <v>23</v>
      </c>
      <c r="C21" s="26">
        <f t="shared" si="0"/>
        <v>327.85483158239845</v>
      </c>
      <c r="D21" s="28">
        <f t="shared" si="1"/>
        <v>17229.637600500118</v>
      </c>
    </row>
    <row r="22" spans="1:5">
      <c r="B22" s="24"/>
      <c r="C22" s="26"/>
      <c r="D22" s="28"/>
    </row>
    <row r="23" spans="1:5">
      <c r="C23" t="s">
        <v>50</v>
      </c>
      <c r="D23" s="14">
        <f>MEDIAN(D12:D21)</f>
        <v>11611.277513380515</v>
      </c>
    </row>
    <row r="24" spans="1:5">
      <c r="C24" t="s">
        <v>140</v>
      </c>
      <c r="D24" s="14">
        <f>AVERAGE(D12:D23)</f>
        <v>12291.609843929909</v>
      </c>
    </row>
    <row r="26" spans="1:5">
      <c r="A26" t="s">
        <v>141</v>
      </c>
      <c r="B26" s="19" t="s">
        <v>174</v>
      </c>
      <c r="D26" t="s">
        <v>172</v>
      </c>
      <c r="E26" s="19" t="s">
        <v>107</v>
      </c>
    </row>
    <row r="27" spans="1:5">
      <c r="A27" s="19" t="s">
        <v>142</v>
      </c>
      <c r="B27" s="14">
        <f>$D$23</f>
        <v>11611.277513380515</v>
      </c>
      <c r="D27" s="16">
        <v>7.8E-2</v>
      </c>
      <c r="E27" s="28">
        <f>NPV(D27,B27:B56)</f>
        <v>133223.04258159018</v>
      </c>
    </row>
    <row r="28" spans="1:5">
      <c r="A28" s="19" t="s">
        <v>143</v>
      </c>
      <c r="B28" s="14">
        <f t="shared" ref="B28:B56" si="2">$D$23</f>
        <v>11611.277513380515</v>
      </c>
      <c r="D28" s="16">
        <v>2.7999999999999997E-2</v>
      </c>
      <c r="E28" s="28">
        <f>NPV(D28,B27:B56)</f>
        <v>233584.27775766421</v>
      </c>
    </row>
    <row r="29" spans="1:5">
      <c r="A29" s="19" t="s">
        <v>144</v>
      </c>
      <c r="B29" s="14">
        <f t="shared" si="2"/>
        <v>11611.277513380515</v>
      </c>
    </row>
    <row r="30" spans="1:5">
      <c r="A30" s="19" t="s">
        <v>145</v>
      </c>
      <c r="B30" s="14">
        <f t="shared" si="2"/>
        <v>11611.277513380515</v>
      </c>
    </row>
    <row r="31" spans="1:5">
      <c r="A31" s="19" t="s">
        <v>146</v>
      </c>
      <c r="B31" s="14">
        <f t="shared" si="2"/>
        <v>11611.277513380515</v>
      </c>
    </row>
    <row r="32" spans="1:5">
      <c r="A32" s="19" t="s">
        <v>147</v>
      </c>
      <c r="B32" s="14">
        <f t="shared" si="2"/>
        <v>11611.277513380515</v>
      </c>
    </row>
    <row r="33" spans="1:2">
      <c r="A33" s="19" t="s">
        <v>148</v>
      </c>
      <c r="B33" s="14">
        <f t="shared" si="2"/>
        <v>11611.277513380515</v>
      </c>
    </row>
    <row r="34" spans="1:2">
      <c r="A34" s="19" t="s">
        <v>149</v>
      </c>
      <c r="B34" s="14">
        <f t="shared" si="2"/>
        <v>11611.277513380515</v>
      </c>
    </row>
    <row r="35" spans="1:2">
      <c r="A35" s="19" t="s">
        <v>150</v>
      </c>
      <c r="B35" s="14">
        <f t="shared" si="2"/>
        <v>11611.277513380515</v>
      </c>
    </row>
    <row r="36" spans="1:2">
      <c r="A36" s="19" t="s">
        <v>151</v>
      </c>
      <c r="B36" s="14">
        <f t="shared" si="2"/>
        <v>11611.277513380515</v>
      </c>
    </row>
    <row r="37" spans="1:2">
      <c r="A37" s="19" t="s">
        <v>152</v>
      </c>
      <c r="B37" s="14">
        <f t="shared" si="2"/>
        <v>11611.277513380515</v>
      </c>
    </row>
    <row r="38" spans="1:2">
      <c r="A38" s="19" t="s">
        <v>153</v>
      </c>
      <c r="B38" s="14">
        <f t="shared" si="2"/>
        <v>11611.277513380515</v>
      </c>
    </row>
    <row r="39" spans="1:2">
      <c r="A39" s="19" t="s">
        <v>154</v>
      </c>
      <c r="B39" s="14">
        <f t="shared" si="2"/>
        <v>11611.277513380515</v>
      </c>
    </row>
    <row r="40" spans="1:2">
      <c r="A40" s="19" t="s">
        <v>155</v>
      </c>
      <c r="B40" s="14">
        <f t="shared" si="2"/>
        <v>11611.277513380515</v>
      </c>
    </row>
    <row r="41" spans="1:2">
      <c r="A41" s="19" t="s">
        <v>156</v>
      </c>
      <c r="B41" s="14">
        <f t="shared" si="2"/>
        <v>11611.277513380515</v>
      </c>
    </row>
    <row r="42" spans="1:2">
      <c r="A42" s="19" t="s">
        <v>157</v>
      </c>
      <c r="B42" s="14">
        <f t="shared" si="2"/>
        <v>11611.277513380515</v>
      </c>
    </row>
    <row r="43" spans="1:2">
      <c r="A43" s="19" t="s">
        <v>158</v>
      </c>
      <c r="B43" s="14">
        <f t="shared" si="2"/>
        <v>11611.277513380515</v>
      </c>
    </row>
    <row r="44" spans="1:2">
      <c r="A44" s="19" t="s">
        <v>159</v>
      </c>
      <c r="B44" s="14">
        <f t="shared" si="2"/>
        <v>11611.277513380515</v>
      </c>
    </row>
    <row r="45" spans="1:2">
      <c r="A45" s="19" t="s">
        <v>160</v>
      </c>
      <c r="B45" s="14">
        <f t="shared" si="2"/>
        <v>11611.277513380515</v>
      </c>
    </row>
    <row r="46" spans="1:2">
      <c r="A46" s="19" t="s">
        <v>161</v>
      </c>
      <c r="B46" s="14">
        <f t="shared" si="2"/>
        <v>11611.277513380515</v>
      </c>
    </row>
    <row r="47" spans="1:2">
      <c r="A47" s="19" t="s">
        <v>162</v>
      </c>
      <c r="B47" s="14">
        <f t="shared" si="2"/>
        <v>11611.277513380515</v>
      </c>
    </row>
    <row r="48" spans="1:2">
      <c r="A48" s="19" t="s">
        <v>163</v>
      </c>
      <c r="B48" s="14">
        <f t="shared" si="2"/>
        <v>11611.277513380515</v>
      </c>
    </row>
    <row r="49" spans="1:2">
      <c r="A49" s="19" t="s">
        <v>164</v>
      </c>
      <c r="B49" s="14">
        <f t="shared" si="2"/>
        <v>11611.277513380515</v>
      </c>
    </row>
    <row r="50" spans="1:2">
      <c r="A50" s="19" t="s">
        <v>165</v>
      </c>
      <c r="B50" s="14">
        <f t="shared" si="2"/>
        <v>11611.277513380515</v>
      </c>
    </row>
    <row r="51" spans="1:2">
      <c r="A51" s="19" t="s">
        <v>166</v>
      </c>
      <c r="B51" s="14">
        <f t="shared" si="2"/>
        <v>11611.277513380515</v>
      </c>
    </row>
    <row r="52" spans="1:2">
      <c r="A52" s="19" t="s">
        <v>167</v>
      </c>
      <c r="B52" s="14">
        <f t="shared" si="2"/>
        <v>11611.277513380515</v>
      </c>
    </row>
    <row r="53" spans="1:2">
      <c r="A53" s="19" t="s">
        <v>168</v>
      </c>
      <c r="B53" s="14">
        <f t="shared" si="2"/>
        <v>11611.277513380515</v>
      </c>
    </row>
    <row r="54" spans="1:2">
      <c r="A54" s="19" t="s">
        <v>169</v>
      </c>
      <c r="B54" s="14">
        <f t="shared" si="2"/>
        <v>11611.277513380515</v>
      </c>
    </row>
    <row r="55" spans="1:2">
      <c r="A55" s="19" t="s">
        <v>170</v>
      </c>
      <c r="B55" s="14">
        <f t="shared" si="2"/>
        <v>11611.277513380515</v>
      </c>
    </row>
    <row r="56" spans="1:2">
      <c r="A56" s="19" t="s">
        <v>171</v>
      </c>
      <c r="B56" s="14">
        <f t="shared" si="2"/>
        <v>11611.277513380515</v>
      </c>
    </row>
  </sheetData>
  <mergeCells count="1"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6"/>
  <sheetViews>
    <sheetView topLeftCell="A40" workbookViewId="0">
      <selection activeCell="F53" sqref="F53"/>
    </sheetView>
  </sheetViews>
  <sheetFormatPr defaultRowHeight="15"/>
  <cols>
    <col min="1" max="1" width="17.140625" customWidth="1"/>
    <col min="2" max="2" width="13.42578125" customWidth="1"/>
    <col min="3" max="3" width="13" customWidth="1"/>
    <col min="4" max="4" width="16" customWidth="1"/>
    <col min="5" max="5" width="12.5703125" bestFit="1" customWidth="1"/>
    <col min="6" max="6" width="19.5703125" customWidth="1"/>
    <col min="7" max="7" width="11.42578125" bestFit="1" customWidth="1"/>
    <col min="8" max="9" width="11.42578125" customWidth="1"/>
    <col min="10" max="10" width="13.5703125" customWidth="1"/>
    <col min="11" max="11" width="13.28515625" bestFit="1" customWidth="1"/>
    <col min="12" max="12" width="11.85546875" bestFit="1" customWidth="1"/>
    <col min="13" max="13" width="15" customWidth="1"/>
  </cols>
  <sheetData>
    <row r="1" spans="1:15">
      <c r="A1" t="s">
        <v>69</v>
      </c>
    </row>
    <row r="2" spans="1:15">
      <c r="A2" t="s">
        <v>79</v>
      </c>
      <c r="B2">
        <v>1981</v>
      </c>
    </row>
    <row r="3" spans="1:15">
      <c r="A3" t="s">
        <v>72</v>
      </c>
      <c r="B3" t="s">
        <v>73</v>
      </c>
      <c r="C3" t="s">
        <v>93</v>
      </c>
      <c r="F3" t="s">
        <v>94</v>
      </c>
    </row>
    <row r="4" spans="1:15">
      <c r="B4" t="s">
        <v>74</v>
      </c>
      <c r="C4" t="s">
        <v>88</v>
      </c>
      <c r="D4" t="s">
        <v>90</v>
      </c>
      <c r="E4" t="s">
        <v>91</v>
      </c>
      <c r="F4" t="s">
        <v>95</v>
      </c>
    </row>
    <row r="5" spans="1:15">
      <c r="B5" t="s">
        <v>75</v>
      </c>
      <c r="C5" t="s">
        <v>93</v>
      </c>
      <c r="F5" t="s">
        <v>94</v>
      </c>
    </row>
    <row r="6" spans="1:15">
      <c r="B6" t="s">
        <v>76</v>
      </c>
      <c r="C6" t="s">
        <v>88</v>
      </c>
      <c r="D6" t="s">
        <v>89</v>
      </c>
      <c r="E6" t="s">
        <v>92</v>
      </c>
      <c r="F6" t="s">
        <v>95</v>
      </c>
    </row>
    <row r="8" spans="1:15">
      <c r="A8" t="s">
        <v>83</v>
      </c>
      <c r="B8">
        <v>70153</v>
      </c>
      <c r="C8" t="s">
        <v>84</v>
      </c>
      <c r="D8" t="s">
        <v>85</v>
      </c>
      <c r="J8" t="s">
        <v>97</v>
      </c>
    </row>
    <row r="9" spans="1:15">
      <c r="J9">
        <v>13.76</v>
      </c>
      <c r="K9" t="s">
        <v>71</v>
      </c>
      <c r="L9" s="18" t="s">
        <v>81</v>
      </c>
      <c r="N9" s="16">
        <f>J9/$J$11</f>
        <v>0.5653245686113394</v>
      </c>
      <c r="O9" t="s">
        <v>95</v>
      </c>
    </row>
    <row r="10" spans="1:15">
      <c r="A10" t="s">
        <v>80</v>
      </c>
      <c r="J10">
        <v>10.58</v>
      </c>
      <c r="K10" t="s">
        <v>71</v>
      </c>
      <c r="L10" s="18" t="s">
        <v>82</v>
      </c>
      <c r="N10" s="16">
        <f>J10/$J$11</f>
        <v>0.43467543138866066</v>
      </c>
      <c r="O10" t="s">
        <v>94</v>
      </c>
    </row>
    <row r="11" spans="1:15">
      <c r="A11" t="s">
        <v>70</v>
      </c>
      <c r="B11">
        <v>10.6</v>
      </c>
      <c r="C11" t="s">
        <v>77</v>
      </c>
      <c r="J11">
        <f>SUM(J9:J10)</f>
        <v>24.34</v>
      </c>
      <c r="K11" t="s">
        <v>44</v>
      </c>
    </row>
    <row r="12" spans="1:15">
      <c r="A12" t="s">
        <v>78</v>
      </c>
      <c r="B12">
        <v>23</v>
      </c>
    </row>
    <row r="14" spans="1:15">
      <c r="A14" t="s">
        <v>101</v>
      </c>
      <c r="B14" t="s">
        <v>100</v>
      </c>
      <c r="D14" t="s">
        <v>102</v>
      </c>
      <c r="E14" t="s">
        <v>103</v>
      </c>
      <c r="F14" t="s">
        <v>105</v>
      </c>
      <c r="G14" s="19" t="s">
        <v>107</v>
      </c>
      <c r="H14" s="19"/>
      <c r="I14" s="19"/>
      <c r="J14" t="s">
        <v>51</v>
      </c>
    </row>
    <row r="15" spans="1:15">
      <c r="A15">
        <v>2002</v>
      </c>
      <c r="B15">
        <v>10.5</v>
      </c>
      <c r="C15" t="s">
        <v>71</v>
      </c>
      <c r="G15" s="19"/>
      <c r="H15" s="19"/>
      <c r="I15" s="19"/>
    </row>
    <row r="16" spans="1:15">
      <c r="A16">
        <v>2003</v>
      </c>
      <c r="B16">
        <v>13.7</v>
      </c>
      <c r="C16" t="s">
        <v>71</v>
      </c>
      <c r="G16" s="19"/>
      <c r="H16" s="19"/>
      <c r="I16" s="19"/>
    </row>
    <row r="17" spans="1:10">
      <c r="A17">
        <v>2004</v>
      </c>
      <c r="B17">
        <v>15</v>
      </c>
      <c r="C17" t="s">
        <v>71</v>
      </c>
      <c r="G17" s="19"/>
      <c r="H17" s="19"/>
      <c r="I17" s="19"/>
    </row>
    <row r="18" spans="1:10">
      <c r="A18">
        <v>2005</v>
      </c>
      <c r="B18">
        <v>16.8</v>
      </c>
      <c r="C18" t="s">
        <v>71</v>
      </c>
      <c r="F18" s="8">
        <v>3988253</v>
      </c>
      <c r="G18" s="15">
        <f>F18/$B$8</f>
        <v>56.850783287956325</v>
      </c>
      <c r="H18" s="15"/>
      <c r="I18" s="15"/>
      <c r="J18" t="s">
        <v>106</v>
      </c>
    </row>
    <row r="19" spans="1:10">
      <c r="A19">
        <v>2006</v>
      </c>
      <c r="B19">
        <v>15.3</v>
      </c>
      <c r="C19" t="s">
        <v>71</v>
      </c>
      <c r="F19" s="8">
        <v>3333687</v>
      </c>
      <c r="G19" s="15">
        <f>F19/$B$8</f>
        <v>47.520234344931794</v>
      </c>
      <c r="H19" s="15"/>
      <c r="I19" s="15"/>
      <c r="J19" t="s">
        <v>106</v>
      </c>
    </row>
    <row r="20" spans="1:10">
      <c r="A20">
        <v>2007</v>
      </c>
      <c r="B20">
        <v>15.6</v>
      </c>
      <c r="C20" t="s">
        <v>71</v>
      </c>
    </row>
    <row r="21" spans="1:10">
      <c r="A21">
        <v>2008</v>
      </c>
      <c r="B21">
        <v>15.4</v>
      </c>
      <c r="C21" t="s">
        <v>71</v>
      </c>
      <c r="J21" t="s">
        <v>104</v>
      </c>
    </row>
    <row r="22" spans="1:10">
      <c r="A22">
        <v>2009</v>
      </c>
      <c r="B22">
        <v>19.29</v>
      </c>
      <c r="C22" t="s">
        <v>71</v>
      </c>
      <c r="E22">
        <v>58.15</v>
      </c>
      <c r="J22" t="s">
        <v>104</v>
      </c>
    </row>
    <row r="23" spans="1:10">
      <c r="A23">
        <v>2010</v>
      </c>
      <c r="B23">
        <v>20.399999999999999</v>
      </c>
      <c r="C23" t="s">
        <v>71</v>
      </c>
      <c r="J23" t="s">
        <v>104</v>
      </c>
    </row>
    <row r="24" spans="1:10">
      <c r="A24">
        <v>2011</v>
      </c>
      <c r="B24">
        <v>23</v>
      </c>
    </row>
    <row r="26" spans="1:10">
      <c r="A26" t="s">
        <v>96</v>
      </c>
    </row>
    <row r="27" spans="1:10">
      <c r="A27">
        <v>2002</v>
      </c>
      <c r="B27">
        <f>B15/$B$8</f>
        <v>1.4967285789631234E-4</v>
      </c>
      <c r="E27" s="8">
        <f t="shared" ref="E27:E32" si="0">B27*1000000</f>
        <v>149.67285789631234</v>
      </c>
    </row>
    <row r="28" spans="1:10">
      <c r="A28">
        <v>2003</v>
      </c>
      <c r="B28">
        <f t="shared" ref="B28:B32" si="1">B16/$B$8</f>
        <v>1.9528744315995038E-4</v>
      </c>
      <c r="E28" s="8">
        <f t="shared" si="0"/>
        <v>195.28744315995039</v>
      </c>
    </row>
    <row r="29" spans="1:10">
      <c r="A29">
        <v>2004</v>
      </c>
      <c r="B29">
        <f t="shared" si="1"/>
        <v>2.1381836842330334E-4</v>
      </c>
      <c r="E29" s="8">
        <f t="shared" si="0"/>
        <v>213.81836842330335</v>
      </c>
    </row>
    <row r="30" spans="1:10">
      <c r="A30">
        <v>2005</v>
      </c>
      <c r="B30">
        <f t="shared" si="1"/>
        <v>2.3947657263409977E-4</v>
      </c>
      <c r="E30" s="8">
        <f t="shared" si="0"/>
        <v>239.47657263409977</v>
      </c>
    </row>
    <row r="31" spans="1:10">
      <c r="A31">
        <v>2006</v>
      </c>
      <c r="B31">
        <f t="shared" si="1"/>
        <v>2.1809473579176942E-4</v>
      </c>
      <c r="E31" s="8">
        <f t="shared" si="0"/>
        <v>218.09473579176941</v>
      </c>
    </row>
    <row r="32" spans="1:10">
      <c r="A32">
        <v>2007</v>
      </c>
      <c r="B32">
        <f t="shared" si="1"/>
        <v>2.2237110316023547E-4</v>
      </c>
      <c r="E32" s="8">
        <f t="shared" si="0"/>
        <v>222.37110316023546</v>
      </c>
    </row>
    <row r="33" spans="1:12">
      <c r="A33">
        <v>2008</v>
      </c>
      <c r="B33">
        <f>B21/B8</f>
        <v>2.1952019158125811E-4</v>
      </c>
      <c r="C33" t="s">
        <v>86</v>
      </c>
      <c r="E33" s="8">
        <f t="shared" ref="E33:E35" si="2">B33*1000000</f>
        <v>219.5201915812581</v>
      </c>
      <c r="F33" t="s">
        <v>87</v>
      </c>
    </row>
    <row r="34" spans="1:12">
      <c r="A34">
        <v>2009</v>
      </c>
      <c r="B34">
        <f>B22/B8</f>
        <v>2.749704217923681E-4</v>
      </c>
      <c r="C34" t="s">
        <v>86</v>
      </c>
      <c r="E34" s="8">
        <f t="shared" si="2"/>
        <v>274.97042179236809</v>
      </c>
      <c r="F34" t="s">
        <v>87</v>
      </c>
    </row>
    <row r="35" spans="1:12">
      <c r="A35">
        <v>2010</v>
      </c>
      <c r="B35">
        <f>B23/B8</f>
        <v>2.9079298105569253E-4</v>
      </c>
      <c r="C35" t="s">
        <v>86</v>
      </c>
      <c r="E35" s="8">
        <f t="shared" si="2"/>
        <v>290.79298105569251</v>
      </c>
      <c r="F35" t="s">
        <v>87</v>
      </c>
    </row>
    <row r="36" spans="1:12">
      <c r="A36">
        <v>2011</v>
      </c>
      <c r="B36">
        <f>B12/B8</f>
        <v>3.2785483158239846E-4</v>
      </c>
      <c r="C36" t="s">
        <v>86</v>
      </c>
      <c r="E36" s="8">
        <f>B36*1000000</f>
        <v>327.85483158239845</v>
      </c>
      <c r="F36" t="s">
        <v>87</v>
      </c>
    </row>
    <row r="37" spans="1:12">
      <c r="G37" t="s">
        <v>117</v>
      </c>
      <c r="J37" t="s">
        <v>113</v>
      </c>
      <c r="K37" t="s">
        <v>102</v>
      </c>
      <c r="L37" t="s">
        <v>115</v>
      </c>
    </row>
    <row r="38" spans="1:12">
      <c r="D38" t="s">
        <v>49</v>
      </c>
      <c r="E38" s="14">
        <f>AVERAGE(E27:E36)</f>
        <v>235.18595070773881</v>
      </c>
      <c r="F38" t="s">
        <v>87</v>
      </c>
      <c r="G38">
        <v>119.15</v>
      </c>
      <c r="J38" s="8">
        <f>G38*E38</f>
        <v>28022.40602682708</v>
      </c>
      <c r="K38" s="15">
        <f>G51*E38</f>
        <v>9216.3160409431093</v>
      </c>
      <c r="L38" s="14">
        <f>J38-K38</f>
        <v>18806.089985883969</v>
      </c>
    </row>
    <row r="39" spans="1:12">
      <c r="D39" t="s">
        <v>50</v>
      </c>
      <c r="E39" s="14">
        <f>MEDIAN(E27:E36)</f>
        <v>220.94564737074677</v>
      </c>
      <c r="F39" t="s">
        <v>87</v>
      </c>
      <c r="G39" s="14"/>
      <c r="H39" s="14"/>
      <c r="I39" s="14"/>
    </row>
    <row r="42" spans="1:12">
      <c r="A42" t="s">
        <v>98</v>
      </c>
    </row>
    <row r="43" spans="1:12">
      <c r="A43" s="17" t="s">
        <v>99</v>
      </c>
    </row>
    <row r="47" spans="1:12">
      <c r="A47" t="s">
        <v>108</v>
      </c>
      <c r="B47" t="s">
        <v>110</v>
      </c>
      <c r="C47" t="s">
        <v>109</v>
      </c>
      <c r="D47" t="s">
        <v>111</v>
      </c>
      <c r="E47" t="s">
        <v>113</v>
      </c>
      <c r="F47" t="s">
        <v>102</v>
      </c>
      <c r="G47" t="s">
        <v>114</v>
      </c>
      <c r="J47" t="s">
        <v>112</v>
      </c>
    </row>
    <row r="48" spans="1:12">
      <c r="A48">
        <v>2005</v>
      </c>
      <c r="B48">
        <v>36.479999999999997</v>
      </c>
      <c r="C48" s="8">
        <v>3988253</v>
      </c>
      <c r="D48">
        <v>16.8</v>
      </c>
      <c r="E48" s="14">
        <f>B48*D48*1000000</f>
        <v>612863999.99999988</v>
      </c>
      <c r="F48" s="14">
        <f>E48-C48</f>
        <v>608875746.99999988</v>
      </c>
      <c r="G48" s="15">
        <f>F48/(D48*1000000)</f>
        <v>36.242603988095233</v>
      </c>
      <c r="H48" s="15"/>
      <c r="I48" s="15"/>
      <c r="J48">
        <f>C48/(D48*1000000)</f>
        <v>0.23739601190476189</v>
      </c>
    </row>
    <row r="49" spans="1:13">
      <c r="A49">
        <v>2006</v>
      </c>
      <c r="B49">
        <v>42.35</v>
      </c>
      <c r="C49" s="8">
        <v>3333687</v>
      </c>
      <c r="D49">
        <v>15.3</v>
      </c>
      <c r="E49" s="14">
        <f>B49*D49*1000000</f>
        <v>647955000</v>
      </c>
      <c r="F49" s="14">
        <f>E49-C49</f>
        <v>644621313</v>
      </c>
      <c r="G49" s="15">
        <f>F49/(D49*1000000)</f>
        <v>42.132111960784314</v>
      </c>
      <c r="H49" s="15"/>
      <c r="I49" s="15"/>
      <c r="J49">
        <f>C49/(D49*1000000)</f>
        <v>0.21788803921568628</v>
      </c>
    </row>
    <row r="51" spans="1:13">
      <c r="F51" t="s">
        <v>118</v>
      </c>
      <c r="G51" s="15">
        <f>MEDIAN(G48:G49)</f>
        <v>39.187357974439777</v>
      </c>
      <c r="H51" s="15"/>
      <c r="I51" s="15"/>
      <c r="J51" t="s">
        <v>116</v>
      </c>
    </row>
    <row r="52" spans="1:13">
      <c r="A52" t="s">
        <v>126</v>
      </c>
      <c r="B52" t="s">
        <v>119</v>
      </c>
      <c r="C52" t="s">
        <v>120</v>
      </c>
      <c r="D52" t="s">
        <v>121</v>
      </c>
      <c r="E52" t="s">
        <v>122</v>
      </c>
      <c r="F52" t="s">
        <v>123</v>
      </c>
      <c r="G52" t="s">
        <v>124</v>
      </c>
      <c r="H52" t="s">
        <v>132</v>
      </c>
      <c r="I52" t="s">
        <v>133</v>
      </c>
      <c r="J52" t="s">
        <v>125</v>
      </c>
    </row>
    <row r="53" spans="1:13">
      <c r="A53">
        <v>2002</v>
      </c>
      <c r="B53">
        <f>$B$8</f>
        <v>70153</v>
      </c>
      <c r="C53" s="8">
        <f>B15</f>
        <v>10.5</v>
      </c>
      <c r="D53" s="14">
        <f>(C53*1000000)/B53</f>
        <v>149.67285789631234</v>
      </c>
      <c r="E53">
        <v>91.74</v>
      </c>
      <c r="F53" s="20">
        <f>E53*D53</f>
        <v>13730.987983407693</v>
      </c>
      <c r="G53" s="13">
        <v>39.187357974439777</v>
      </c>
      <c r="H53" s="13">
        <f>G53*D53</f>
        <v>5865.2838614402472</v>
      </c>
      <c r="I53" s="13">
        <f>F53-H53</f>
        <v>7865.7041219674456</v>
      </c>
      <c r="J53" s="21">
        <f>F53-G53</f>
        <v>13691.800625433252</v>
      </c>
      <c r="K53">
        <v>1</v>
      </c>
      <c r="L53" s="22">
        <v>7.8E-2</v>
      </c>
    </row>
    <row r="54" spans="1:13">
      <c r="A54">
        <v>2003</v>
      </c>
      <c r="B54">
        <f t="shared" ref="B54:B62" si="3">$B$8</f>
        <v>70153</v>
      </c>
      <c r="C54" s="8">
        <f t="shared" ref="C54:C62" si="4">B16</f>
        <v>13.7</v>
      </c>
      <c r="D54" s="14">
        <f t="shared" ref="D54:D62" si="5">(C54*1000000)/B54</f>
        <v>195.28744315995039</v>
      </c>
      <c r="E54">
        <v>91.74</v>
      </c>
      <c r="F54" s="20">
        <f t="shared" ref="F54:F62" si="6">E54*D54</f>
        <v>17915.670035493848</v>
      </c>
      <c r="G54" s="13">
        <v>39.187357974439777</v>
      </c>
      <c r="H54" s="13">
        <f t="shared" ref="H54:H62" si="7">G54*D54</f>
        <v>7652.7989430220368</v>
      </c>
      <c r="I54" s="13">
        <f t="shared" ref="I54:I62" si="8">F54-H54</f>
        <v>10262.871092471811</v>
      </c>
      <c r="J54" s="21">
        <f t="shared" ref="J54:J62" si="9">F54-G54</f>
        <v>17876.482677519409</v>
      </c>
      <c r="K54">
        <v>2</v>
      </c>
    </row>
    <row r="55" spans="1:13">
      <c r="A55">
        <v>2004</v>
      </c>
      <c r="B55">
        <f t="shared" si="3"/>
        <v>70153</v>
      </c>
      <c r="C55" s="8">
        <f t="shared" si="4"/>
        <v>15</v>
      </c>
      <c r="D55" s="14">
        <f t="shared" si="5"/>
        <v>213.81836842330335</v>
      </c>
      <c r="E55">
        <v>91.74</v>
      </c>
      <c r="F55" s="20">
        <f t="shared" si="6"/>
        <v>19615.697119153847</v>
      </c>
      <c r="G55" s="13">
        <v>39.187357974439777</v>
      </c>
      <c r="H55" s="13">
        <f t="shared" si="7"/>
        <v>8378.9769449146388</v>
      </c>
      <c r="I55" s="13">
        <f t="shared" si="8"/>
        <v>11236.720174239208</v>
      </c>
      <c r="J55" s="21">
        <f t="shared" si="9"/>
        <v>19576.509761179408</v>
      </c>
      <c r="K55">
        <v>3</v>
      </c>
      <c r="L55" s="14">
        <f>NPV(L53,I53:I62)</f>
        <v>80383.194332327184</v>
      </c>
      <c r="M55" t="s">
        <v>127</v>
      </c>
    </row>
    <row r="56" spans="1:13">
      <c r="A56">
        <v>2005</v>
      </c>
      <c r="B56">
        <f t="shared" si="3"/>
        <v>70153</v>
      </c>
      <c r="C56" s="8">
        <f t="shared" si="4"/>
        <v>16.8</v>
      </c>
      <c r="D56" s="14">
        <f t="shared" si="5"/>
        <v>239.47657263409977</v>
      </c>
      <c r="E56">
        <v>91.74</v>
      </c>
      <c r="F56" s="20">
        <f t="shared" si="6"/>
        <v>21969.580773452311</v>
      </c>
      <c r="G56" s="13">
        <v>39.187357974439777</v>
      </c>
      <c r="H56" s="13">
        <f t="shared" si="7"/>
        <v>9384.4541783043969</v>
      </c>
      <c r="I56" s="13">
        <f t="shared" si="8"/>
        <v>12585.126595147914</v>
      </c>
      <c r="J56" s="21">
        <f t="shared" si="9"/>
        <v>21930.393415477873</v>
      </c>
      <c r="K56">
        <v>4</v>
      </c>
      <c r="L56" s="14">
        <f>NPV(L53,J53:J82)</f>
        <v>237329.45720351726</v>
      </c>
      <c r="M56" t="s">
        <v>128</v>
      </c>
    </row>
    <row r="57" spans="1:13">
      <c r="A57">
        <v>2006</v>
      </c>
      <c r="B57">
        <f t="shared" si="3"/>
        <v>70153</v>
      </c>
      <c r="C57" s="8">
        <f t="shared" si="4"/>
        <v>15.3</v>
      </c>
      <c r="D57" s="14">
        <f t="shared" si="5"/>
        <v>218.09473579176941</v>
      </c>
      <c r="E57">
        <v>91.74</v>
      </c>
      <c r="F57" s="20">
        <f t="shared" si="6"/>
        <v>20008.011061536923</v>
      </c>
      <c r="G57" s="13">
        <v>39.187357974439777</v>
      </c>
      <c r="H57" s="13">
        <f t="shared" si="7"/>
        <v>8546.5564838129321</v>
      </c>
      <c r="I57" s="13">
        <f t="shared" si="8"/>
        <v>11461.454577723991</v>
      </c>
      <c r="J57" s="21">
        <f t="shared" si="9"/>
        <v>19968.823703562484</v>
      </c>
      <c r="K57">
        <v>5</v>
      </c>
    </row>
    <row r="58" spans="1:13">
      <c r="A58">
        <v>2007</v>
      </c>
      <c r="B58">
        <f t="shared" si="3"/>
        <v>70153</v>
      </c>
      <c r="C58" s="8">
        <f t="shared" si="4"/>
        <v>15.6</v>
      </c>
      <c r="D58" s="14">
        <f t="shared" si="5"/>
        <v>222.37110316023549</v>
      </c>
      <c r="E58">
        <v>91.74</v>
      </c>
      <c r="F58" s="20">
        <f t="shared" si="6"/>
        <v>20400.325003920003</v>
      </c>
      <c r="G58" s="13">
        <v>39.187357974439777</v>
      </c>
      <c r="H58" s="13">
        <f t="shared" si="7"/>
        <v>8714.1360227112255</v>
      </c>
      <c r="I58" s="13">
        <f t="shared" si="8"/>
        <v>11686.188981208777</v>
      </c>
      <c r="J58" s="21">
        <f t="shared" si="9"/>
        <v>20361.137645945564</v>
      </c>
      <c r="K58">
        <v>6</v>
      </c>
    </row>
    <row r="59" spans="1:13">
      <c r="A59">
        <v>2008</v>
      </c>
      <c r="B59">
        <f t="shared" si="3"/>
        <v>70153</v>
      </c>
      <c r="C59" s="8">
        <f t="shared" si="4"/>
        <v>15.4</v>
      </c>
      <c r="D59" s="14">
        <f t="shared" si="5"/>
        <v>219.5201915812581</v>
      </c>
      <c r="E59">
        <v>91.74</v>
      </c>
      <c r="F59" s="20">
        <f t="shared" si="6"/>
        <v>20138.782375664618</v>
      </c>
      <c r="G59" s="13">
        <v>39.187357974439777</v>
      </c>
      <c r="H59" s="13">
        <f t="shared" si="7"/>
        <v>8602.4163301123626</v>
      </c>
      <c r="I59" s="13">
        <f t="shared" si="8"/>
        <v>11536.366045552255</v>
      </c>
      <c r="J59" s="21">
        <f t="shared" si="9"/>
        <v>20099.595017690179</v>
      </c>
      <c r="K59">
        <v>7</v>
      </c>
    </row>
    <row r="60" spans="1:13">
      <c r="A60">
        <v>2009</v>
      </c>
      <c r="B60">
        <f t="shared" si="3"/>
        <v>70153</v>
      </c>
      <c r="C60" s="8">
        <f t="shared" si="4"/>
        <v>19.29</v>
      </c>
      <c r="D60" s="14">
        <f t="shared" si="5"/>
        <v>274.97042179236809</v>
      </c>
      <c r="E60">
        <v>91.74</v>
      </c>
      <c r="F60" s="20">
        <f t="shared" si="6"/>
        <v>25225.786495231845</v>
      </c>
      <c r="G60" s="13">
        <v>39.187357974439777</v>
      </c>
      <c r="H60" s="13">
        <f t="shared" si="7"/>
        <v>10775.364351160224</v>
      </c>
      <c r="I60" s="13">
        <f t="shared" si="8"/>
        <v>14450.422144071621</v>
      </c>
      <c r="J60" s="21">
        <f t="shared" si="9"/>
        <v>25186.599137257406</v>
      </c>
      <c r="K60">
        <v>8</v>
      </c>
    </row>
    <row r="61" spans="1:13">
      <c r="A61">
        <v>2010</v>
      </c>
      <c r="B61">
        <f t="shared" si="3"/>
        <v>70153</v>
      </c>
      <c r="C61" s="8">
        <f t="shared" si="4"/>
        <v>20.399999999999999</v>
      </c>
      <c r="D61" s="14">
        <f t="shared" si="5"/>
        <v>290.79298105569256</v>
      </c>
      <c r="E61">
        <v>91.74</v>
      </c>
      <c r="F61" s="20">
        <f t="shared" si="6"/>
        <v>26677.348082049233</v>
      </c>
      <c r="G61" s="13">
        <v>39.187357974439777</v>
      </c>
      <c r="H61" s="13">
        <f t="shared" si="7"/>
        <v>11395.40864508391</v>
      </c>
      <c r="I61" s="13">
        <f t="shared" si="8"/>
        <v>15281.939436965324</v>
      </c>
      <c r="J61" s="21">
        <f t="shared" si="9"/>
        <v>26638.160724074794</v>
      </c>
      <c r="K61">
        <v>9</v>
      </c>
    </row>
    <row r="62" spans="1:13">
      <c r="A62">
        <v>2011</v>
      </c>
      <c r="B62">
        <f t="shared" si="3"/>
        <v>70153</v>
      </c>
      <c r="C62" s="8">
        <f t="shared" si="4"/>
        <v>23</v>
      </c>
      <c r="D62" s="14">
        <f t="shared" si="5"/>
        <v>327.85483158239845</v>
      </c>
      <c r="E62">
        <v>91.74</v>
      </c>
      <c r="F62" s="20">
        <f t="shared" si="6"/>
        <v>30077.402249369232</v>
      </c>
      <c r="G62" s="13">
        <v>39.187357974439777</v>
      </c>
      <c r="H62" s="13">
        <f t="shared" si="7"/>
        <v>12847.764648869112</v>
      </c>
      <c r="I62" s="13">
        <f t="shared" si="8"/>
        <v>17229.637600500122</v>
      </c>
      <c r="J62" s="21">
        <f t="shared" si="9"/>
        <v>30038.214891394793</v>
      </c>
      <c r="K62">
        <v>10</v>
      </c>
    </row>
    <row r="63" spans="1:13">
      <c r="C63" s="8"/>
      <c r="J63" s="15">
        <v>13691.800625433252</v>
      </c>
      <c r="K63" t="s">
        <v>129</v>
      </c>
      <c r="L63" s="15">
        <f>AVERAGE(J53:J62)</f>
        <v>21536.771759953517</v>
      </c>
    </row>
    <row r="64" spans="1:13">
      <c r="C64" s="8"/>
      <c r="J64" s="15">
        <v>17876.482677519409</v>
      </c>
      <c r="K64" t="s">
        <v>130</v>
      </c>
      <c r="L64" s="15">
        <f>MEDIAN(J53:J62)</f>
        <v>20230.366331817873</v>
      </c>
    </row>
    <row r="65" spans="10:13">
      <c r="J65" s="15">
        <v>19576.509761179408</v>
      </c>
    </row>
    <row r="66" spans="10:13">
      <c r="J66" s="15">
        <v>21930.393415477873</v>
      </c>
      <c r="M66" t="s">
        <v>131</v>
      </c>
    </row>
    <row r="67" spans="10:13">
      <c r="J67" s="15">
        <v>19968.823703562484</v>
      </c>
      <c r="K67">
        <v>1</v>
      </c>
      <c r="L67" s="15">
        <f>$L$63</f>
        <v>21536.771759953517</v>
      </c>
      <c r="M67" s="14">
        <f>NPV(L53,L67:L96)</f>
        <v>247104.09840260015</v>
      </c>
    </row>
    <row r="68" spans="10:13">
      <c r="J68" s="15">
        <v>20361.137645945564</v>
      </c>
      <c r="K68">
        <v>2</v>
      </c>
      <c r="L68" s="15">
        <f t="shared" ref="L68:L96" si="10">$L$63</f>
        <v>21536.771759953517</v>
      </c>
    </row>
    <row r="69" spans="10:13">
      <c r="J69" s="15">
        <v>20099.595017690179</v>
      </c>
      <c r="K69">
        <v>3</v>
      </c>
      <c r="L69" s="15">
        <f t="shared" si="10"/>
        <v>21536.771759953517</v>
      </c>
    </row>
    <row r="70" spans="10:13">
      <c r="J70" s="15">
        <v>25186.599137257406</v>
      </c>
      <c r="K70">
        <v>4</v>
      </c>
      <c r="L70" s="15">
        <f t="shared" si="10"/>
        <v>21536.771759953517</v>
      </c>
    </row>
    <row r="71" spans="10:13">
      <c r="J71" s="15">
        <v>26638.160724074794</v>
      </c>
      <c r="K71">
        <v>5</v>
      </c>
      <c r="L71" s="15">
        <f t="shared" si="10"/>
        <v>21536.771759953517</v>
      </c>
    </row>
    <row r="72" spans="10:13">
      <c r="J72" s="15">
        <v>30038.214891394793</v>
      </c>
      <c r="K72">
        <v>6</v>
      </c>
      <c r="L72" s="15">
        <f t="shared" si="10"/>
        <v>21536.771759953517</v>
      </c>
    </row>
    <row r="73" spans="10:13">
      <c r="J73" s="21">
        <v>13691.800625433252</v>
      </c>
      <c r="K73">
        <v>7</v>
      </c>
      <c r="L73" s="15">
        <f t="shared" si="10"/>
        <v>21536.771759953517</v>
      </c>
    </row>
    <row r="74" spans="10:13">
      <c r="J74" s="21">
        <v>17876.482677519409</v>
      </c>
      <c r="K74">
        <v>8</v>
      </c>
      <c r="L74" s="15">
        <f t="shared" si="10"/>
        <v>21536.771759953517</v>
      </c>
    </row>
    <row r="75" spans="10:13">
      <c r="J75" s="21">
        <v>19576.509761179408</v>
      </c>
      <c r="K75">
        <v>9</v>
      </c>
      <c r="L75" s="15">
        <f t="shared" si="10"/>
        <v>21536.771759953517</v>
      </c>
    </row>
    <row r="76" spans="10:13">
      <c r="J76" s="21">
        <v>21930.393415477873</v>
      </c>
      <c r="K76">
        <v>10</v>
      </c>
      <c r="L76" s="15">
        <f t="shared" si="10"/>
        <v>21536.771759953517</v>
      </c>
    </row>
    <row r="77" spans="10:13">
      <c r="J77" s="21">
        <v>19968.823703562484</v>
      </c>
      <c r="K77">
        <v>11</v>
      </c>
      <c r="L77" s="15">
        <f t="shared" si="10"/>
        <v>21536.771759953517</v>
      </c>
    </row>
    <row r="78" spans="10:13">
      <c r="J78" s="21">
        <v>20361.137645945564</v>
      </c>
      <c r="K78">
        <v>12</v>
      </c>
      <c r="L78" s="15">
        <f t="shared" si="10"/>
        <v>21536.771759953517</v>
      </c>
    </row>
    <row r="79" spans="10:13">
      <c r="J79" s="21">
        <v>20099.595017690179</v>
      </c>
      <c r="K79">
        <v>13</v>
      </c>
      <c r="L79" s="15">
        <f t="shared" si="10"/>
        <v>21536.771759953517</v>
      </c>
    </row>
    <row r="80" spans="10:13">
      <c r="J80" s="21">
        <v>25186.599137257406</v>
      </c>
      <c r="K80">
        <v>14</v>
      </c>
      <c r="L80" s="15">
        <f t="shared" si="10"/>
        <v>21536.771759953517</v>
      </c>
    </row>
    <row r="81" spans="10:12">
      <c r="J81" s="21">
        <v>26638.160724074794</v>
      </c>
      <c r="K81">
        <v>15</v>
      </c>
      <c r="L81" s="15">
        <f t="shared" si="10"/>
        <v>21536.771759953517</v>
      </c>
    </row>
    <row r="82" spans="10:12">
      <c r="J82" s="21">
        <v>30038.214891394793</v>
      </c>
      <c r="K82">
        <v>16</v>
      </c>
      <c r="L82" s="15">
        <f t="shared" si="10"/>
        <v>21536.771759953517</v>
      </c>
    </row>
    <row r="83" spans="10:12">
      <c r="K83">
        <v>17</v>
      </c>
      <c r="L83" s="15">
        <f t="shared" si="10"/>
        <v>21536.771759953517</v>
      </c>
    </row>
    <row r="84" spans="10:12">
      <c r="K84">
        <v>18</v>
      </c>
      <c r="L84" s="15">
        <f t="shared" si="10"/>
        <v>21536.771759953517</v>
      </c>
    </row>
    <row r="85" spans="10:12">
      <c r="K85">
        <v>19</v>
      </c>
      <c r="L85" s="15">
        <f t="shared" si="10"/>
        <v>21536.771759953517</v>
      </c>
    </row>
    <row r="86" spans="10:12">
      <c r="K86">
        <v>20</v>
      </c>
      <c r="L86" s="15">
        <f t="shared" si="10"/>
        <v>21536.771759953517</v>
      </c>
    </row>
    <row r="87" spans="10:12">
      <c r="K87">
        <v>21</v>
      </c>
      <c r="L87" s="15">
        <f t="shared" si="10"/>
        <v>21536.771759953517</v>
      </c>
    </row>
    <row r="88" spans="10:12">
      <c r="K88">
        <v>22</v>
      </c>
      <c r="L88" s="15">
        <f t="shared" si="10"/>
        <v>21536.771759953517</v>
      </c>
    </row>
    <row r="89" spans="10:12">
      <c r="K89">
        <v>23</v>
      </c>
      <c r="L89" s="15">
        <f t="shared" si="10"/>
        <v>21536.771759953517</v>
      </c>
    </row>
    <row r="90" spans="10:12">
      <c r="K90">
        <v>24</v>
      </c>
      <c r="L90" s="15">
        <f t="shared" si="10"/>
        <v>21536.771759953517</v>
      </c>
    </row>
    <row r="91" spans="10:12">
      <c r="K91">
        <v>25</v>
      </c>
      <c r="L91" s="15">
        <f t="shared" si="10"/>
        <v>21536.771759953517</v>
      </c>
    </row>
    <row r="92" spans="10:12">
      <c r="K92">
        <v>26</v>
      </c>
      <c r="L92" s="15">
        <f t="shared" si="10"/>
        <v>21536.771759953517</v>
      </c>
    </row>
    <row r="93" spans="10:12">
      <c r="K93">
        <v>27</v>
      </c>
      <c r="L93" s="15">
        <f t="shared" si="10"/>
        <v>21536.771759953517</v>
      </c>
    </row>
    <row r="94" spans="10:12">
      <c r="K94">
        <v>28</v>
      </c>
      <c r="L94" s="15">
        <f t="shared" si="10"/>
        <v>21536.771759953517</v>
      </c>
    </row>
    <row r="95" spans="10:12">
      <c r="K95">
        <v>29</v>
      </c>
      <c r="L95" s="15">
        <f t="shared" si="10"/>
        <v>21536.771759953517</v>
      </c>
    </row>
    <row r="96" spans="10:12">
      <c r="K96">
        <v>30</v>
      </c>
      <c r="L96" s="15">
        <f t="shared" si="10"/>
        <v>21536.771759953517</v>
      </c>
    </row>
  </sheetData>
  <hyperlinks>
    <hyperlink ref="A4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A17" sqref="A17"/>
    </sheetView>
  </sheetViews>
  <sheetFormatPr defaultRowHeight="15"/>
  <cols>
    <col min="1" max="1" width="13.85546875" customWidth="1"/>
    <col min="2" max="2" width="11.5703125" bestFit="1" customWidth="1"/>
  </cols>
  <sheetData>
    <row r="1" spans="1:4">
      <c r="A1" t="s">
        <v>41</v>
      </c>
    </row>
    <row r="2" spans="1:4">
      <c r="A2" t="s">
        <v>38</v>
      </c>
      <c r="B2" s="8">
        <v>104940.22</v>
      </c>
    </row>
    <row r="3" spans="1:4">
      <c r="A3" t="s">
        <v>39</v>
      </c>
      <c r="B3" s="8">
        <v>21131.84</v>
      </c>
    </row>
    <row r="4" spans="1:4">
      <c r="A4" t="s">
        <v>44</v>
      </c>
      <c r="B4" s="8">
        <f>SUM(B2:B3)</f>
        <v>126072.06</v>
      </c>
    </row>
    <row r="5" spans="1:4">
      <c r="A5" t="s">
        <v>40</v>
      </c>
      <c r="B5" s="8"/>
    </row>
    <row r="6" spans="1:4">
      <c r="B6" s="8">
        <v>52100.79</v>
      </c>
      <c r="C6" s="16">
        <f>B6/B4</f>
        <v>0.41326198683514809</v>
      </c>
    </row>
    <row r="7" spans="1:4">
      <c r="C7" s="16"/>
    </row>
    <row r="8" spans="1:4">
      <c r="A8" t="s">
        <v>37</v>
      </c>
    </row>
    <row r="9" spans="1:4">
      <c r="A9" t="s">
        <v>42</v>
      </c>
      <c r="B9" s="8">
        <v>12265.56</v>
      </c>
      <c r="C9" s="16">
        <f>B9/B2</f>
        <v>0.11688140162084661</v>
      </c>
    </row>
    <row r="10" spans="1:4">
      <c r="A10" t="s">
        <v>43</v>
      </c>
      <c r="B10" s="8">
        <v>3604.36</v>
      </c>
      <c r="C10" s="16">
        <f>B10/B3</f>
        <v>0.17056536487120857</v>
      </c>
    </row>
    <row r="11" spans="1:4">
      <c r="A11" t="s">
        <v>44</v>
      </c>
      <c r="B11" s="8">
        <f>SUM(B9:B10)</f>
        <v>15869.92</v>
      </c>
      <c r="C11" s="16">
        <f>B11/B4</f>
        <v>0.12587975480054819</v>
      </c>
      <c r="D11" s="16"/>
    </row>
    <row r="14" spans="1:4">
      <c r="A14" t="s">
        <v>45</v>
      </c>
    </row>
    <row r="15" spans="1:4">
      <c r="A15" s="17" t="s">
        <v>46</v>
      </c>
    </row>
  </sheetData>
  <hyperlinks>
    <hyperlink ref="A1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G10" sqref="G10"/>
    </sheetView>
  </sheetViews>
  <sheetFormatPr defaultRowHeight="15"/>
  <cols>
    <col min="1" max="1" width="17.5703125" customWidth="1"/>
    <col min="2" max="2" width="9.85546875" customWidth="1"/>
    <col min="3" max="3" width="12.42578125" customWidth="1"/>
    <col min="7" max="7" width="13.42578125" customWidth="1"/>
  </cols>
  <sheetData>
    <row r="1" spans="1:9">
      <c r="A1" t="s">
        <v>47</v>
      </c>
    </row>
    <row r="3" spans="1:9">
      <c r="A3" t="s">
        <v>48</v>
      </c>
      <c r="G3" t="s">
        <v>67</v>
      </c>
    </row>
    <row r="4" spans="1:9">
      <c r="A4">
        <v>2000</v>
      </c>
      <c r="B4">
        <v>29.6</v>
      </c>
      <c r="G4" t="s">
        <v>68</v>
      </c>
      <c r="H4" t="s">
        <v>55</v>
      </c>
    </row>
    <row r="5" spans="1:9">
      <c r="A5">
        <v>2001</v>
      </c>
      <c r="B5">
        <v>32.07</v>
      </c>
      <c r="G5">
        <v>2009</v>
      </c>
      <c r="H5">
        <v>70.7</v>
      </c>
    </row>
    <row r="6" spans="1:9">
      <c r="A6">
        <v>2002</v>
      </c>
      <c r="B6">
        <v>29.98</v>
      </c>
      <c r="G6">
        <v>2010</v>
      </c>
      <c r="H6">
        <v>91.74</v>
      </c>
    </row>
    <row r="7" spans="1:9">
      <c r="A7">
        <v>2003</v>
      </c>
      <c r="B7">
        <v>28.63</v>
      </c>
      <c r="G7">
        <v>2011</v>
      </c>
      <c r="H7">
        <v>119.15</v>
      </c>
      <c r="I7" t="s">
        <v>65</v>
      </c>
    </row>
    <row r="8" spans="1:9">
      <c r="A8">
        <v>2004</v>
      </c>
      <c r="B8">
        <v>43</v>
      </c>
    </row>
    <row r="9" spans="1:9">
      <c r="A9">
        <v>2005</v>
      </c>
      <c r="B9">
        <v>36.479999999999997</v>
      </c>
      <c r="G9" t="s">
        <v>51</v>
      </c>
    </row>
    <row r="10" spans="1:9">
      <c r="A10">
        <v>2006</v>
      </c>
      <c r="B10">
        <v>42.35</v>
      </c>
      <c r="G10" s="17" t="s">
        <v>66</v>
      </c>
    </row>
    <row r="11" spans="1:9">
      <c r="A11">
        <v>2007</v>
      </c>
      <c r="B11">
        <v>40.99</v>
      </c>
    </row>
    <row r="12" spans="1:9">
      <c r="A12">
        <v>2008</v>
      </c>
      <c r="B12">
        <v>54.76</v>
      </c>
    </row>
    <row r="13" spans="1:9">
      <c r="A13">
        <v>2009</v>
      </c>
      <c r="B13">
        <v>58.91</v>
      </c>
    </row>
    <row r="15" spans="1:9">
      <c r="A15" t="s">
        <v>49</v>
      </c>
      <c r="B15">
        <f>AVERAGE(B4:B13)</f>
        <v>39.677</v>
      </c>
    </row>
    <row r="16" spans="1:9">
      <c r="A16" t="s">
        <v>50</v>
      </c>
      <c r="B16">
        <f>MEDIAN(B4:B13)</f>
        <v>38.734999999999999</v>
      </c>
    </row>
    <row r="19" spans="1:3">
      <c r="A19" t="s">
        <v>45</v>
      </c>
    </row>
    <row r="20" spans="1:3">
      <c r="A20" s="17" t="s">
        <v>46</v>
      </c>
    </row>
    <row r="23" spans="1:3">
      <c r="A23" t="s">
        <v>52</v>
      </c>
    </row>
    <row r="25" spans="1:3">
      <c r="A25" t="s">
        <v>53</v>
      </c>
      <c r="B25" t="s">
        <v>54</v>
      </c>
      <c r="C25" t="s">
        <v>55</v>
      </c>
    </row>
    <row r="26" spans="1:3">
      <c r="A26" t="s">
        <v>62</v>
      </c>
      <c r="B26">
        <v>7000</v>
      </c>
      <c r="C26">
        <v>100.26</v>
      </c>
    </row>
    <row r="27" spans="1:3">
      <c r="A27" t="s">
        <v>62</v>
      </c>
      <c r="B27" t="s">
        <v>56</v>
      </c>
      <c r="C27" t="s">
        <v>57</v>
      </c>
    </row>
    <row r="28" spans="1:3">
      <c r="A28" t="s">
        <v>62</v>
      </c>
      <c r="B28" t="s">
        <v>58</v>
      </c>
      <c r="C28" t="s">
        <v>59</v>
      </c>
    </row>
    <row r="29" spans="1:3">
      <c r="A29" t="s">
        <v>63</v>
      </c>
      <c r="B29" t="s">
        <v>60</v>
      </c>
      <c r="C29" t="s">
        <v>61</v>
      </c>
    </row>
    <row r="31" spans="1:3">
      <c r="A31" t="s">
        <v>51</v>
      </c>
    </row>
    <row r="32" spans="1:3">
      <c r="A32" s="17" t="s">
        <v>64</v>
      </c>
    </row>
  </sheetData>
  <hyperlinks>
    <hyperlink ref="A20" r:id="rId1"/>
    <hyperlink ref="A32" r:id="rId2" display="http://mail.djmbp.esdm.go.id/files/HBA Juli.pdf"/>
    <hyperlink ref="G10" r:id="rId3" display="http://mail.djmbp.esdm.go.id/files/HBA Oktober 2011.pdf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5:D41"/>
  <sheetViews>
    <sheetView workbookViewId="0">
      <selection activeCell="D40" sqref="D40:D41"/>
    </sheetView>
  </sheetViews>
  <sheetFormatPr defaultRowHeight="15"/>
  <cols>
    <col min="2" max="2" width="37.42578125" customWidth="1"/>
    <col min="3" max="3" width="17.7109375" customWidth="1"/>
    <col min="4" max="4" width="14.140625" customWidth="1"/>
  </cols>
  <sheetData>
    <row r="5" spans="2:3">
      <c r="C5" t="s">
        <v>5</v>
      </c>
    </row>
    <row r="6" spans="2:3">
      <c r="B6" s="1" t="s">
        <v>4</v>
      </c>
      <c r="C6" s="3">
        <v>5068.8</v>
      </c>
    </row>
    <row r="7" spans="2:3">
      <c r="B7" s="1" t="s">
        <v>3</v>
      </c>
      <c r="C7" s="3">
        <v>258028.6</v>
      </c>
    </row>
    <row r="8" spans="2:3">
      <c r="B8" s="1" t="s">
        <v>2</v>
      </c>
      <c r="C8" s="3">
        <v>80341</v>
      </c>
    </row>
    <row r="9" spans="2:3">
      <c r="B9" s="1" t="s">
        <v>1</v>
      </c>
      <c r="C9" s="3">
        <v>47441</v>
      </c>
    </row>
    <row r="10" spans="2:3">
      <c r="B10" s="2" t="s">
        <v>0</v>
      </c>
      <c r="C10" s="3">
        <v>170973</v>
      </c>
    </row>
    <row r="12" spans="2:3">
      <c r="B12" s="1" t="s">
        <v>18</v>
      </c>
    </row>
    <row r="13" spans="2:3">
      <c r="B13" s="1" t="s">
        <v>16</v>
      </c>
    </row>
    <row r="14" spans="2:3">
      <c r="B14" s="1" t="s">
        <v>17</v>
      </c>
    </row>
    <row r="16" spans="2:3" ht="15.75" thickBot="1"/>
    <row r="17" spans="2:4" ht="15.75" thickBot="1">
      <c r="B17" s="4" t="s">
        <v>6</v>
      </c>
      <c r="C17" s="5" t="s">
        <v>7</v>
      </c>
      <c r="D17" s="12" t="s">
        <v>32</v>
      </c>
    </row>
    <row r="18" spans="2:4" ht="15.75" thickBot="1">
      <c r="B18" s="6" t="s">
        <v>8</v>
      </c>
      <c r="C18" s="7" t="s">
        <v>9</v>
      </c>
    </row>
    <row r="19" spans="2:4" ht="15.75" thickBot="1">
      <c r="B19" s="6" t="s">
        <v>10</v>
      </c>
      <c r="C19" s="7" t="s">
        <v>11</v>
      </c>
    </row>
    <row r="20" spans="2:4" ht="15.75" thickBot="1">
      <c r="B20" s="6" t="s">
        <v>12</v>
      </c>
      <c r="C20" s="7" t="s">
        <v>13</v>
      </c>
    </row>
    <row r="21" spans="2:4" ht="15.75" thickBot="1">
      <c r="B21" s="6" t="s">
        <v>14</v>
      </c>
      <c r="C21" s="7" t="s">
        <v>15</v>
      </c>
    </row>
    <row r="23" spans="2:4">
      <c r="B23" s="10" t="s">
        <v>24</v>
      </c>
      <c r="C23" s="11" t="s">
        <v>25</v>
      </c>
      <c r="D23" s="23" t="s">
        <v>31</v>
      </c>
    </row>
    <row r="24" spans="2:4">
      <c r="B24" s="10" t="s">
        <v>26</v>
      </c>
      <c r="C24" s="11" t="s">
        <v>27</v>
      </c>
      <c r="D24" s="23"/>
    </row>
    <row r="25" spans="2:4">
      <c r="B25" s="10" t="s">
        <v>28</v>
      </c>
      <c r="C25" s="11" t="s">
        <v>29</v>
      </c>
      <c r="D25" s="23"/>
    </row>
    <row r="31" spans="2:4">
      <c r="B31" s="2" t="s">
        <v>19</v>
      </c>
    </row>
    <row r="33" spans="2:4">
      <c r="B33" t="s">
        <v>21</v>
      </c>
      <c r="C33" s="8">
        <v>103000000</v>
      </c>
      <c r="D33" t="s">
        <v>20</v>
      </c>
    </row>
    <row r="36" spans="2:4">
      <c r="B36" t="s">
        <v>22</v>
      </c>
      <c r="C36" s="8" t="s">
        <v>30</v>
      </c>
    </row>
    <row r="37" spans="2:4" ht="30">
      <c r="B37" s="9" t="s">
        <v>23</v>
      </c>
    </row>
    <row r="40" spans="2:4">
      <c r="B40" t="s">
        <v>33</v>
      </c>
      <c r="C40" s="8">
        <v>60000</v>
      </c>
      <c r="D40" t="s">
        <v>34</v>
      </c>
    </row>
    <row r="41" spans="2:4">
      <c r="B41" t="s">
        <v>35</v>
      </c>
      <c r="C41" t="s">
        <v>36</v>
      </c>
      <c r="D41" t="s">
        <v>34</v>
      </c>
    </row>
  </sheetData>
  <mergeCells count="1">
    <mergeCell ref="D23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 Arutmin</vt:lpstr>
      <vt:lpstr>Arutmin</vt:lpstr>
      <vt:lpstr>Reserve-Resource</vt:lpstr>
      <vt:lpstr>Prices</vt:lpstr>
      <vt:lpstr>Intervw</vt:lpstr>
    </vt:vector>
  </TitlesOfParts>
  <Company>ICRAF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ybuana</dc:creator>
  <cp:lastModifiedBy>arahmanulloh</cp:lastModifiedBy>
  <dcterms:created xsi:type="dcterms:W3CDTF">2011-10-24T07:40:13Z</dcterms:created>
  <dcterms:modified xsi:type="dcterms:W3CDTF">2011-10-26T06:46:42Z</dcterms:modified>
</cp:coreProperties>
</file>