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A2E0BAC2-C210-46C5-98A6-EF13E670AFD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EVALUACION PRY CLIENTE 1" sheetId="2" r:id="rId1"/>
    <sheet name="COSTOS PRY" sheetId="3" r:id="rId2"/>
  </sheets>
  <definedNames>
    <definedName name="Inflacion1">#REF!</definedName>
    <definedName name="Inflacion2">#REF!</definedName>
    <definedName name="Inflacion3">#REF!</definedName>
    <definedName name="Inflacion4">#REF!</definedName>
    <definedName name="Inflacion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bi4hPQJqJE+yoFKvxItayI3COLTpjNDl2ADKlG5a9c="/>
    </ext>
  </extLst>
</workbook>
</file>

<file path=xl/calcChain.xml><?xml version="1.0" encoding="utf-8"?>
<calcChain xmlns="http://schemas.openxmlformats.org/spreadsheetml/2006/main">
  <c r="B27" i="2" l="1"/>
  <c r="B26" i="2"/>
  <c r="B36" i="3"/>
  <c r="B23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B5" i="3"/>
  <c r="P4" i="3"/>
  <c r="P19" i="3" s="1"/>
  <c r="B26" i="3" s="1"/>
  <c r="O4" i="3"/>
  <c r="B4" i="3"/>
  <c r="B44" i="2"/>
  <c r="R13" i="2"/>
  <c r="R15" i="2" s="1"/>
  <c r="K13" i="2"/>
  <c r="J13" i="2"/>
  <c r="I13" i="2"/>
  <c r="F9" i="2"/>
  <c r="E9" i="2"/>
  <c r="D9" i="2"/>
  <c r="C9" i="2"/>
  <c r="Q8" i="2"/>
  <c r="Q9" i="2" s="1"/>
  <c r="P8" i="2"/>
  <c r="P9" i="2" s="1"/>
  <c r="O8" i="2"/>
  <c r="O9" i="2" s="1"/>
  <c r="N8" i="2"/>
  <c r="N9" i="2" s="1"/>
  <c r="G8" i="2"/>
  <c r="G9" i="2" s="1"/>
  <c r="B3" i="2"/>
  <c r="H13" i="2" s="1"/>
  <c r="B2" i="2"/>
  <c r="D14" i="2" s="1"/>
  <c r="B1" i="2"/>
  <c r="M8" i="2" s="1"/>
  <c r="M9" i="2" s="1"/>
  <c r="E3" i="3" l="1"/>
  <c r="E5" i="3" s="1"/>
  <c r="B41" i="2"/>
  <c r="F14" i="2"/>
  <c r="L13" i="2"/>
  <c r="R8" i="2"/>
  <c r="R9" i="2" s="1"/>
  <c r="R17" i="2" s="1"/>
  <c r="R19" i="2" s="1"/>
  <c r="R33" i="2" s="1"/>
  <c r="M13" i="2"/>
  <c r="S8" i="2"/>
  <c r="S9" i="2" s="1"/>
  <c r="N13" i="2"/>
  <c r="T8" i="2"/>
  <c r="T9" i="2" s="1"/>
  <c r="O13" i="2"/>
  <c r="O15" i="2" s="1"/>
  <c r="O17" i="2" s="1"/>
  <c r="O19" i="2" s="1"/>
  <c r="O33" i="2" s="1"/>
  <c r="U8" i="2"/>
  <c r="U9" i="2" s="1"/>
  <c r="U17" i="2" s="1"/>
  <c r="U19" i="2" s="1"/>
  <c r="U33" i="2" s="1"/>
  <c r="P13" i="2"/>
  <c r="P15" i="2" s="1"/>
  <c r="P17" i="2" s="1"/>
  <c r="P19" i="2" s="1"/>
  <c r="P33" i="2" s="1"/>
  <c r="V8" i="2"/>
  <c r="V9" i="2" s="1"/>
  <c r="Q13" i="2"/>
  <c r="Q15" i="2" s="1"/>
  <c r="Q17" i="2" s="1"/>
  <c r="Q19" i="2" s="1"/>
  <c r="Q33" i="2" s="1"/>
  <c r="E14" i="2"/>
  <c r="H8" i="2"/>
  <c r="H9" i="2" s="1"/>
  <c r="C13" i="2"/>
  <c r="S13" i="2"/>
  <c r="S15" i="2" s="1"/>
  <c r="I8" i="2"/>
  <c r="I9" i="2" s="1"/>
  <c r="D13" i="2"/>
  <c r="T13" i="2"/>
  <c r="T15" i="2" s="1"/>
  <c r="J8" i="2"/>
  <c r="J9" i="2" s="1"/>
  <c r="E13" i="2"/>
  <c r="U13" i="2"/>
  <c r="U15" i="2" s="1"/>
  <c r="K8" i="2"/>
  <c r="K9" i="2" s="1"/>
  <c r="F13" i="2"/>
  <c r="V13" i="2"/>
  <c r="V15" i="2" s="1"/>
  <c r="L8" i="2"/>
  <c r="L9" i="2" s="1"/>
  <c r="G13" i="2"/>
  <c r="B14" i="2"/>
  <c r="C14" i="2"/>
  <c r="B12" i="2" l="1"/>
  <c r="S17" i="2"/>
  <c r="S19" i="2" s="1"/>
  <c r="S33" i="2" s="1"/>
  <c r="B42" i="2"/>
  <c r="B43" i="2" s="1"/>
  <c r="B45" i="2" s="1"/>
  <c r="T17" i="2"/>
  <c r="T19" i="2" s="1"/>
  <c r="T33" i="2" s="1"/>
  <c r="V17" i="2"/>
  <c r="V19" i="2" s="1"/>
  <c r="V33" i="2" s="1"/>
  <c r="B46" i="2" l="1"/>
  <c r="B47" i="2" s="1"/>
  <c r="E12" i="2"/>
  <c r="E15" i="2" s="1"/>
  <c r="E17" i="2" s="1"/>
  <c r="E19" i="2" s="1"/>
  <c r="E33" i="2" s="1"/>
  <c r="D12" i="2"/>
  <c r="D15" i="2" s="1"/>
  <c r="D17" i="2" s="1"/>
  <c r="D19" i="2" s="1"/>
  <c r="D33" i="2" s="1"/>
  <c r="N12" i="2"/>
  <c r="N15" i="2" s="1"/>
  <c r="N17" i="2" s="1"/>
  <c r="N19" i="2" s="1"/>
  <c r="N33" i="2" s="1"/>
  <c r="C12" i="2"/>
  <c r="C15" i="2" s="1"/>
  <c r="C17" i="2" s="1"/>
  <c r="C19" i="2" s="1"/>
  <c r="F12" i="2"/>
  <c r="F15" i="2" s="1"/>
  <c r="F17" i="2" s="1"/>
  <c r="F19" i="2" s="1"/>
  <c r="F33" i="2" s="1"/>
  <c r="E24" i="2"/>
  <c r="M12" i="2"/>
  <c r="M15" i="2" s="1"/>
  <c r="M17" i="2" s="1"/>
  <c r="M19" i="2" s="1"/>
  <c r="M33" i="2" s="1"/>
  <c r="L12" i="2"/>
  <c r="L15" i="2" s="1"/>
  <c r="L17" i="2" s="1"/>
  <c r="L19" i="2" s="1"/>
  <c r="L33" i="2" s="1"/>
  <c r="K12" i="2"/>
  <c r="K15" i="2" s="1"/>
  <c r="K17" i="2" s="1"/>
  <c r="K19" i="2" s="1"/>
  <c r="K33" i="2" s="1"/>
  <c r="J12" i="2"/>
  <c r="J15" i="2" s="1"/>
  <c r="J17" i="2" s="1"/>
  <c r="J19" i="2" s="1"/>
  <c r="J33" i="2" s="1"/>
  <c r="I12" i="2"/>
  <c r="I15" i="2" s="1"/>
  <c r="I17" i="2" s="1"/>
  <c r="I19" i="2" s="1"/>
  <c r="I33" i="2" s="1"/>
  <c r="B15" i="2"/>
  <c r="H12" i="2"/>
  <c r="H15" i="2" s="1"/>
  <c r="H17" i="2" s="1"/>
  <c r="H19" i="2" s="1"/>
  <c r="H33" i="2" s="1"/>
  <c r="G12" i="2"/>
  <c r="G15" i="2" s="1"/>
  <c r="G17" i="2" s="1"/>
  <c r="G19" i="2" s="1"/>
  <c r="G33" i="2" s="1"/>
  <c r="B17" i="2" l="1"/>
  <c r="B19" i="2" s="1"/>
  <c r="B28" i="2" s="1"/>
  <c r="E25" i="2"/>
  <c r="E26" i="2" s="1"/>
  <c r="C33" i="2"/>
  <c r="C34" i="2" s="1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B25" i="2" a="1"/>
  <c r="B25" i="2" s="1"/>
</calcChain>
</file>

<file path=xl/sharedStrings.xml><?xml version="1.0" encoding="utf-8"?>
<sst xmlns="http://schemas.openxmlformats.org/spreadsheetml/2006/main" count="133" uniqueCount="83">
  <si>
    <t>MENSUALIDAD CLIENTE (MILLONES)</t>
  </si>
  <si>
    <t>Ganancia con el automatizado</t>
  </si>
  <si>
    <t>SALARIO NETO INGENIERO MENSUAL</t>
  </si>
  <si>
    <t>COSTOS FIJOS MENSUAL</t>
  </si>
  <si>
    <t>MES</t>
  </si>
  <si>
    <t>INGRESOS</t>
  </si>
  <si>
    <t>SERVICIO AUTOMATIZACION</t>
  </si>
  <si>
    <t>TOTAL INGRESOS</t>
  </si>
  <si>
    <t>EGRESOS</t>
  </si>
  <si>
    <t xml:space="preserve"> </t>
  </si>
  <si>
    <t>INVERSION</t>
  </si>
  <si>
    <t>OTROS COSTOS (ARRIENDOS, SERVICIOS ETC)</t>
  </si>
  <si>
    <t>COSTOS FIJOS (NOMINA)</t>
  </si>
  <si>
    <t>TOTAL EGRESOS</t>
  </si>
  <si>
    <t>FLUJO NETO ECONOMICO</t>
  </si>
  <si>
    <t>PAGO DEUDA</t>
  </si>
  <si>
    <t>FLUJO NETO FINANCIERO</t>
  </si>
  <si>
    <t>GANANCIA 
        O
COSTO OPORTUNIDAD</t>
  </si>
  <si>
    <t>FLUJO NETO FINANCIADO</t>
  </si>
  <si>
    <t>VA</t>
  </si>
  <si>
    <t>VAN</t>
  </si>
  <si>
    <t>TIR</t>
  </si>
  <si>
    <t>VALOR ACTUAL</t>
  </si>
  <si>
    <t>VALOR ACTUA ACUMULADO</t>
  </si>
  <si>
    <t>PAYBACK</t>
  </si>
  <si>
    <t>ESTADO DE PERDIDAS Y GANANCIAS</t>
  </si>
  <si>
    <t>VENTAS</t>
  </si>
  <si>
    <t>COSTOS</t>
  </si>
  <si>
    <t>UTILIDAD BRUTA</t>
  </si>
  <si>
    <t>GASTOS FINANCIEROS</t>
  </si>
  <si>
    <t>UTILIDAD ANTES DE IMMPUESTOS</t>
  </si>
  <si>
    <t>IMPUESTOS</t>
  </si>
  <si>
    <t>UTILIDAD NETA DEL EJERCICIO</t>
  </si>
  <si>
    <t>TOTAL</t>
  </si>
  <si>
    <t>HARDWARE</t>
  </si>
  <si>
    <t>GASTO FIJO MENSUAL</t>
  </si>
  <si>
    <t>COSTO</t>
  </si>
  <si>
    <t>Sensores</t>
  </si>
  <si>
    <t>Necesidad</t>
  </si>
  <si>
    <t>Costo</t>
  </si>
  <si>
    <t>Total</t>
  </si>
  <si>
    <t>PLCs</t>
  </si>
  <si>
    <t>TOTAL SIN NOMINA</t>
  </si>
  <si>
    <t>Internet</t>
  </si>
  <si>
    <t>E2E-X5ME1</t>
  </si>
  <si>
    <t>Robots</t>
  </si>
  <si>
    <t>Energía eléctrica (Of. Administrativas)</t>
  </si>
  <si>
    <t>XT7C40AP349</t>
  </si>
  <si>
    <t>Agua</t>
  </si>
  <si>
    <t>IND570</t>
  </si>
  <si>
    <t>Maquinaria</t>
  </si>
  <si>
    <t>Seguro empleados</t>
  </si>
  <si>
    <t>FD-MH Series</t>
  </si>
  <si>
    <t>Seguro bodega</t>
  </si>
  <si>
    <t>HED8</t>
  </si>
  <si>
    <t>RTD-805</t>
  </si>
  <si>
    <t>SOFTWARE</t>
  </si>
  <si>
    <t>In-Sight 7000</t>
  </si>
  <si>
    <t>Studio 5000(?)</t>
  </si>
  <si>
    <t>440F-M2030BYNN</t>
  </si>
  <si>
    <t>Siemenx NX</t>
  </si>
  <si>
    <t>S30A-6111DP</t>
  </si>
  <si>
    <t>Ignition</t>
  </si>
  <si>
    <t>800FP-MT44PX01S</t>
  </si>
  <si>
    <t>Robot Studio</t>
  </si>
  <si>
    <t>Tecnomatix</t>
  </si>
  <si>
    <t>440K-T11090</t>
  </si>
  <si>
    <t>NOMINA</t>
  </si>
  <si>
    <t>XUSL2E2BB051N</t>
  </si>
  <si>
    <t>Ingeniero 1</t>
  </si>
  <si>
    <t>XVC6B35SK</t>
  </si>
  <si>
    <t>Ingeniero 2</t>
  </si>
  <si>
    <t>3SB3501-0AA21</t>
  </si>
  <si>
    <t>Ingeniero 3</t>
  </si>
  <si>
    <t>Ingeniero 4</t>
  </si>
  <si>
    <t>Ingeniero 5</t>
  </si>
  <si>
    <t>Ingeniero 6</t>
  </si>
  <si>
    <t>INMOBILIARIO</t>
  </si>
  <si>
    <t>Computadores</t>
  </si>
  <si>
    <t>Elementos de seguridad</t>
  </si>
  <si>
    <t>SERVICIOS</t>
  </si>
  <si>
    <t>Comparación</t>
  </si>
  <si>
    <t>Imagen de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</si>
</sst>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[$ $]#,##0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Arial"/>
      <scheme val="minor"/>
    </font>
    <font>
      <sz val="11"/>
      <color rgb="FF000000"/>
      <name val="&quot;Arial Narrow&quot;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379"/>
        <bgColor rgb="FFFF9379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6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9" fontId="2" fillId="0" borderId="4" xfId="0" applyNumberFormat="1" applyFont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165" fontId="2" fillId="7" borderId="1" xfId="0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vertical="center"/>
    </xf>
    <xf numFmtId="165" fontId="2" fillId="3" borderId="4" xfId="0" applyNumberFormat="1" applyFont="1" applyFill="1" applyBorder="1" applyAlignment="1">
      <alignment vertical="center"/>
    </xf>
    <xf numFmtId="0" fontId="4" fillId="0" borderId="0" xfId="0" applyFont="1"/>
    <xf numFmtId="166" fontId="5" fillId="0" borderId="5" xfId="0" applyNumberFormat="1" applyFont="1" applyBorder="1" applyAlignment="1">
      <alignment horizontal="center" vertical="center"/>
    </xf>
    <xf numFmtId="166" fontId="6" fillId="0" borderId="0" xfId="0" applyNumberFormat="1" applyFont="1"/>
    <xf numFmtId="0" fontId="6" fillId="0" borderId="0" xfId="0" applyFont="1"/>
    <xf numFmtId="166" fontId="5" fillId="0" borderId="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166" fontId="7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166" fontId="7" fillId="0" borderId="6" xfId="0" applyNumberFormat="1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166" fontId="8" fillId="0" borderId="6" xfId="0" applyNumberFormat="1" applyFont="1" applyBorder="1" applyAlignment="1">
      <alignment horizontal="right"/>
    </xf>
    <xf numFmtId="166" fontId="5" fillId="0" borderId="7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1" workbookViewId="0">
      <selection activeCell="B33" sqref="B33"/>
    </sheetView>
  </sheetViews>
  <sheetFormatPr baseColWidth="10" defaultColWidth="12.5703125" defaultRowHeight="15" customHeight="1"/>
  <cols>
    <col min="1" max="1" width="18.42578125" customWidth="1"/>
    <col min="2" max="2" width="24.28515625" customWidth="1"/>
    <col min="3" max="12" width="19.42578125" customWidth="1"/>
    <col min="13" max="15" width="20.85546875" customWidth="1"/>
    <col min="16" max="16" width="19.42578125" customWidth="1"/>
    <col min="17" max="22" width="20.85546875" customWidth="1"/>
    <col min="23" max="26" width="11.42578125" customWidth="1"/>
  </cols>
  <sheetData>
    <row r="1" spans="1:26" ht="12.75" customHeight="1">
      <c r="A1" s="1" t="s">
        <v>0</v>
      </c>
      <c r="B1" s="2">
        <f>212060058</f>
        <v>212060058</v>
      </c>
      <c r="C1" s="3"/>
      <c r="D1" s="53" t="s">
        <v>1</v>
      </c>
      <c r="E1" s="5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2</v>
      </c>
      <c r="B2" s="4">
        <f>'COSTOS PRY'!D17</f>
        <v>5000000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3</v>
      </c>
      <c r="B3" s="4">
        <f>'COSTOS PRY'!J4</f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7"/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</row>
    <row r="6" spans="1:26" ht="12.75" customHeight="1">
      <c r="A6" s="7"/>
      <c r="B6" s="8">
        <v>0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</row>
    <row r="7" spans="1:26" ht="12.75" customHeight="1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3"/>
      <c r="X7" s="3"/>
      <c r="Y7" s="3"/>
      <c r="Z7" s="3"/>
    </row>
    <row r="8" spans="1:26" ht="12.75" customHeight="1">
      <c r="A8" s="11" t="s">
        <v>6</v>
      </c>
      <c r="B8" s="10"/>
      <c r="C8" s="10"/>
      <c r="D8" s="10"/>
      <c r="E8" s="10"/>
      <c r="F8" s="10"/>
      <c r="G8" s="10">
        <f t="shared" ref="G8:V8" si="0">$B$1</f>
        <v>212060058</v>
      </c>
      <c r="H8" s="10">
        <f t="shared" si="0"/>
        <v>212060058</v>
      </c>
      <c r="I8" s="10">
        <f t="shared" si="0"/>
        <v>212060058</v>
      </c>
      <c r="J8" s="10">
        <f t="shared" si="0"/>
        <v>212060058</v>
      </c>
      <c r="K8" s="10">
        <f t="shared" si="0"/>
        <v>212060058</v>
      </c>
      <c r="L8" s="10">
        <f t="shared" si="0"/>
        <v>212060058</v>
      </c>
      <c r="M8" s="10">
        <f t="shared" si="0"/>
        <v>212060058</v>
      </c>
      <c r="N8" s="10">
        <f t="shared" si="0"/>
        <v>212060058</v>
      </c>
      <c r="O8" s="10">
        <f t="shared" si="0"/>
        <v>212060058</v>
      </c>
      <c r="P8" s="10">
        <f t="shared" si="0"/>
        <v>212060058</v>
      </c>
      <c r="Q8" s="10">
        <f t="shared" si="0"/>
        <v>212060058</v>
      </c>
      <c r="R8" s="10">
        <f t="shared" si="0"/>
        <v>212060058</v>
      </c>
      <c r="S8" s="10">
        <f t="shared" si="0"/>
        <v>212060058</v>
      </c>
      <c r="T8" s="10">
        <f t="shared" si="0"/>
        <v>212060058</v>
      </c>
      <c r="U8" s="10">
        <f t="shared" si="0"/>
        <v>212060058</v>
      </c>
      <c r="V8" s="10">
        <f t="shared" si="0"/>
        <v>212060058</v>
      </c>
      <c r="W8" s="3"/>
      <c r="X8" s="3"/>
      <c r="Y8" s="3"/>
      <c r="Z8" s="3"/>
    </row>
    <row r="9" spans="1:26" ht="12.75" customHeight="1">
      <c r="A9" s="11" t="s">
        <v>7</v>
      </c>
      <c r="B9" s="10"/>
      <c r="C9" s="10">
        <f t="shared" ref="C9:V9" si="1">SUM(C8)</f>
        <v>0</v>
      </c>
      <c r="D9" s="10">
        <f t="shared" si="1"/>
        <v>0</v>
      </c>
      <c r="E9" s="10">
        <f t="shared" si="1"/>
        <v>0</v>
      </c>
      <c r="F9" s="10">
        <f t="shared" si="1"/>
        <v>0</v>
      </c>
      <c r="G9" s="10">
        <f t="shared" si="1"/>
        <v>212060058</v>
      </c>
      <c r="H9" s="10">
        <f t="shared" si="1"/>
        <v>212060058</v>
      </c>
      <c r="I9" s="10">
        <f t="shared" si="1"/>
        <v>212060058</v>
      </c>
      <c r="J9" s="10">
        <f t="shared" si="1"/>
        <v>212060058</v>
      </c>
      <c r="K9" s="10">
        <f t="shared" si="1"/>
        <v>212060058</v>
      </c>
      <c r="L9" s="10">
        <f t="shared" si="1"/>
        <v>212060058</v>
      </c>
      <c r="M9" s="10">
        <f t="shared" si="1"/>
        <v>212060058</v>
      </c>
      <c r="N9" s="10">
        <f t="shared" si="1"/>
        <v>212060058</v>
      </c>
      <c r="O9" s="10">
        <f t="shared" si="1"/>
        <v>212060058</v>
      </c>
      <c r="P9" s="10">
        <f t="shared" si="1"/>
        <v>212060058</v>
      </c>
      <c r="Q9" s="10">
        <f t="shared" si="1"/>
        <v>212060058</v>
      </c>
      <c r="R9" s="10">
        <f t="shared" si="1"/>
        <v>212060058</v>
      </c>
      <c r="S9" s="10">
        <f t="shared" si="1"/>
        <v>212060058</v>
      </c>
      <c r="T9" s="10">
        <f t="shared" si="1"/>
        <v>212060058</v>
      </c>
      <c r="U9" s="10">
        <f t="shared" si="1"/>
        <v>212060058</v>
      </c>
      <c r="V9" s="10">
        <f t="shared" si="1"/>
        <v>212060058</v>
      </c>
      <c r="W9" s="3"/>
      <c r="X9" s="3"/>
      <c r="Y9" s="3"/>
      <c r="Z9" s="3"/>
    </row>
    <row r="10" spans="1:26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3"/>
      <c r="X10" s="3"/>
      <c r="Y10" s="3"/>
      <c r="Z10" s="3"/>
    </row>
    <row r="11" spans="1:26" ht="12.75" customHeight="1">
      <c r="A11" s="12" t="s">
        <v>8</v>
      </c>
      <c r="B11" s="13" t="s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3"/>
      <c r="X11" s="3"/>
      <c r="Y11" s="3"/>
      <c r="Z11" s="3"/>
    </row>
    <row r="12" spans="1:26" ht="12.75" customHeight="1">
      <c r="A12" s="14" t="s">
        <v>10</v>
      </c>
      <c r="B12" s="13">
        <f>'COSTOS PRY'!E5</f>
        <v>822674887</v>
      </c>
      <c r="C12" s="13">
        <f t="shared" ref="C12:N12" si="2">$B$12*0.3/12</f>
        <v>20566872.175000001</v>
      </c>
      <c r="D12" s="13">
        <f t="shared" si="2"/>
        <v>20566872.175000001</v>
      </c>
      <c r="E12" s="13">
        <f t="shared" si="2"/>
        <v>20566872.175000001</v>
      </c>
      <c r="F12" s="13">
        <f t="shared" si="2"/>
        <v>20566872.175000001</v>
      </c>
      <c r="G12" s="13">
        <f t="shared" si="2"/>
        <v>20566872.175000001</v>
      </c>
      <c r="H12" s="13">
        <f t="shared" si="2"/>
        <v>20566872.175000001</v>
      </c>
      <c r="I12" s="13">
        <f t="shared" si="2"/>
        <v>20566872.175000001</v>
      </c>
      <c r="J12" s="13">
        <f t="shared" si="2"/>
        <v>20566872.175000001</v>
      </c>
      <c r="K12" s="13">
        <f t="shared" si="2"/>
        <v>20566872.175000001</v>
      </c>
      <c r="L12" s="13">
        <f t="shared" si="2"/>
        <v>20566872.175000001</v>
      </c>
      <c r="M12" s="13">
        <f t="shared" si="2"/>
        <v>20566872.175000001</v>
      </c>
      <c r="N12" s="13">
        <f t="shared" si="2"/>
        <v>20566872.175000001</v>
      </c>
      <c r="O12" s="13"/>
      <c r="P12" s="13"/>
      <c r="Q12" s="13"/>
      <c r="R12" s="13"/>
      <c r="S12" s="13"/>
      <c r="T12" s="13"/>
      <c r="U12" s="13"/>
      <c r="V12" s="13"/>
      <c r="W12" s="3"/>
      <c r="X12" s="3"/>
      <c r="Y12" s="3"/>
      <c r="Z12" s="3"/>
    </row>
    <row r="13" spans="1:26" ht="12.75" customHeight="1">
      <c r="A13" s="14" t="s">
        <v>11</v>
      </c>
      <c r="B13" s="13"/>
      <c r="C13" s="13">
        <f t="shared" ref="C13:V13" si="3">$B$3</f>
        <v>0</v>
      </c>
      <c r="D13" s="13">
        <f t="shared" si="3"/>
        <v>0</v>
      </c>
      <c r="E13" s="13">
        <f t="shared" si="3"/>
        <v>0</v>
      </c>
      <c r="F13" s="13">
        <f t="shared" si="3"/>
        <v>0</v>
      </c>
      <c r="G13" s="13">
        <f t="shared" si="3"/>
        <v>0</v>
      </c>
      <c r="H13" s="13">
        <f t="shared" si="3"/>
        <v>0</v>
      </c>
      <c r="I13" s="13">
        <f t="shared" si="3"/>
        <v>0</v>
      </c>
      <c r="J13" s="13">
        <f t="shared" si="3"/>
        <v>0</v>
      </c>
      <c r="K13" s="13">
        <f t="shared" si="3"/>
        <v>0</v>
      </c>
      <c r="L13" s="13">
        <f t="shared" si="3"/>
        <v>0</v>
      </c>
      <c r="M13" s="13">
        <f t="shared" si="3"/>
        <v>0</v>
      </c>
      <c r="N13" s="13">
        <f t="shared" si="3"/>
        <v>0</v>
      </c>
      <c r="O13" s="13">
        <f t="shared" si="3"/>
        <v>0</v>
      </c>
      <c r="P13" s="13">
        <f t="shared" si="3"/>
        <v>0</v>
      </c>
      <c r="Q13" s="13">
        <f t="shared" si="3"/>
        <v>0</v>
      </c>
      <c r="R13" s="13">
        <f t="shared" si="3"/>
        <v>0</v>
      </c>
      <c r="S13" s="13">
        <f t="shared" si="3"/>
        <v>0</v>
      </c>
      <c r="T13" s="13">
        <f t="shared" si="3"/>
        <v>0</v>
      </c>
      <c r="U13" s="13">
        <f t="shared" si="3"/>
        <v>0</v>
      </c>
      <c r="V13" s="13">
        <f t="shared" si="3"/>
        <v>0</v>
      </c>
      <c r="W13" s="3"/>
      <c r="X13" s="3"/>
      <c r="Y13" s="3"/>
      <c r="Z13" s="3"/>
    </row>
    <row r="14" spans="1:26" ht="12.75" customHeight="1">
      <c r="A14" s="14" t="s">
        <v>12</v>
      </c>
      <c r="B14" s="13">
        <f t="shared" ref="B14:F14" si="4">($B$2*1.6)*6</f>
        <v>48000000</v>
      </c>
      <c r="C14" s="13">
        <f t="shared" si="4"/>
        <v>48000000</v>
      </c>
      <c r="D14" s="13">
        <f t="shared" si="4"/>
        <v>48000000</v>
      </c>
      <c r="E14" s="13">
        <f t="shared" si="4"/>
        <v>48000000</v>
      </c>
      <c r="F14" s="13">
        <f t="shared" si="4"/>
        <v>48000000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3"/>
      <c r="X14" s="3"/>
      <c r="Y14" s="3"/>
      <c r="Z14" s="3"/>
    </row>
    <row r="15" spans="1:26" ht="12.75" customHeight="1">
      <c r="A15" s="14" t="s">
        <v>13</v>
      </c>
      <c r="B15" s="13">
        <f t="shared" ref="B15:V15" si="5">SUM(B12:B14)</f>
        <v>870674887</v>
      </c>
      <c r="C15" s="13">
        <f t="shared" si="5"/>
        <v>68566872.174999997</v>
      </c>
      <c r="D15" s="13">
        <f t="shared" si="5"/>
        <v>68566872.174999997</v>
      </c>
      <c r="E15" s="13">
        <f t="shared" si="5"/>
        <v>68566872.174999997</v>
      </c>
      <c r="F15" s="13">
        <f t="shared" si="5"/>
        <v>68566872.174999997</v>
      </c>
      <c r="G15" s="13">
        <f t="shared" si="5"/>
        <v>20566872.175000001</v>
      </c>
      <c r="H15" s="13">
        <f t="shared" si="5"/>
        <v>20566872.175000001</v>
      </c>
      <c r="I15" s="13">
        <f t="shared" si="5"/>
        <v>20566872.175000001</v>
      </c>
      <c r="J15" s="13">
        <f t="shared" si="5"/>
        <v>20566872.175000001</v>
      </c>
      <c r="K15" s="13">
        <f t="shared" si="5"/>
        <v>20566872.175000001</v>
      </c>
      <c r="L15" s="13">
        <f t="shared" si="5"/>
        <v>20566872.175000001</v>
      </c>
      <c r="M15" s="13">
        <f t="shared" si="5"/>
        <v>20566872.175000001</v>
      </c>
      <c r="N15" s="13">
        <f t="shared" si="5"/>
        <v>20566872.175000001</v>
      </c>
      <c r="O15" s="13">
        <f t="shared" si="5"/>
        <v>0</v>
      </c>
      <c r="P15" s="13">
        <f t="shared" si="5"/>
        <v>0</v>
      </c>
      <c r="Q15" s="13">
        <f t="shared" si="5"/>
        <v>0</v>
      </c>
      <c r="R15" s="13">
        <f t="shared" si="5"/>
        <v>0</v>
      </c>
      <c r="S15" s="13">
        <f t="shared" si="5"/>
        <v>0</v>
      </c>
      <c r="T15" s="13">
        <f t="shared" si="5"/>
        <v>0</v>
      </c>
      <c r="U15" s="13">
        <f t="shared" si="5"/>
        <v>0</v>
      </c>
      <c r="V15" s="13">
        <f t="shared" si="5"/>
        <v>0</v>
      </c>
      <c r="W15" s="3"/>
      <c r="X15" s="3"/>
      <c r="Y15" s="3"/>
      <c r="Z15" s="3"/>
    </row>
    <row r="16" spans="1:2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3"/>
      <c r="X16" s="3"/>
      <c r="Y16" s="3"/>
      <c r="Z16" s="3"/>
    </row>
    <row r="17" spans="1:26" ht="12.75" customHeight="1">
      <c r="A17" s="5" t="s">
        <v>14</v>
      </c>
      <c r="B17" s="6">
        <f t="shared" ref="B17:V17" si="6">B9-B15</f>
        <v>-870674887</v>
      </c>
      <c r="C17" s="6">
        <f t="shared" si="6"/>
        <v>-68566872.174999997</v>
      </c>
      <c r="D17" s="6">
        <f t="shared" si="6"/>
        <v>-68566872.174999997</v>
      </c>
      <c r="E17" s="6">
        <f t="shared" si="6"/>
        <v>-68566872.174999997</v>
      </c>
      <c r="F17" s="6">
        <f t="shared" si="6"/>
        <v>-68566872.174999997</v>
      </c>
      <c r="G17" s="6">
        <f t="shared" si="6"/>
        <v>191493185.82499999</v>
      </c>
      <c r="H17" s="6">
        <f t="shared" si="6"/>
        <v>191493185.82499999</v>
      </c>
      <c r="I17" s="6">
        <f t="shared" si="6"/>
        <v>191493185.82499999</v>
      </c>
      <c r="J17" s="6">
        <f t="shared" si="6"/>
        <v>191493185.82499999</v>
      </c>
      <c r="K17" s="6">
        <f t="shared" si="6"/>
        <v>191493185.82499999</v>
      </c>
      <c r="L17" s="6">
        <f t="shared" si="6"/>
        <v>191493185.82499999</v>
      </c>
      <c r="M17" s="6">
        <f t="shared" si="6"/>
        <v>191493185.82499999</v>
      </c>
      <c r="N17" s="6">
        <f t="shared" si="6"/>
        <v>191493185.82499999</v>
      </c>
      <c r="O17" s="6">
        <f t="shared" si="6"/>
        <v>212060058</v>
      </c>
      <c r="P17" s="6">
        <f t="shared" si="6"/>
        <v>212060058</v>
      </c>
      <c r="Q17" s="6">
        <f t="shared" si="6"/>
        <v>212060058</v>
      </c>
      <c r="R17" s="6">
        <f t="shared" si="6"/>
        <v>212060058</v>
      </c>
      <c r="S17" s="6">
        <f t="shared" si="6"/>
        <v>212060058</v>
      </c>
      <c r="T17" s="6">
        <f t="shared" si="6"/>
        <v>212060058</v>
      </c>
      <c r="U17" s="6">
        <f t="shared" si="6"/>
        <v>212060058</v>
      </c>
      <c r="V17" s="6">
        <f t="shared" si="6"/>
        <v>212060058</v>
      </c>
      <c r="W17" s="3"/>
      <c r="X17" s="3"/>
      <c r="Y17" s="3"/>
      <c r="Z17" s="3"/>
    </row>
    <row r="18" spans="1:26" ht="12.75" customHeight="1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3"/>
      <c r="X18" s="3"/>
      <c r="Y18" s="3"/>
      <c r="Z18" s="3"/>
    </row>
    <row r="19" spans="1:26" ht="12.75" customHeight="1">
      <c r="A19" s="15" t="s">
        <v>16</v>
      </c>
      <c r="B19" s="16">
        <f t="shared" ref="B19:V19" si="7">B17-B18</f>
        <v>-870674887</v>
      </c>
      <c r="C19" s="16">
        <f t="shared" si="7"/>
        <v>-68566872.174999997</v>
      </c>
      <c r="D19" s="16">
        <f t="shared" si="7"/>
        <v>-68566872.174999997</v>
      </c>
      <c r="E19" s="16">
        <f t="shared" si="7"/>
        <v>-68566872.174999997</v>
      </c>
      <c r="F19" s="16">
        <f t="shared" si="7"/>
        <v>-68566872.174999997</v>
      </c>
      <c r="G19" s="16">
        <f t="shared" si="7"/>
        <v>191493185.82499999</v>
      </c>
      <c r="H19" s="16">
        <f t="shared" si="7"/>
        <v>191493185.82499999</v>
      </c>
      <c r="I19" s="16">
        <f t="shared" si="7"/>
        <v>191493185.82499999</v>
      </c>
      <c r="J19" s="16">
        <f t="shared" si="7"/>
        <v>191493185.82499999</v>
      </c>
      <c r="K19" s="16">
        <f t="shared" si="7"/>
        <v>191493185.82499999</v>
      </c>
      <c r="L19" s="16">
        <f t="shared" si="7"/>
        <v>191493185.82499999</v>
      </c>
      <c r="M19" s="16">
        <f t="shared" si="7"/>
        <v>191493185.82499999</v>
      </c>
      <c r="N19" s="16">
        <f t="shared" si="7"/>
        <v>191493185.82499999</v>
      </c>
      <c r="O19" s="16">
        <f t="shared" si="7"/>
        <v>212060058</v>
      </c>
      <c r="P19" s="16">
        <f t="shared" si="7"/>
        <v>212060058</v>
      </c>
      <c r="Q19" s="16">
        <f t="shared" si="7"/>
        <v>212060058</v>
      </c>
      <c r="R19" s="16">
        <f t="shared" si="7"/>
        <v>212060058</v>
      </c>
      <c r="S19" s="16">
        <f t="shared" si="7"/>
        <v>212060058</v>
      </c>
      <c r="T19" s="16">
        <f t="shared" si="7"/>
        <v>212060058</v>
      </c>
      <c r="U19" s="16">
        <f t="shared" si="7"/>
        <v>212060058</v>
      </c>
      <c r="V19" s="16">
        <f t="shared" si="7"/>
        <v>212060058</v>
      </c>
      <c r="W19" s="3"/>
      <c r="X19" s="3"/>
      <c r="Y19" s="3"/>
      <c r="Z19" s="3"/>
    </row>
    <row r="20" spans="1:26" ht="12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17" t="s">
        <v>17</v>
      </c>
      <c r="B22" s="18">
        <v>0.05</v>
      </c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19" t="s">
        <v>18</v>
      </c>
      <c r="B24" s="20"/>
      <c r="C24" s="3"/>
      <c r="D24" s="3"/>
      <c r="E24" s="6">
        <f>B12+SUM(B14:F14)</f>
        <v>1062674887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21" t="s">
        <v>19</v>
      </c>
      <c r="B25" s="22">
        <f t="array" ref="B25">NPV(B22,C19:V19)</f>
        <v>1538287590.8079336</v>
      </c>
      <c r="C25" s="3"/>
      <c r="D25" s="3"/>
      <c r="E25" s="33">
        <f>B26-E24</f>
        <v>246802466.09999943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21" t="s">
        <v>10</v>
      </c>
      <c r="B26" s="22">
        <f>SUM(B15:V15)</f>
        <v>1309477353.0999994</v>
      </c>
      <c r="C26" s="3"/>
      <c r="D26" s="3"/>
      <c r="E26" s="3">
        <f>E25/E24*100</f>
        <v>23.224644632069811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23" t="s">
        <v>20</v>
      </c>
      <c r="B27" s="24">
        <f>B25-B26</f>
        <v>228810237.70793414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23" t="s">
        <v>21</v>
      </c>
      <c r="B28" s="25">
        <f>IRR(B19:V19)</f>
        <v>9.7034035851511158E-2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5"/>
      <c r="B31" s="3"/>
      <c r="C31" s="34" t="s">
        <v>4</v>
      </c>
      <c r="D31" s="34" t="s">
        <v>4</v>
      </c>
      <c r="E31" s="34" t="s">
        <v>4</v>
      </c>
      <c r="F31" s="34" t="s">
        <v>4</v>
      </c>
      <c r="G31" s="34" t="s">
        <v>4</v>
      </c>
      <c r="H31" s="34" t="s">
        <v>4</v>
      </c>
      <c r="I31" s="34" t="s">
        <v>4</v>
      </c>
      <c r="J31" s="34" t="s">
        <v>4</v>
      </c>
      <c r="K31" s="34" t="s">
        <v>4</v>
      </c>
      <c r="L31" s="34" t="s">
        <v>4</v>
      </c>
      <c r="M31" s="34" t="s">
        <v>4</v>
      </c>
      <c r="N31" s="34" t="s">
        <v>4</v>
      </c>
      <c r="O31" s="34" t="s">
        <v>4</v>
      </c>
      <c r="P31" s="34" t="s">
        <v>4</v>
      </c>
      <c r="Q31" s="34" t="s">
        <v>4</v>
      </c>
      <c r="R31" s="34" t="s">
        <v>4</v>
      </c>
      <c r="S31" s="34" t="s">
        <v>4</v>
      </c>
      <c r="T31" s="34" t="s">
        <v>4</v>
      </c>
      <c r="U31" s="34" t="s">
        <v>4</v>
      </c>
      <c r="V31" s="34" t="s">
        <v>4</v>
      </c>
      <c r="W31" s="3"/>
      <c r="X31" s="3"/>
      <c r="Y31" s="3"/>
      <c r="Z31" s="3"/>
    </row>
    <row r="32" spans="1:26" ht="12.75" customHeight="1">
      <c r="A32" s="5"/>
      <c r="B32" s="3"/>
      <c r="C32" s="34">
        <v>1</v>
      </c>
      <c r="D32" s="34">
        <v>2</v>
      </c>
      <c r="E32" s="34">
        <v>3</v>
      </c>
      <c r="F32" s="34">
        <v>4</v>
      </c>
      <c r="G32" s="34">
        <v>5</v>
      </c>
      <c r="H32" s="34">
        <v>6</v>
      </c>
      <c r="I32" s="34">
        <v>7</v>
      </c>
      <c r="J32" s="34">
        <v>8</v>
      </c>
      <c r="K32" s="34">
        <v>9</v>
      </c>
      <c r="L32" s="34">
        <v>10</v>
      </c>
      <c r="M32" s="34">
        <v>11</v>
      </c>
      <c r="N32" s="34">
        <v>12</v>
      </c>
      <c r="O32" s="34">
        <v>13</v>
      </c>
      <c r="P32" s="34">
        <v>14</v>
      </c>
      <c r="Q32" s="34">
        <v>15</v>
      </c>
      <c r="R32" s="34">
        <v>16</v>
      </c>
      <c r="S32" s="34">
        <v>17</v>
      </c>
      <c r="T32" s="34">
        <v>18</v>
      </c>
      <c r="U32" s="34">
        <v>19</v>
      </c>
      <c r="V32" s="34">
        <v>20</v>
      </c>
      <c r="W32" s="3"/>
      <c r="X32" s="3"/>
      <c r="Y32" s="3"/>
      <c r="Z32" s="3"/>
    </row>
    <row r="33" spans="1:26" ht="12.75" customHeight="1">
      <c r="A33" s="26" t="s">
        <v>22</v>
      </c>
      <c r="B33" s="3"/>
      <c r="C33" s="35">
        <f t="shared" ref="C33:V33" si="8">C19/POWER(1+$B$22,C32)</f>
        <v>-65301783.023809515</v>
      </c>
      <c r="D33" s="35">
        <f t="shared" si="8"/>
        <v>-62192174.308390021</v>
      </c>
      <c r="E33" s="35">
        <f t="shared" si="8"/>
        <v>-59230642.198466681</v>
      </c>
      <c r="F33" s="35">
        <f t="shared" si="8"/>
        <v>-56410135.427111126</v>
      </c>
      <c r="G33" s="35">
        <f t="shared" si="8"/>
        <v>150039921.79429448</v>
      </c>
      <c r="H33" s="35">
        <f t="shared" si="8"/>
        <v>142895163.61361381</v>
      </c>
      <c r="I33" s="35">
        <f t="shared" si="8"/>
        <v>136090632.0129655</v>
      </c>
      <c r="J33" s="35">
        <f t="shared" si="8"/>
        <v>129610125.72663383</v>
      </c>
      <c r="K33" s="35">
        <f t="shared" si="8"/>
        <v>123438214.9777465</v>
      </c>
      <c r="L33" s="35">
        <f t="shared" si="8"/>
        <v>117560204.74071096</v>
      </c>
      <c r="M33" s="35">
        <f t="shared" si="8"/>
        <v>111962099.75305805</v>
      </c>
      <c r="N33" s="35">
        <f t="shared" si="8"/>
        <v>106630571.19338863</v>
      </c>
      <c r="O33" s="35">
        <f t="shared" si="8"/>
        <v>112459976.37647952</v>
      </c>
      <c r="P33" s="35">
        <f t="shared" si="8"/>
        <v>107104739.40617101</v>
      </c>
      <c r="Q33" s="35">
        <f t="shared" si="8"/>
        <v>102004513.72016282</v>
      </c>
      <c r="R33" s="35">
        <f t="shared" si="8"/>
        <v>97147155.923964605</v>
      </c>
      <c r="S33" s="35">
        <f t="shared" si="8"/>
        <v>92521100.879966274</v>
      </c>
      <c r="T33" s="35">
        <f t="shared" si="8"/>
        <v>88115334.171396464</v>
      </c>
      <c r="U33" s="35">
        <f t="shared" si="8"/>
        <v>83919365.877520442</v>
      </c>
      <c r="V33" s="35">
        <f t="shared" si="8"/>
        <v>79923205.597638518</v>
      </c>
      <c r="W33" s="3"/>
      <c r="X33" s="3"/>
      <c r="Y33" s="3"/>
      <c r="Z33" s="3"/>
    </row>
    <row r="34" spans="1:26" ht="12.75" customHeight="1">
      <c r="A34" s="26" t="s">
        <v>23</v>
      </c>
      <c r="B34" s="3"/>
      <c r="C34" s="36">
        <f>C33</f>
        <v>-65301783.023809515</v>
      </c>
      <c r="D34" s="36">
        <f t="shared" ref="D34:V34" si="9">C34+D33</f>
        <v>-127493957.33219954</v>
      </c>
      <c r="E34" s="36">
        <f t="shared" si="9"/>
        <v>-186724599.53066623</v>
      </c>
      <c r="F34" s="36">
        <f t="shared" si="9"/>
        <v>-243134734.95777735</v>
      </c>
      <c r="G34" s="36">
        <f t="shared" si="9"/>
        <v>-93094813.163482875</v>
      </c>
      <c r="H34" s="36">
        <f t="shared" si="9"/>
        <v>49800350.450130939</v>
      </c>
      <c r="I34" s="36">
        <f t="shared" si="9"/>
        <v>185890982.46309644</v>
      </c>
      <c r="J34" s="36">
        <f t="shared" si="9"/>
        <v>315501108.18973029</v>
      </c>
      <c r="K34" s="36">
        <f t="shared" si="9"/>
        <v>438939323.16747677</v>
      </c>
      <c r="L34" s="36">
        <f t="shared" si="9"/>
        <v>556499527.90818775</v>
      </c>
      <c r="M34" s="36">
        <f t="shared" si="9"/>
        <v>668461627.66124582</v>
      </c>
      <c r="N34" s="36">
        <f t="shared" si="9"/>
        <v>775092198.8546344</v>
      </c>
      <c r="O34" s="36">
        <f t="shared" si="9"/>
        <v>887552175.23111391</v>
      </c>
      <c r="P34" s="36">
        <f t="shared" si="9"/>
        <v>994656914.63728487</v>
      </c>
      <c r="Q34" s="36">
        <f t="shared" si="9"/>
        <v>1096661428.3574476</v>
      </c>
      <c r="R34" s="36">
        <f t="shared" si="9"/>
        <v>1193808584.2814121</v>
      </c>
      <c r="S34" s="36">
        <f t="shared" si="9"/>
        <v>1286329685.1613784</v>
      </c>
      <c r="T34" s="36">
        <f t="shared" si="9"/>
        <v>1374445019.3327749</v>
      </c>
      <c r="U34" s="35">
        <f t="shared" si="9"/>
        <v>1458364385.2102952</v>
      </c>
      <c r="V34" s="35">
        <f t="shared" si="9"/>
        <v>1538287590.8079338</v>
      </c>
      <c r="W34" s="3"/>
      <c r="X34" s="3"/>
      <c r="Y34" s="3"/>
      <c r="Z34" s="3"/>
    </row>
    <row r="35" spans="1:26" ht="12.75" customHeight="1">
      <c r="A35" s="27" t="s">
        <v>24</v>
      </c>
      <c r="B35" s="28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7" t="s">
        <v>24</v>
      </c>
      <c r="U35" s="28">
        <v>18</v>
      </c>
      <c r="V35" s="3"/>
      <c r="W35" s="3"/>
      <c r="X35" s="3"/>
      <c r="Y35" s="3"/>
      <c r="Z35" s="3"/>
    </row>
    <row r="36" spans="1:26" ht="12.7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U36" s="3"/>
      <c r="V36" s="3"/>
      <c r="W36" s="3"/>
      <c r="X36" s="3"/>
      <c r="Y36" s="3"/>
      <c r="Z36" s="3"/>
    </row>
    <row r="37" spans="1:26" ht="12.7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29" t="s">
        <v>25</v>
      </c>
      <c r="B39" s="3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1"/>
      <c r="B40" s="3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1" t="s">
        <v>26</v>
      </c>
      <c r="B41" s="32">
        <f>SUM(C8:V8)</f>
        <v>3392960928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1" t="s">
        <v>27</v>
      </c>
      <c r="B42" s="32">
        <f>SUM(C13:V14)</f>
        <v>192000000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1" t="s">
        <v>28</v>
      </c>
      <c r="B43" s="32">
        <f>B41-B42</f>
        <v>3200960928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1" t="s">
        <v>29</v>
      </c>
      <c r="B44" s="32">
        <f>SUM(C18:V18)</f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1" t="s">
        <v>30</v>
      </c>
      <c r="B45" s="32">
        <f>B43-B44</f>
        <v>3200960928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1" t="s">
        <v>31</v>
      </c>
      <c r="B46" s="32">
        <f>B45*0.19</f>
        <v>608182576.32000005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1" t="s">
        <v>32</v>
      </c>
      <c r="B47" s="32">
        <f>B45-B46</f>
        <v>2592778351.6799998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D1:E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workbookViewId="0"/>
  </sheetViews>
  <sheetFormatPr baseColWidth="10" defaultColWidth="12.5703125" defaultRowHeight="15" customHeight="1"/>
  <cols>
    <col min="1" max="1" width="10.5703125" customWidth="1"/>
    <col min="2" max="2" width="11.5703125" customWidth="1"/>
    <col min="3" max="3" width="21.28515625" customWidth="1"/>
    <col min="4" max="4" width="10.5703125" customWidth="1"/>
    <col min="5" max="5" width="16.85546875" customWidth="1"/>
    <col min="6" max="7" width="10.5703125" customWidth="1"/>
    <col min="8" max="8" width="26.28515625" customWidth="1"/>
    <col min="9" max="12" width="10.5703125" customWidth="1"/>
    <col min="13" max="13" width="14.42578125" customWidth="1"/>
    <col min="14" max="26" width="10.5703125" customWidth="1"/>
  </cols>
  <sheetData>
    <row r="1" spans="2:16" ht="12.75" customHeight="1"/>
    <row r="2" spans="2:16" ht="12.75" customHeight="1">
      <c r="E2" s="37" t="s">
        <v>33</v>
      </c>
    </row>
    <row r="3" spans="2:16" ht="12.75" customHeight="1">
      <c r="B3" s="38"/>
      <c r="C3" s="37" t="s">
        <v>34</v>
      </c>
      <c r="E3" s="39">
        <f>SUM(B3:B41)</f>
        <v>852674887</v>
      </c>
      <c r="H3" s="37" t="s">
        <v>35</v>
      </c>
      <c r="I3" s="37" t="s">
        <v>36</v>
      </c>
      <c r="J3" s="37" t="s">
        <v>33</v>
      </c>
      <c r="M3" s="40" t="s">
        <v>37</v>
      </c>
      <c r="N3" s="40" t="s">
        <v>38</v>
      </c>
      <c r="O3" s="40" t="s">
        <v>39</v>
      </c>
      <c r="P3" s="40" t="s">
        <v>40</v>
      </c>
    </row>
    <row r="4" spans="2:16" ht="12.75" customHeight="1">
      <c r="B4" s="41">
        <f>4000000*4</f>
        <v>16000000</v>
      </c>
      <c r="C4" s="40" t="s">
        <v>41</v>
      </c>
      <c r="E4" s="37" t="s">
        <v>42</v>
      </c>
      <c r="H4" s="42" t="s">
        <v>43</v>
      </c>
      <c r="I4" s="43">
        <v>500000</v>
      </c>
      <c r="J4" s="40">
        <v>0</v>
      </c>
      <c r="M4" s="40" t="s">
        <v>44</v>
      </c>
      <c r="N4" s="40">
        <v>2</v>
      </c>
      <c r="O4" s="40">
        <f>45</f>
        <v>45</v>
      </c>
      <c r="P4" s="40">
        <f t="shared" ref="P4:P18" si="0">N4*O4*4000</f>
        <v>360000</v>
      </c>
    </row>
    <row r="5" spans="2:16" ht="12.75" customHeight="1">
      <c r="B5" s="44">
        <f>76266474 * 2</f>
        <v>152532948</v>
      </c>
      <c r="C5" s="40" t="s">
        <v>45</v>
      </c>
      <c r="E5" s="39">
        <f>E3-B23</f>
        <v>822674887</v>
      </c>
      <c r="H5" s="45" t="s">
        <v>46</v>
      </c>
      <c r="I5" s="46">
        <v>600000</v>
      </c>
      <c r="M5" s="40" t="s">
        <v>47</v>
      </c>
      <c r="N5" s="40">
        <v>3</v>
      </c>
      <c r="O5" s="40">
        <v>60</v>
      </c>
      <c r="P5" s="40">
        <f t="shared" si="0"/>
        <v>720000</v>
      </c>
    </row>
    <row r="6" spans="2:16" ht="12.75" customHeight="1">
      <c r="B6" s="44"/>
      <c r="C6" s="40" t="s">
        <v>37</v>
      </c>
      <c r="H6" s="45" t="s">
        <v>48</v>
      </c>
      <c r="I6" s="46">
        <v>200000</v>
      </c>
      <c r="M6" s="40" t="s">
        <v>49</v>
      </c>
      <c r="N6" s="40">
        <v>1</v>
      </c>
      <c r="O6" s="40">
        <v>850</v>
      </c>
      <c r="P6" s="40">
        <f t="shared" si="0"/>
        <v>3400000</v>
      </c>
    </row>
    <row r="7" spans="2:16" ht="12.75" customHeight="1">
      <c r="B7" s="44">
        <v>200000000</v>
      </c>
      <c r="C7" s="40" t="s">
        <v>50</v>
      </c>
      <c r="H7" s="47" t="s">
        <v>51</v>
      </c>
      <c r="I7" s="48">
        <v>833000</v>
      </c>
      <c r="M7" s="40" t="s">
        <v>52</v>
      </c>
      <c r="N7" s="40">
        <v>3</v>
      </c>
      <c r="O7" s="40">
        <v>200</v>
      </c>
      <c r="P7" s="40">
        <f t="shared" si="0"/>
        <v>2400000</v>
      </c>
    </row>
    <row r="8" spans="2:16" ht="12.75" customHeight="1">
      <c r="B8" s="44"/>
      <c r="H8" s="47" t="s">
        <v>53</v>
      </c>
      <c r="I8" s="48">
        <v>1600000</v>
      </c>
      <c r="M8" s="40" t="s">
        <v>54</v>
      </c>
      <c r="N8" s="40">
        <v>5</v>
      </c>
      <c r="O8" s="40">
        <v>150</v>
      </c>
      <c r="P8" s="40">
        <f t="shared" si="0"/>
        <v>3000000</v>
      </c>
    </row>
    <row r="9" spans="2:16" ht="12.75" customHeight="1">
      <c r="B9" s="49"/>
      <c r="M9" s="40" t="s">
        <v>55</v>
      </c>
      <c r="N9" s="40">
        <v>3</v>
      </c>
      <c r="O9" s="40">
        <v>120</v>
      </c>
      <c r="P9" s="40">
        <f t="shared" si="0"/>
        <v>1440000</v>
      </c>
    </row>
    <row r="10" spans="2:16" ht="12.75" customHeight="1">
      <c r="B10" s="50"/>
      <c r="C10" s="37" t="s">
        <v>56</v>
      </c>
      <c r="M10" s="40" t="s">
        <v>57</v>
      </c>
      <c r="N10" s="40">
        <v>1</v>
      </c>
      <c r="O10" s="40">
        <v>4500</v>
      </c>
      <c r="P10" s="40">
        <f t="shared" si="0"/>
        <v>18000000</v>
      </c>
    </row>
    <row r="11" spans="2:16" ht="12.75" customHeight="1">
      <c r="B11" s="41"/>
      <c r="C11" s="40" t="s">
        <v>58</v>
      </c>
      <c r="M11" s="40" t="s">
        <v>59</v>
      </c>
      <c r="N11" s="40">
        <v>5</v>
      </c>
      <c r="O11" s="40">
        <v>5938</v>
      </c>
      <c r="P11" s="40">
        <f t="shared" si="0"/>
        <v>118760000</v>
      </c>
    </row>
    <row r="12" spans="2:16" ht="12.75" customHeight="1">
      <c r="B12" s="44">
        <v>39936679</v>
      </c>
      <c r="C12" s="40" t="s">
        <v>60</v>
      </c>
      <c r="M12" s="40" t="s">
        <v>61</v>
      </c>
      <c r="N12" s="40">
        <v>3</v>
      </c>
      <c r="O12" s="40">
        <v>12475</v>
      </c>
      <c r="P12" s="40">
        <f t="shared" si="0"/>
        <v>149700000</v>
      </c>
    </row>
    <row r="13" spans="2:16" ht="12.75" customHeight="1">
      <c r="B13" s="44">
        <v>4271718</v>
      </c>
      <c r="C13" s="40" t="s">
        <v>62</v>
      </c>
      <c r="M13" s="40" t="s">
        <v>63</v>
      </c>
      <c r="N13" s="40">
        <v>5</v>
      </c>
      <c r="O13" s="40">
        <v>233</v>
      </c>
      <c r="P13" s="40">
        <f t="shared" si="0"/>
        <v>4660000</v>
      </c>
    </row>
    <row r="14" spans="2:16" ht="12.75" customHeight="1">
      <c r="B14" s="44">
        <v>13202642</v>
      </c>
      <c r="C14" s="40" t="s">
        <v>64</v>
      </c>
      <c r="M14" s="40" t="s">
        <v>63</v>
      </c>
      <c r="N14" s="40">
        <v>5</v>
      </c>
      <c r="O14" s="40">
        <v>1216</v>
      </c>
      <c r="P14" s="40">
        <f t="shared" si="0"/>
        <v>24320000</v>
      </c>
    </row>
    <row r="15" spans="2:16" ht="12.75" customHeight="1">
      <c r="B15" s="49">
        <v>4460000</v>
      </c>
      <c r="C15" s="40" t="s">
        <v>65</v>
      </c>
      <c r="M15" s="40" t="s">
        <v>66</v>
      </c>
      <c r="N15" s="40">
        <v>5</v>
      </c>
      <c r="O15" s="40">
        <v>368</v>
      </c>
      <c r="P15" s="40">
        <f t="shared" si="0"/>
        <v>7360000</v>
      </c>
    </row>
    <row r="16" spans="2:16" ht="12.75" customHeight="1">
      <c r="B16" s="50"/>
      <c r="C16" s="37" t="s">
        <v>67</v>
      </c>
      <c r="M16" s="40" t="s">
        <v>68</v>
      </c>
      <c r="N16" s="40">
        <v>5</v>
      </c>
      <c r="O16" s="40">
        <v>927</v>
      </c>
      <c r="P16" s="40">
        <f t="shared" si="0"/>
        <v>18540000</v>
      </c>
    </row>
    <row r="17" spans="2:16" ht="12.75" customHeight="1">
      <c r="B17" s="51"/>
      <c r="C17" s="40" t="s">
        <v>69</v>
      </c>
      <c r="D17" s="39">
        <v>5000000</v>
      </c>
      <c r="M17" s="40" t="s">
        <v>70</v>
      </c>
      <c r="N17" s="40">
        <v>5</v>
      </c>
      <c r="O17" s="40">
        <v>927</v>
      </c>
      <c r="P17" s="40">
        <f t="shared" si="0"/>
        <v>18540000</v>
      </c>
    </row>
    <row r="18" spans="2:16" ht="12.75" customHeight="1">
      <c r="B18" s="52"/>
      <c r="C18" s="40" t="s">
        <v>71</v>
      </c>
      <c r="D18" s="39">
        <v>5000000</v>
      </c>
      <c r="M18" s="40" t="s">
        <v>72</v>
      </c>
      <c r="N18" s="40">
        <v>5</v>
      </c>
      <c r="O18" s="40">
        <v>35</v>
      </c>
      <c r="P18" s="40">
        <f t="shared" si="0"/>
        <v>700000</v>
      </c>
    </row>
    <row r="19" spans="2:16" ht="12.75" customHeight="1">
      <c r="B19" s="52"/>
      <c r="C19" s="40" t="s">
        <v>73</v>
      </c>
      <c r="D19" s="39">
        <v>5000000</v>
      </c>
      <c r="P19" s="40">
        <f>SUM(P4:P18)</f>
        <v>371900000</v>
      </c>
    </row>
    <row r="20" spans="2:16" ht="12.75" customHeight="1">
      <c r="B20" s="52"/>
      <c r="C20" s="40" t="s">
        <v>74</v>
      </c>
      <c r="D20" s="39">
        <v>5000000</v>
      </c>
    </row>
    <row r="21" spans="2:16" ht="12.75" customHeight="1">
      <c r="B21" s="52"/>
      <c r="C21" s="40" t="s">
        <v>75</v>
      </c>
      <c r="D21" s="39">
        <v>5000000</v>
      </c>
    </row>
    <row r="22" spans="2:16" ht="12.75" customHeight="1">
      <c r="B22" s="52"/>
      <c r="C22" s="40" t="s">
        <v>76</v>
      </c>
      <c r="D22" s="39">
        <v>5000000</v>
      </c>
    </row>
    <row r="23" spans="2:16" ht="12.75" customHeight="1">
      <c r="B23" s="49">
        <f>SUM(D17:D22)</f>
        <v>30000000</v>
      </c>
      <c r="C23" s="37" t="s">
        <v>33</v>
      </c>
    </row>
    <row r="24" spans="2:16" ht="12.75" customHeight="1">
      <c r="B24" s="50"/>
      <c r="C24" s="37" t="s">
        <v>77</v>
      </c>
    </row>
    <row r="25" spans="2:16" ht="12.75" customHeight="1">
      <c r="B25" s="41">
        <v>20000000</v>
      </c>
      <c r="C25" s="40" t="s">
        <v>78</v>
      </c>
    </row>
    <row r="26" spans="2:16" ht="12.75" customHeight="1">
      <c r="B26" s="44">
        <f>P19</f>
        <v>371900000</v>
      </c>
      <c r="C26" s="40" t="s">
        <v>79</v>
      </c>
    </row>
    <row r="27" spans="2:16" ht="12.75" customHeight="1">
      <c r="B27" s="44"/>
    </row>
    <row r="28" spans="2:16" ht="12.75" customHeight="1">
      <c r="B28" s="44"/>
      <c r="E28" s="37"/>
    </row>
    <row r="29" spans="2:16" ht="12.75" customHeight="1">
      <c r="B29" s="44"/>
    </row>
    <row r="30" spans="2:16" ht="12.75" customHeight="1">
      <c r="B30" s="44"/>
    </row>
    <row r="31" spans="2:16" ht="12.75" customHeight="1">
      <c r="B31" s="44"/>
    </row>
    <row r="32" spans="2:16" ht="12.75" customHeight="1">
      <c r="B32" s="44"/>
    </row>
    <row r="33" spans="2:3" ht="12.75" customHeight="1">
      <c r="B33" s="44"/>
    </row>
    <row r="34" spans="2:3" ht="12.75" customHeight="1">
      <c r="B34" s="49"/>
    </row>
    <row r="35" spans="2:3" ht="12.75" customHeight="1">
      <c r="B35" s="50"/>
      <c r="C35" s="37" t="s">
        <v>80</v>
      </c>
    </row>
    <row r="36" spans="2:3" ht="12.75" customHeight="1">
      <c r="B36" s="41">
        <f>4*47000</f>
        <v>188000</v>
      </c>
      <c r="C36" s="40" t="s">
        <v>81</v>
      </c>
    </row>
    <row r="37" spans="2:3" ht="12.75" customHeight="1">
      <c r="B37" s="44">
        <v>182900</v>
      </c>
      <c r="C37" s="40" t="s">
        <v>82</v>
      </c>
    </row>
    <row r="38" spans="2:3" ht="12.75" customHeight="1">
      <c r="B38" s="44"/>
    </row>
    <row r="39" spans="2:3" ht="12.75" customHeight="1">
      <c r="B39" s="44"/>
    </row>
    <row r="40" spans="2:3" ht="12.75" customHeight="1">
      <c r="B40" s="39"/>
    </row>
    <row r="41" spans="2:3" ht="12.75" customHeight="1">
      <c r="B41" s="39"/>
    </row>
    <row r="42" spans="2:3" ht="12.75" customHeight="1"/>
    <row r="43" spans="2:3" ht="12.75" customHeight="1"/>
    <row r="44" spans="2:3" ht="12.75" customHeight="1"/>
    <row r="45" spans="2:3" ht="12.75" customHeight="1"/>
    <row r="46" spans="2:3" ht="12.75" customHeight="1"/>
    <row r="47" spans="2:3" ht="12.75" customHeight="1"/>
    <row r="48" spans="2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EVALUACION PRY CLIENTE 1</vt:lpstr>
      <vt:lpstr>COSTOS 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Barrera G.</dc:creator>
  <cp:lastModifiedBy>Juan David Morales Restrepo</cp:lastModifiedBy>
  <dcterms:created xsi:type="dcterms:W3CDTF">2020-11-30T17:50:54Z</dcterms:created>
  <dcterms:modified xsi:type="dcterms:W3CDTF">2024-05-29T01:58:05Z</dcterms:modified>
</cp:coreProperties>
</file>