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Valentina Cruz DP\Downloads\"/>
    </mc:Choice>
  </mc:AlternateContent>
  <xr:revisionPtr revIDLastSave="0" documentId="13_ncr:1_{21D0B2AA-642B-49F3-B086-F291BEE6256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troducción" sheetId="1" r:id="rId1"/>
    <sheet name="Producción Gayafores" sheetId="2" r:id="rId2"/>
    <sheet name="KPI 1 Unidades día" sheetId="3" r:id="rId3"/>
    <sheet name="KPI 2 Costo Unidad Ganancia" sheetId="4" r:id="rId4"/>
    <sheet name="KPI3 Takt Time 30x30 cm" sheetId="5" r:id="rId5"/>
    <sheet name="KPI3 Takt Time 60x120 cm" sheetId="6" r:id="rId6"/>
    <sheet name="KPI3 Takt Time 34x67 cm" sheetId="7" r:id="rId7"/>
    <sheet name="OEE" sheetId="8" r:id="rId8"/>
    <sheet name="Calculos VSM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16rOq1Ij92aBs5DKpAQtGEPeaiFkVUkuw2TDHvGHoJ4="/>
    </ext>
  </extLst>
</workbook>
</file>

<file path=xl/calcChain.xml><?xml version="1.0" encoding="utf-8"?>
<calcChain xmlns="http://schemas.openxmlformats.org/spreadsheetml/2006/main">
  <c r="C9" i="9" l="1"/>
  <c r="C8" i="9"/>
  <c r="C7" i="9"/>
  <c r="F29" i="8"/>
  <c r="F34" i="8" s="1"/>
  <c r="E29" i="8"/>
  <c r="E34" i="8" s="1"/>
  <c r="D29" i="8"/>
  <c r="F10" i="8"/>
  <c r="E10" i="8"/>
  <c r="D10" i="8"/>
  <c r="L6" i="8"/>
  <c r="L5" i="8"/>
  <c r="L4" i="8"/>
  <c r="L3" i="8"/>
  <c r="E11" i="8" s="1"/>
  <c r="S42" i="4"/>
  <c r="T42" i="4" s="1"/>
  <c r="K42" i="4"/>
  <c r="L42" i="4" s="1"/>
  <c r="C42" i="4"/>
  <c r="D42" i="4" s="1"/>
  <c r="S41" i="4"/>
  <c r="T41" i="4" s="1"/>
  <c r="C41" i="4"/>
  <c r="D41" i="4" s="1"/>
  <c r="S40" i="4"/>
  <c r="T40" i="4" s="1"/>
  <c r="C40" i="4"/>
  <c r="D40" i="4" s="1"/>
  <c r="S39" i="4"/>
  <c r="T39" i="4" s="1"/>
  <c r="T44" i="4" s="1"/>
  <c r="C39" i="4"/>
  <c r="D39" i="4" s="1"/>
  <c r="D44" i="4" s="1"/>
  <c r="S35" i="4"/>
  <c r="K35" i="4"/>
  <c r="K39" i="4" s="1"/>
  <c r="L39" i="4" s="1"/>
  <c r="C35" i="4"/>
  <c r="U34" i="4"/>
  <c r="M34" i="4"/>
  <c r="E34" i="4"/>
  <c r="C32" i="4"/>
  <c r="C34" i="4" s="1"/>
  <c r="S30" i="4"/>
  <c r="S31" i="4" s="1"/>
  <c r="S32" i="4" s="1"/>
  <c r="S34" i="4" s="1"/>
  <c r="K30" i="4"/>
  <c r="K31" i="4" s="1"/>
  <c r="K32" i="4" s="1"/>
  <c r="K34" i="4" s="1"/>
  <c r="C30" i="4"/>
  <c r="C10" i="4"/>
  <c r="C9" i="4"/>
  <c r="C8" i="4"/>
  <c r="C7" i="4"/>
  <c r="N18" i="2"/>
  <c r="N19" i="2" s="1"/>
  <c r="H18" i="2"/>
  <c r="H19" i="2" s="1"/>
  <c r="N16" i="2"/>
  <c r="H16" i="2"/>
  <c r="C16" i="2"/>
  <c r="N15" i="2"/>
  <c r="H15" i="2"/>
  <c r="C15" i="2"/>
  <c r="C18" i="2" s="1"/>
  <c r="C19" i="2" s="1"/>
  <c r="N6" i="2"/>
  <c r="H6" i="2"/>
  <c r="C6" i="2"/>
  <c r="C8" i="2" s="1"/>
  <c r="C9" i="2" s="1"/>
  <c r="N5" i="2"/>
  <c r="N8" i="2" s="1"/>
  <c r="N9" i="2" s="1"/>
  <c r="H5" i="2"/>
  <c r="H8" i="2" s="1"/>
  <c r="H9" i="2" s="1"/>
  <c r="C5" i="2"/>
  <c r="N10" i="2" l="1"/>
  <c r="N11" i="2"/>
  <c r="C11" i="2"/>
  <c r="C10" i="2"/>
  <c r="I24" i="9" s="1"/>
  <c r="H20" i="2"/>
  <c r="C20" i="9" s="1"/>
  <c r="H21" i="2"/>
  <c r="N20" i="2"/>
  <c r="N21" i="2"/>
  <c r="E15" i="8"/>
  <c r="C19" i="9"/>
  <c r="C20" i="2"/>
  <c r="C21" i="2"/>
  <c r="H11" i="2"/>
  <c r="H10" i="2"/>
  <c r="C24" i="9"/>
  <c r="F11" i="8"/>
  <c r="I19" i="9"/>
  <c r="K41" i="4"/>
  <c r="L41" i="4" s="1"/>
  <c r="F15" i="8"/>
  <c r="I20" i="9"/>
  <c r="C15" i="9"/>
  <c r="C23" i="9"/>
  <c r="D34" i="8"/>
  <c r="I15" i="9"/>
  <c r="I23" i="9"/>
  <c r="K40" i="4"/>
  <c r="L40" i="4" s="1"/>
  <c r="L44" i="4" s="1"/>
  <c r="C16" i="9"/>
  <c r="D11" i="8"/>
  <c r="I16" i="9"/>
  <c r="D15" i="8" l="1"/>
  <c r="E32" i="8"/>
  <c r="K27" i="4"/>
  <c r="L50" i="4" s="1"/>
  <c r="C14" i="6"/>
  <c r="J27" i="4"/>
  <c r="L49" i="4" s="1"/>
  <c r="E13" i="8"/>
  <c r="C5" i="6"/>
  <c r="B27" i="4"/>
  <c r="D49" i="4" s="1"/>
  <c r="C4" i="3"/>
  <c r="C5" i="5"/>
  <c r="D13" i="8"/>
  <c r="D14" i="8" s="1"/>
  <c r="D17" i="8" s="1"/>
  <c r="D32" i="8"/>
  <c r="C27" i="4"/>
  <c r="D50" i="4" s="1"/>
  <c r="C14" i="5"/>
  <c r="C3" i="3"/>
  <c r="H3" i="3" s="1"/>
  <c r="C14" i="7"/>
  <c r="S27" i="4"/>
  <c r="T50" i="4" s="1"/>
  <c r="F32" i="8"/>
  <c r="C5" i="7"/>
  <c r="F13" i="8"/>
  <c r="R27" i="4"/>
  <c r="T49" i="4" s="1"/>
  <c r="C26" i="9"/>
  <c r="C8" i="6" l="1"/>
  <c r="E8" i="6" s="1"/>
  <c r="H7" i="6"/>
  <c r="C6" i="6"/>
  <c r="C6" i="7"/>
  <c r="H7" i="7"/>
  <c r="C8" i="7"/>
  <c r="E8" i="7" s="1"/>
  <c r="D33" i="8"/>
  <c r="D36" i="8" s="1"/>
  <c r="D35" i="8"/>
  <c r="D37" i="8" s="1"/>
  <c r="E14" i="8"/>
  <c r="E17" i="8" s="1"/>
  <c r="E16" i="8"/>
  <c r="E18" i="8" s="1"/>
  <c r="L53" i="4"/>
  <c r="F33" i="8"/>
  <c r="F36" i="8" s="1"/>
  <c r="F35" i="8"/>
  <c r="F37" i="8" s="1"/>
  <c r="F14" i="8"/>
  <c r="F17" i="8" s="1"/>
  <c r="F16" i="8"/>
  <c r="F18" i="8" s="1"/>
  <c r="C6" i="5"/>
  <c r="C8" i="5"/>
  <c r="E8" i="5" s="1"/>
  <c r="H7" i="5"/>
  <c r="C15" i="6"/>
  <c r="H17" i="6"/>
  <c r="E21" i="6" s="1"/>
  <c r="C17" i="6"/>
  <c r="E17" i="6" s="1"/>
  <c r="D53" i="4"/>
  <c r="D18" i="8"/>
  <c r="H17" i="7"/>
  <c r="E21" i="7" s="1"/>
  <c r="C17" i="7"/>
  <c r="E17" i="7" s="1"/>
  <c r="C15" i="7"/>
  <c r="C6" i="3"/>
  <c r="H4" i="3"/>
  <c r="H6" i="3" s="1"/>
  <c r="E33" i="8"/>
  <c r="E36" i="8" s="1"/>
  <c r="E35" i="8"/>
  <c r="E37" i="8" s="1"/>
  <c r="T53" i="4"/>
  <c r="C17" i="5"/>
  <c r="E17" i="5" s="1"/>
  <c r="C15" i="5"/>
  <c r="H17" i="5"/>
  <c r="E21" i="5" s="1"/>
  <c r="D16" i="8"/>
</calcChain>
</file>

<file path=xl/sharedStrings.xml><?xml version="1.0" encoding="utf-8"?>
<sst xmlns="http://schemas.openxmlformats.org/spreadsheetml/2006/main" count="430" uniqueCount="155">
  <si>
    <t>El siguiente análisis, se realizará teniendo en cuenta la producción de 3 diferentes productos:</t>
  </si>
  <si>
    <t>1. Baldosas con un dimensionamiento de 33.15 x 30.15 cm</t>
  </si>
  <si>
    <t>2. Baldosas con un dimensionamiento de 60 x 120 cm</t>
  </si>
  <si>
    <t>3. Baldosas con un dimensionamiento de 34 x 67 cm</t>
  </si>
  <si>
    <t xml:space="preserve">Cabe resaltar, que algunos de los datos necesarios para el respectivo análisis se asumieron o se aproximaron dado que la información encontrada fue escasa.  </t>
  </si>
  <si>
    <t>Eficiencia (Optimización)</t>
  </si>
  <si>
    <t>Eficacia (Logro)</t>
  </si>
  <si>
    <t>Productividad (resultados vs recursos)</t>
  </si>
  <si>
    <t>Rentabilidad (beneficio vs inversión)</t>
  </si>
  <si>
    <t>Competividad (calidad vs precio)</t>
  </si>
  <si>
    <t>Despedricios</t>
  </si>
  <si>
    <t>Cantidad de defecto</t>
  </si>
  <si>
    <t>MTTR</t>
  </si>
  <si>
    <t>MTBF</t>
  </si>
  <si>
    <t>Baldosas 33.15x33.15 cm</t>
  </si>
  <si>
    <t>Baldosas 60x120 cm</t>
  </si>
  <si>
    <t>Baldosas 34x67 cm</t>
  </si>
  <si>
    <t>Datos del 2024 (Automatizada)</t>
  </si>
  <si>
    <t>Con producción anual de 3'5 (dato tomado de página oficial)</t>
  </si>
  <si>
    <t>Materia Prima inicial</t>
  </si>
  <si>
    <t>m^2</t>
  </si>
  <si>
    <t>Medida de baldosa (33.15x33.15) cm</t>
  </si>
  <si>
    <t>Medida de baldosa (60x120) cm</t>
  </si>
  <si>
    <t>Medida de baldosa (34x67) cm</t>
  </si>
  <si>
    <t>Producción anual de baldosas</t>
  </si>
  <si>
    <t>Unidades</t>
  </si>
  <si>
    <t>Producción mensual de baldosas (baldosas/mes)
Trabajan 10 meses/año</t>
  </si>
  <si>
    <t>Producción semanal</t>
  </si>
  <si>
    <t xml:space="preserve">Producción diaria de baldosas (baldosas/día)
</t>
  </si>
  <si>
    <t>Datos del 2015 (Manual)</t>
  </si>
  <si>
    <t>Con producción anual de 2'0 (dato tomado de video)</t>
  </si>
  <si>
    <t>Producción mensual de baldosas (baldosas/mes)</t>
  </si>
  <si>
    <t>Producción diaria de baldosas (baldosas/día)</t>
  </si>
  <si>
    <t>Se espera un aumento de más de 10 mil unidades por día</t>
  </si>
  <si>
    <t>Se espera un aumento de más de 2 mil unidades por día</t>
  </si>
  <si>
    <t xml:space="preserve">Se espera un aumento de más de 5 mil unidades por día </t>
  </si>
  <si>
    <t>KPI 1: Unidades Producidas por día</t>
  </si>
  <si>
    <t>Planta actual</t>
  </si>
  <si>
    <t>Planta automatizada</t>
  </si>
  <si>
    <t>Porcentaje KPI</t>
  </si>
  <si>
    <t>Se pretender obtener un incremento de 42% de producción</t>
  </si>
  <si>
    <t>KPI 2: Costo por Unidad</t>
  </si>
  <si>
    <t>Comparar peso producción/peso inicial</t>
  </si>
  <si>
    <t>Comparar ganancia/inversión (materia prima)</t>
  </si>
  <si>
    <t>Materia Prima - Composición de Baldosas</t>
  </si>
  <si>
    <t xml:space="preserve">Material </t>
  </si>
  <si>
    <t>Precio</t>
  </si>
  <si>
    <t>Composición</t>
  </si>
  <si>
    <t>25 Kg Arcilla</t>
  </si>
  <si>
    <t>25 Kg Feldespato</t>
  </si>
  <si>
    <t xml:space="preserve">25 Kg Aditivo Cerámico </t>
  </si>
  <si>
    <t xml:space="preserve">25 Kg Esmalte </t>
  </si>
  <si>
    <t>https://www.paratureforma.com/coleccion-quartz-de-gayafores/Quartz-Pearl-antislip-largo-Gayafores?search_query=gayafores</t>
  </si>
  <si>
    <t>https://www.azulejosindigar.es/tienda-online/manufacturer/gayafores.html</t>
  </si>
  <si>
    <t>Baldosa Gayafores Base Natural 33.15 x 33.15 cm</t>
  </si>
  <si>
    <t>Baldosa Gayafores Base Natural 60 x 120 cm</t>
  </si>
  <si>
    <t>Baldosa Gayafores Base Natural 34 x 67 cm</t>
  </si>
  <si>
    <t>Unidades producidas por día</t>
  </si>
  <si>
    <t>Automatizada</t>
  </si>
  <si>
    <t>Actual</t>
  </si>
  <si>
    <t>Ganancia por Unidad</t>
  </si>
  <si>
    <t>Área</t>
  </si>
  <si>
    <t>Área caja (12 unidades)</t>
  </si>
  <si>
    <t>Área caja (2 unidades)</t>
  </si>
  <si>
    <t>Área caja (6 unidades)</t>
  </si>
  <si>
    <t>Unidades/caja</t>
  </si>
  <si>
    <t>Precio de caja</t>
  </si>
  <si>
    <t>Euros</t>
  </si>
  <si>
    <t>Precio Unidad</t>
  </si>
  <si>
    <t>Precio de venta</t>
  </si>
  <si>
    <t>Peso Unidad</t>
  </si>
  <si>
    <t>Kg</t>
  </si>
  <si>
    <t>Peso x composición</t>
  </si>
  <si>
    <t>Arcilla</t>
  </si>
  <si>
    <t>Feldespato</t>
  </si>
  <si>
    <t xml:space="preserve">Aditivo Cerámico </t>
  </si>
  <si>
    <t xml:space="preserve">Esmalte </t>
  </si>
  <si>
    <t>Precio de inversión</t>
  </si>
  <si>
    <t>KPI 2: Eficiencia Económica</t>
  </si>
  <si>
    <t>Eficiencia física: no se tienen datos</t>
  </si>
  <si>
    <t>Eficiencia Económica deseada</t>
  </si>
  <si>
    <t>Se reduce mano de obra..)</t>
  </si>
  <si>
    <t>Eficiencia Económica real</t>
  </si>
  <si>
    <t>KPI2 (Ee)</t>
  </si>
  <si>
    <t>Ganancia del 20% por unidad en cada una de los tres tipos de baldosas</t>
  </si>
  <si>
    <t>12 unidades = 1 lote</t>
  </si>
  <si>
    <t>Horas día</t>
  </si>
  <si>
    <t>horas</t>
  </si>
  <si>
    <t>Lotes/día</t>
  </si>
  <si>
    <t>lote/hora</t>
  </si>
  <si>
    <t>lote/minuto</t>
  </si>
  <si>
    <t xml:space="preserve">Tiempo real ciclo/lote </t>
  </si>
  <si>
    <t>minutos</t>
  </si>
  <si>
    <t>Productividad</t>
  </si>
  <si>
    <t>Takt Time (Minutos)</t>
  </si>
  <si>
    <t xml:space="preserve">Tiempo diseñado ciclo/lote </t>
  </si>
  <si>
    <t>unidades lote</t>
  </si>
  <si>
    <t>unidades</t>
  </si>
  <si>
    <t>KPI3 (Takt TIme)</t>
  </si>
  <si>
    <t>2 unidades = 1 lote</t>
  </si>
  <si>
    <t>KPI3</t>
  </si>
  <si>
    <t>6 unidades = 1 lote</t>
  </si>
  <si>
    <t>KPI3 (Takt Time)</t>
  </si>
  <si>
    <t>Planta Automatizada</t>
  </si>
  <si>
    <t>Cálculo del OEE</t>
  </si>
  <si>
    <t>Frecuencia de Mantenimiento Preventivo
MP (Horas)</t>
  </si>
  <si>
    <t>Duración de Mantenimiento (Minutos)</t>
  </si>
  <si>
    <t>Máquina Impresión</t>
  </si>
  <si>
    <t>Producto</t>
  </si>
  <si>
    <t>33.15x33.15</t>
  </si>
  <si>
    <t>60x120</t>
  </si>
  <si>
    <t>34x67</t>
  </si>
  <si>
    <t>Qualitrón</t>
  </si>
  <si>
    <t>Semana</t>
  </si>
  <si>
    <t>IRB140</t>
  </si>
  <si>
    <t>#Turno</t>
  </si>
  <si>
    <t>Mantenimiento General</t>
  </si>
  <si>
    <t>Horas</t>
  </si>
  <si>
    <t xml:space="preserve">Turno </t>
  </si>
  <si>
    <t>Min</t>
  </si>
  <si>
    <t>Comida</t>
  </si>
  <si>
    <t>Otros Paros Programados
Mantenimiento Correctivo</t>
  </si>
  <si>
    <t>Total turno</t>
  </si>
  <si>
    <t>Tiempo Muerto</t>
  </si>
  <si>
    <t>Pz/Min, PPM</t>
  </si>
  <si>
    <t>Vel Ideal</t>
  </si>
  <si>
    <t>Pz</t>
  </si>
  <si>
    <t>Piezas Prod. Totales</t>
  </si>
  <si>
    <t>Piezas Rechazadas</t>
  </si>
  <si>
    <t>%</t>
  </si>
  <si>
    <t>Disponibilidad</t>
  </si>
  <si>
    <t>Desempeño</t>
  </si>
  <si>
    <t>Calidad</t>
  </si>
  <si>
    <t>OEE</t>
  </si>
  <si>
    <t>Planta Manual</t>
  </si>
  <si>
    <t>Kg de material necesarios</t>
  </si>
  <si>
    <t>https://roca.com.co/wp-content/uploads/2021/06/Baldosa-de-grano-terrazo-30x30-pulida.pdf</t>
  </si>
  <si>
    <t>Densidad promedio</t>
  </si>
  <si>
    <t>Kg/m3</t>
  </si>
  <si>
    <t>Densidad para calculos</t>
  </si>
  <si>
    <t>kg/cm3</t>
  </si>
  <si>
    <t>Grosor</t>
  </si>
  <si>
    <t>cm</t>
  </si>
  <si>
    <t>Volumen (producto1)</t>
  </si>
  <si>
    <t>cm3</t>
  </si>
  <si>
    <t>Volumen (producto 2)</t>
  </si>
  <si>
    <t>Volumen (producto 3)</t>
  </si>
  <si>
    <t>PreAutomatización</t>
  </si>
  <si>
    <t>VSM automatizado</t>
  </si>
  <si>
    <t>Producto 1</t>
  </si>
  <si>
    <t>Mes</t>
  </si>
  <si>
    <t>Toneladas</t>
  </si>
  <si>
    <t>Producto 2</t>
  </si>
  <si>
    <t>Producto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</si>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</sst>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 $]#,##0"/>
    <numFmt numFmtId="165" formatCode="_-&quot;$&quot;\ * #,##0.00_-;\-&quot;$&quot;\ * #,##0.00_-;_-&quot;$&quot;\ * &quot;-&quot;??_-;_-@"/>
    <numFmt numFmtId="166" formatCode="0.0"/>
    <numFmt numFmtId="167" formatCode="0.000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11"/>
      <name val="Aptos Narrow"/>
      <family val="2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u/>
      <sz val="11"/>
      <color rgb="FF0000FF"/>
      <name val="Aptos Narrow"/>
      <family val="2"/>
    </font>
    <font>
      <u/>
      <sz val="11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4" xfId="0" applyFont="1" applyBorder="1"/>
    <xf numFmtId="3" fontId="6" fillId="0" borderId="4" xfId="0" applyNumberFormat="1" applyFont="1" applyBorder="1"/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/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3" fontId="6" fillId="3" borderId="4" xfId="0" applyNumberFormat="1" applyFont="1" applyFill="1" applyBorder="1"/>
    <xf numFmtId="0" fontId="4" fillId="0" borderId="0" xfId="0" applyFont="1"/>
    <xf numFmtId="0" fontId="8" fillId="0" borderId="0" xfId="0" applyFont="1"/>
    <xf numFmtId="0" fontId="9" fillId="0" borderId="0" xfId="0" applyFont="1"/>
    <xf numFmtId="0" fontId="2" fillId="0" borderId="4" xfId="0" applyFont="1" applyBorder="1"/>
    <xf numFmtId="3" fontId="1" fillId="0" borderId="4" xfId="0" applyNumberFormat="1" applyFont="1" applyBorder="1"/>
    <xf numFmtId="10" fontId="1" fillId="0" borderId="0" xfId="0" applyNumberFormat="1" applyFont="1"/>
    <xf numFmtId="164" fontId="1" fillId="0" borderId="0" xfId="0" applyNumberFormat="1" applyFont="1"/>
    <xf numFmtId="0" fontId="1" fillId="0" borderId="4" xfId="0" applyFont="1" applyBorder="1"/>
    <xf numFmtId="0" fontId="9" fillId="0" borderId="4" xfId="0" applyFont="1" applyBorder="1"/>
    <xf numFmtId="10" fontId="1" fillId="3" borderId="4" xfId="0" applyNumberFormat="1" applyFont="1" applyFill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5" fontId="6" fillId="0" borderId="4" xfId="0" applyNumberFormat="1" applyFont="1" applyBorder="1"/>
    <xf numFmtId="9" fontId="6" fillId="0" borderId="4" xfId="0" applyNumberFormat="1" applyFont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2" fillId="0" borderId="4" xfId="0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1" fontId="6" fillId="0" borderId="4" xfId="0" applyNumberFormat="1" applyFont="1" applyBorder="1"/>
    <xf numFmtId="2" fontId="7" fillId="0" borderId="4" xfId="0" applyNumberFormat="1" applyFont="1" applyBorder="1"/>
    <xf numFmtId="165" fontId="7" fillId="0" borderId="4" xfId="0" applyNumberFormat="1" applyFont="1" applyBorder="1"/>
    <xf numFmtId="165" fontId="6" fillId="4" borderId="4" xfId="0" applyNumberFormat="1" applyFont="1" applyFill="1" applyBorder="1"/>
    <xf numFmtId="10" fontId="8" fillId="3" borderId="4" xfId="0" applyNumberFormat="1" applyFont="1" applyFill="1" applyBorder="1" applyAlignment="1">
      <alignment horizontal="center" vertical="center"/>
    </xf>
    <xf numFmtId="10" fontId="8" fillId="4" borderId="4" xfId="0" applyNumberFormat="1" applyFont="1" applyFill="1" applyBorder="1" applyAlignment="1">
      <alignment horizontal="center" vertical="center"/>
    </xf>
    <xf numFmtId="10" fontId="8" fillId="3" borderId="4" xfId="0" applyNumberFormat="1" applyFont="1" applyFill="1" applyBorder="1"/>
    <xf numFmtId="10" fontId="1" fillId="0" borderId="4" xfId="0" applyNumberFormat="1" applyFont="1" applyBorder="1"/>
    <xf numFmtId="0" fontId="9" fillId="3" borderId="4" xfId="0" applyFont="1" applyFill="1" applyBorder="1"/>
    <xf numFmtId="0" fontId="1" fillId="0" borderId="5" xfId="0" applyFont="1" applyBorder="1"/>
    <xf numFmtId="0" fontId="2" fillId="0" borderId="4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10" xfId="0" applyFont="1" applyBorder="1"/>
    <xf numFmtId="0" fontId="1" fillId="0" borderId="9" xfId="0" applyFont="1" applyBorder="1"/>
    <xf numFmtId="0" fontId="2" fillId="0" borderId="11" xfId="0" applyFont="1" applyBorder="1"/>
    <xf numFmtId="0" fontId="1" fillId="0" borderId="4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/>
    <xf numFmtId="0" fontId="1" fillId="0" borderId="11" xfId="0" applyFont="1" applyBorder="1"/>
    <xf numFmtId="166" fontId="2" fillId="0" borderId="11" xfId="0" applyNumberFormat="1" applyFont="1" applyBorder="1"/>
    <xf numFmtId="1" fontId="1" fillId="0" borderId="11" xfId="0" applyNumberFormat="1" applyFont="1" applyBorder="1"/>
    <xf numFmtId="0" fontId="1" fillId="0" borderId="13" xfId="0" applyFont="1" applyBorder="1" applyAlignment="1">
      <alignment horizontal="center"/>
    </xf>
    <xf numFmtId="0" fontId="1" fillId="0" borderId="8" xfId="0" applyFont="1" applyBorder="1"/>
    <xf numFmtId="1" fontId="1" fillId="0" borderId="14" xfId="0" applyNumberFormat="1" applyFont="1" applyBorder="1"/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10" fontId="1" fillId="0" borderId="10" xfId="0" applyNumberFormat="1" applyFont="1" applyBorder="1"/>
    <xf numFmtId="10" fontId="1" fillId="0" borderId="11" xfId="0" applyNumberFormat="1" applyFont="1" applyBorder="1"/>
    <xf numFmtId="10" fontId="1" fillId="0" borderId="14" xfId="0" applyNumberFormat="1" applyFont="1" applyBorder="1"/>
    <xf numFmtId="9" fontId="1" fillId="3" borderId="14" xfId="0" applyNumberFormat="1" applyFont="1" applyFill="1" applyBorder="1"/>
    <xf numFmtId="167" fontId="1" fillId="0" borderId="4" xfId="0" applyNumberFormat="1" applyFont="1" applyBorder="1"/>
    <xf numFmtId="2" fontId="1" fillId="0" borderId="4" xfId="0" applyNumberFormat="1" applyFont="1" applyBorder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2" fillId="0" borderId="0" xfId="0" applyFont="1"/>
    <xf numFmtId="0" fontId="0" fillId="0" borderId="0" xfId="0"/>
    <xf numFmtId="0" fontId="1" fillId="5" borderId="6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5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942975</xdr:colOff>
      <xdr:row>9</xdr:row>
      <xdr:rowOff>9525</xdr:rowOff>
    </xdr:from>
    <xdr:ext cx="3705225" cy="1304925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9</xdr:row>
      <xdr:rowOff>9525</xdr:rowOff>
    </xdr:from>
    <xdr:ext cx="4219575" cy="13049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619125</xdr:colOff>
      <xdr:row>9</xdr:row>
      <xdr:rowOff>9525</xdr:rowOff>
    </xdr:from>
    <xdr:ext cx="4019550" cy="1304925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304800" cy="304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428625</xdr:colOff>
      <xdr:row>27</xdr:row>
      <xdr:rowOff>133350</xdr:rowOff>
    </xdr:from>
    <xdr:ext cx="6391275" cy="1504950"/>
    <xdr:pic>
      <xdr:nvPicPr>
        <xdr:cNvPr id="2" name="image5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400050</xdr:colOff>
      <xdr:row>27</xdr:row>
      <xdr:rowOff>133350</xdr:rowOff>
    </xdr:from>
    <xdr:ext cx="3952875" cy="1762125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13</xdr:row>
      <xdr:rowOff>171450</xdr:rowOff>
    </xdr:from>
    <xdr:ext cx="3705225" cy="1304925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895350</xdr:colOff>
      <xdr:row>12</xdr:row>
      <xdr:rowOff>161925</xdr:rowOff>
    </xdr:from>
    <xdr:ext cx="1695450" cy="1495425"/>
    <xdr:pic>
      <xdr:nvPicPr>
        <xdr:cNvPr id="3" name="image6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609600</xdr:colOff>
      <xdr:row>12</xdr:row>
      <xdr:rowOff>161925</xdr:rowOff>
    </xdr:from>
    <xdr:ext cx="4219575" cy="1304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552450</xdr:colOff>
      <xdr:row>11</xdr:row>
      <xdr:rowOff>190500</xdr:rowOff>
    </xdr:from>
    <xdr:ext cx="4019550" cy="130492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247650</xdr:colOff>
      <xdr:row>12</xdr:row>
      <xdr:rowOff>19050</xdr:rowOff>
    </xdr:from>
    <xdr:ext cx="2162175" cy="1495425"/>
    <xdr:pic>
      <xdr:nvPicPr>
        <xdr:cNvPr id="6" name="image7.png" title="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171450</xdr:colOff>
      <xdr:row>11</xdr:row>
      <xdr:rowOff>114300</xdr:rowOff>
    </xdr:from>
    <xdr:ext cx="1543050" cy="1457325"/>
    <xdr:pic>
      <xdr:nvPicPr>
        <xdr:cNvPr id="7" name="image8.png" title="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1409700</xdr:colOff>
      <xdr:row>2</xdr:row>
      <xdr:rowOff>85725</xdr:rowOff>
    </xdr:from>
    <xdr:ext cx="2809875" cy="2705100"/>
    <xdr:pic>
      <xdr:nvPicPr>
        <xdr:cNvPr id="2" name="image9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1409700</xdr:colOff>
      <xdr:row>2</xdr:row>
      <xdr:rowOff>85725</xdr:rowOff>
    </xdr:from>
    <xdr:ext cx="2809875" cy="2705100"/>
    <xdr:pic>
      <xdr:nvPicPr>
        <xdr:cNvPr id="2" name="image9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1409700</xdr:colOff>
      <xdr:row>2</xdr:row>
      <xdr:rowOff>85725</xdr:rowOff>
    </xdr:from>
    <xdr:ext cx="2809875" cy="2705100"/>
    <xdr:pic>
      <xdr:nvPicPr>
        <xdr:cNvPr id="2" name="image9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azulejosindigar.es/tienda-online/manufacturer/gayafores.html" TargetMode="External"/><Relationship Id="rId1" Type="http://schemas.openxmlformats.org/officeDocument/2006/relationships/hyperlink" Target="https://www.paratureforma.com/coleccion-quartz-de-gayafores/Quartz-Pearl-antislip-largo-Gayafores?search_query=gayafor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roca.com.co/wp-content/uploads/2021/06/Baldosa-de-grano-terrazo-30x30-pulid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B30"/>
  <sheetViews>
    <sheetView workbookViewId="0"/>
  </sheetViews>
  <sheetFormatPr defaultColWidth="12.6640625" defaultRowHeight="15" customHeight="1" x14ac:dyDescent="0.3"/>
  <sheetData>
    <row r="2" spans="2:2" x14ac:dyDescent="0.3">
      <c r="B2" s="1" t="s">
        <v>0</v>
      </c>
    </row>
    <row r="4" spans="2:2" x14ac:dyDescent="0.3">
      <c r="B4" s="2" t="s">
        <v>1</v>
      </c>
    </row>
    <row r="5" spans="2:2" x14ac:dyDescent="0.3">
      <c r="B5" s="2" t="s">
        <v>2</v>
      </c>
    </row>
    <row r="6" spans="2:2" x14ac:dyDescent="0.3">
      <c r="B6" s="2" t="s">
        <v>3</v>
      </c>
    </row>
    <row r="8" spans="2:2" x14ac:dyDescent="0.3">
      <c r="B8" s="1" t="s">
        <v>4</v>
      </c>
    </row>
    <row r="21" spans="2:2" x14ac:dyDescent="0.3">
      <c r="B21" s="1" t="s">
        <v>5</v>
      </c>
    </row>
    <row r="22" spans="2:2" x14ac:dyDescent="0.3">
      <c r="B22" s="1" t="s">
        <v>6</v>
      </c>
    </row>
    <row r="23" spans="2:2" x14ac:dyDescent="0.3">
      <c r="B23" s="1" t="s">
        <v>7</v>
      </c>
    </row>
    <row r="25" spans="2:2" x14ac:dyDescent="0.3">
      <c r="B25" s="1" t="s">
        <v>8</v>
      </c>
    </row>
    <row r="26" spans="2:2" x14ac:dyDescent="0.3">
      <c r="B26" s="1" t="s">
        <v>9</v>
      </c>
    </row>
    <row r="27" spans="2:2" x14ac:dyDescent="0.3">
      <c r="B27" s="1" t="s">
        <v>10</v>
      </c>
    </row>
    <row r="28" spans="2:2" x14ac:dyDescent="0.3">
      <c r="B28" s="1" t="s">
        <v>11</v>
      </c>
    </row>
    <row r="29" spans="2:2" x14ac:dyDescent="0.3">
      <c r="B29" s="1" t="s">
        <v>12</v>
      </c>
    </row>
    <row r="30" spans="2:2" x14ac:dyDescent="0.3">
      <c r="B30" s="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08"/>
  <sheetViews>
    <sheetView workbookViewId="0"/>
  </sheetViews>
  <sheetFormatPr defaultColWidth="12.6640625" defaultRowHeight="15" customHeight="1" x14ac:dyDescent="0.3"/>
  <cols>
    <col min="1" max="1" width="8.6640625" customWidth="1"/>
    <col min="2" max="2" width="31.109375" customWidth="1"/>
    <col min="3" max="3" width="17.44140625" customWidth="1"/>
    <col min="4" max="4" width="13.33203125" customWidth="1"/>
    <col min="5" max="6" width="8.6640625" customWidth="1"/>
    <col min="7" max="7" width="31.21875" customWidth="1"/>
    <col min="8" max="8" width="19" customWidth="1"/>
    <col min="9" max="9" width="11.77734375" customWidth="1"/>
    <col min="10" max="12" width="8.6640625" customWidth="1"/>
    <col min="13" max="13" width="31.21875" customWidth="1"/>
    <col min="14" max="14" width="16.44140625" customWidth="1"/>
    <col min="15" max="15" width="20.88671875" customWidth="1"/>
    <col min="16" max="26" width="8.6640625" customWidth="1"/>
  </cols>
  <sheetData>
    <row r="1" spans="2:15" ht="14.25" customHeight="1" x14ac:dyDescent="0.3">
      <c r="B1" s="3"/>
    </row>
    <row r="2" spans="2:15" ht="14.25" customHeight="1" x14ac:dyDescent="0.3">
      <c r="B2" s="67" t="s">
        <v>14</v>
      </c>
      <c r="C2" s="68"/>
      <c r="D2" s="69"/>
      <c r="G2" s="67" t="s">
        <v>15</v>
      </c>
      <c r="H2" s="68"/>
      <c r="I2" s="69"/>
      <c r="M2" s="67" t="s">
        <v>16</v>
      </c>
      <c r="N2" s="68"/>
      <c r="O2" s="69"/>
    </row>
    <row r="3" spans="2:15" ht="14.25" customHeight="1" x14ac:dyDescent="0.3">
      <c r="B3" s="4"/>
      <c r="C3" s="4"/>
      <c r="D3" s="4"/>
      <c r="G3" s="4"/>
      <c r="H3" s="4"/>
      <c r="I3" s="4"/>
      <c r="M3" s="4"/>
      <c r="N3" s="4"/>
      <c r="O3" s="4"/>
    </row>
    <row r="4" spans="2:15" ht="14.25" customHeight="1" x14ac:dyDescent="0.3">
      <c r="B4" s="3" t="s">
        <v>17</v>
      </c>
      <c r="C4" s="2" t="s">
        <v>18</v>
      </c>
      <c r="G4" s="3" t="s">
        <v>17</v>
      </c>
      <c r="H4" s="2" t="s">
        <v>18</v>
      </c>
      <c r="M4" s="3" t="s">
        <v>17</v>
      </c>
      <c r="N4" s="2" t="s">
        <v>18</v>
      </c>
    </row>
    <row r="5" spans="2:15" ht="14.25" customHeight="1" x14ac:dyDescent="0.3">
      <c r="B5" s="5" t="s">
        <v>19</v>
      </c>
      <c r="C5" s="6">
        <f>3500000*40%</f>
        <v>1400000</v>
      </c>
      <c r="D5" s="7" t="s">
        <v>20</v>
      </c>
      <c r="G5" s="5" t="s">
        <v>19</v>
      </c>
      <c r="H5" s="6">
        <f>3500000*30%</f>
        <v>1050000</v>
      </c>
      <c r="I5" s="7" t="s">
        <v>20</v>
      </c>
      <c r="M5" s="5" t="s">
        <v>19</v>
      </c>
      <c r="N5" s="6">
        <f>3500000*30%</f>
        <v>1050000</v>
      </c>
      <c r="O5" s="7" t="s">
        <v>20</v>
      </c>
    </row>
    <row r="6" spans="2:15" ht="14.25" customHeight="1" x14ac:dyDescent="0.3">
      <c r="B6" s="5" t="s">
        <v>21</v>
      </c>
      <c r="C6" s="8">
        <f>(33.15*33.15)*10^(-4)</f>
        <v>0.10989225</v>
      </c>
      <c r="D6" s="7" t="s">
        <v>20</v>
      </c>
      <c r="G6" s="9" t="s">
        <v>22</v>
      </c>
      <c r="H6" s="8">
        <f>(60*120)*10^(-4)</f>
        <v>0.72000000000000008</v>
      </c>
      <c r="I6" s="7" t="s">
        <v>20</v>
      </c>
      <c r="M6" s="9" t="s">
        <v>23</v>
      </c>
      <c r="N6" s="8">
        <f>(34*67)*10^(-4)</f>
        <v>0.2278</v>
      </c>
      <c r="O6" s="7" t="s">
        <v>20</v>
      </c>
    </row>
    <row r="7" spans="2:15" ht="14.25" customHeight="1" x14ac:dyDescent="0.3">
      <c r="B7" s="5"/>
      <c r="C7" s="5"/>
      <c r="D7" s="7"/>
      <c r="G7" s="5"/>
      <c r="H7" s="5"/>
      <c r="I7" s="7"/>
      <c r="M7" s="5"/>
      <c r="N7" s="5"/>
      <c r="O7" s="7"/>
    </row>
    <row r="8" spans="2:15" ht="14.25" customHeight="1" x14ac:dyDescent="0.3">
      <c r="B8" s="5" t="s">
        <v>24</v>
      </c>
      <c r="C8" s="6">
        <f>C5/C6</f>
        <v>12739751.893331878</v>
      </c>
      <c r="D8" s="7" t="s">
        <v>25</v>
      </c>
      <c r="G8" s="5" t="s">
        <v>24</v>
      </c>
      <c r="H8" s="6">
        <f>H5/H6</f>
        <v>1458333.3333333333</v>
      </c>
      <c r="I8" s="7" t="s">
        <v>25</v>
      </c>
      <c r="M8" s="5" t="s">
        <v>24</v>
      </c>
      <c r="N8" s="6">
        <f>N5/N6</f>
        <v>4609306.4091308163</v>
      </c>
      <c r="O8" s="7" t="s">
        <v>25</v>
      </c>
    </row>
    <row r="9" spans="2:15" ht="14.25" customHeight="1" x14ac:dyDescent="0.3">
      <c r="B9" s="10" t="s">
        <v>26</v>
      </c>
      <c r="C9" s="6">
        <f>C8/10</f>
        <v>1273975.1893331879</v>
      </c>
      <c r="D9" s="7" t="s">
        <v>25</v>
      </c>
      <c r="G9" s="10" t="s">
        <v>26</v>
      </c>
      <c r="H9" s="6">
        <f>H8/10</f>
        <v>145833.33333333331</v>
      </c>
      <c r="I9" s="7" t="s">
        <v>25</v>
      </c>
      <c r="M9" s="10" t="s">
        <v>26</v>
      </c>
      <c r="N9" s="6">
        <f>N8/10</f>
        <v>460930.64091308165</v>
      </c>
      <c r="O9" s="7" t="s">
        <v>25</v>
      </c>
    </row>
    <row r="10" spans="2:15" ht="14.25" customHeight="1" x14ac:dyDescent="0.3">
      <c r="B10" s="10" t="s">
        <v>27</v>
      </c>
      <c r="C10" s="6">
        <f>C9/4.34</f>
        <v>293542.67035326909</v>
      </c>
      <c r="D10" s="11" t="s">
        <v>25</v>
      </c>
      <c r="G10" s="10" t="s">
        <v>27</v>
      </c>
      <c r="H10" s="6">
        <f>H9/4.34</f>
        <v>33602.150537634407</v>
      </c>
      <c r="I10" s="11" t="s">
        <v>25</v>
      </c>
      <c r="M10" s="10" t="s">
        <v>27</v>
      </c>
      <c r="N10" s="6">
        <f>N9/4.34</f>
        <v>106205.21680024923</v>
      </c>
      <c r="O10" s="11" t="s">
        <v>25</v>
      </c>
    </row>
    <row r="11" spans="2:15" ht="14.25" customHeight="1" x14ac:dyDescent="0.3">
      <c r="B11" s="10" t="s">
        <v>28</v>
      </c>
      <c r="C11" s="12">
        <f>C9/30</f>
        <v>42465.839644439598</v>
      </c>
      <c r="D11" s="7" t="s">
        <v>25</v>
      </c>
      <c r="G11" s="10" t="s">
        <v>28</v>
      </c>
      <c r="H11" s="12">
        <f>H9/30</f>
        <v>4861.1111111111104</v>
      </c>
      <c r="I11" s="7" t="s">
        <v>25</v>
      </c>
      <c r="M11" s="10" t="s">
        <v>28</v>
      </c>
      <c r="N11" s="12">
        <f>N9/30</f>
        <v>15364.354697102721</v>
      </c>
      <c r="O11" s="7" t="s">
        <v>25</v>
      </c>
    </row>
    <row r="12" spans="2:15" ht="14.25" customHeight="1" x14ac:dyDescent="0.3"/>
    <row r="13" spans="2:15" ht="14.25" customHeight="1" x14ac:dyDescent="0.3"/>
    <row r="14" spans="2:15" ht="14.25" customHeight="1" x14ac:dyDescent="0.3">
      <c r="B14" s="13" t="s">
        <v>29</v>
      </c>
      <c r="C14" s="2" t="s">
        <v>30</v>
      </c>
      <c r="G14" s="13" t="s">
        <v>29</v>
      </c>
      <c r="H14" s="2" t="s">
        <v>30</v>
      </c>
      <c r="M14" s="13" t="s">
        <v>29</v>
      </c>
      <c r="N14" s="2" t="s">
        <v>30</v>
      </c>
    </row>
    <row r="15" spans="2:15" ht="14.25" customHeight="1" x14ac:dyDescent="0.3">
      <c r="B15" s="5" t="s">
        <v>19</v>
      </c>
      <c r="C15" s="6">
        <f>2000000*40%</f>
        <v>800000</v>
      </c>
      <c r="D15" s="7" t="s">
        <v>20</v>
      </c>
      <c r="G15" s="5" t="s">
        <v>19</v>
      </c>
      <c r="H15" s="6">
        <f>2000000*30%</f>
        <v>600000</v>
      </c>
      <c r="I15" s="7" t="s">
        <v>20</v>
      </c>
      <c r="M15" s="5" t="s">
        <v>19</v>
      </c>
      <c r="N15" s="6">
        <f>2000000*30%</f>
        <v>600000</v>
      </c>
      <c r="O15" s="7" t="s">
        <v>20</v>
      </c>
    </row>
    <row r="16" spans="2:15" ht="14.25" customHeight="1" x14ac:dyDescent="0.3">
      <c r="B16" s="5" t="s">
        <v>21</v>
      </c>
      <c r="C16" s="8">
        <f>(33.15*33.15)*10^(-4)</f>
        <v>0.10989225</v>
      </c>
      <c r="D16" s="7" t="s">
        <v>20</v>
      </c>
      <c r="G16" s="9" t="s">
        <v>22</v>
      </c>
      <c r="H16" s="8">
        <f>(60*120)*10^(-4)</f>
        <v>0.72000000000000008</v>
      </c>
      <c r="I16" s="7" t="s">
        <v>20</v>
      </c>
      <c r="M16" s="9" t="s">
        <v>23</v>
      </c>
      <c r="N16" s="8">
        <f>(34*67)*10^(-4)</f>
        <v>0.2278</v>
      </c>
      <c r="O16" s="7" t="s">
        <v>20</v>
      </c>
    </row>
    <row r="17" spans="2:15" ht="14.25" customHeight="1" x14ac:dyDescent="0.3">
      <c r="B17" s="5"/>
      <c r="C17" s="5"/>
      <c r="D17" s="7"/>
      <c r="G17" s="5"/>
      <c r="H17" s="5"/>
      <c r="I17" s="7"/>
      <c r="M17" s="5"/>
      <c r="N17" s="5"/>
      <c r="O17" s="7"/>
    </row>
    <row r="18" spans="2:15" ht="14.25" customHeight="1" x14ac:dyDescent="0.3">
      <c r="B18" s="5" t="s">
        <v>24</v>
      </c>
      <c r="C18" s="6">
        <f>C15/C16</f>
        <v>7279858.2247610725</v>
      </c>
      <c r="D18" s="7" t="s">
        <v>25</v>
      </c>
      <c r="G18" s="5" t="s">
        <v>24</v>
      </c>
      <c r="H18" s="6">
        <f>H15/H16</f>
        <v>833333.33333333326</v>
      </c>
      <c r="I18" s="7" t="s">
        <v>25</v>
      </c>
      <c r="M18" s="5" t="s">
        <v>24</v>
      </c>
      <c r="N18" s="6">
        <f>N15/N16</f>
        <v>2633889.3766461806</v>
      </c>
      <c r="O18" s="7" t="s">
        <v>25</v>
      </c>
    </row>
    <row r="19" spans="2:15" ht="14.25" customHeight="1" x14ac:dyDescent="0.3">
      <c r="B19" s="10" t="s">
        <v>31</v>
      </c>
      <c r="C19" s="6">
        <f>C18/10</f>
        <v>727985.82247610728</v>
      </c>
      <c r="D19" s="7" t="s">
        <v>25</v>
      </c>
      <c r="G19" s="10" t="s">
        <v>31</v>
      </c>
      <c r="H19" s="6">
        <f>H18/10</f>
        <v>83333.333333333328</v>
      </c>
      <c r="I19" s="7" t="s">
        <v>25</v>
      </c>
      <c r="M19" s="10" t="s">
        <v>31</v>
      </c>
      <c r="N19" s="6">
        <f>N18/10</f>
        <v>263388.93766461808</v>
      </c>
      <c r="O19" s="7" t="s">
        <v>25</v>
      </c>
    </row>
    <row r="20" spans="2:15" ht="14.25" customHeight="1" x14ac:dyDescent="0.3">
      <c r="B20" s="10" t="s">
        <v>27</v>
      </c>
      <c r="C20" s="6">
        <f>C19/4.34</f>
        <v>167738.66877329661</v>
      </c>
      <c r="D20" s="11" t="s">
        <v>25</v>
      </c>
      <c r="G20" s="10" t="s">
        <v>27</v>
      </c>
      <c r="H20" s="6">
        <f>H19/4.34</f>
        <v>19201.228878648231</v>
      </c>
      <c r="I20" s="11" t="s">
        <v>25</v>
      </c>
      <c r="M20" s="10" t="s">
        <v>27</v>
      </c>
      <c r="N20" s="6">
        <f>N19/4.34</f>
        <v>60688.695314428129</v>
      </c>
      <c r="O20" s="11" t="s">
        <v>25</v>
      </c>
    </row>
    <row r="21" spans="2:15" ht="14.25" customHeight="1" x14ac:dyDescent="0.3">
      <c r="B21" s="10" t="s">
        <v>32</v>
      </c>
      <c r="C21" s="12">
        <f>C19/30</f>
        <v>24266.194082536909</v>
      </c>
      <c r="D21" s="7" t="s">
        <v>25</v>
      </c>
      <c r="G21" s="10" t="s">
        <v>32</v>
      </c>
      <c r="H21" s="12">
        <f>H19/30</f>
        <v>2777.7777777777778</v>
      </c>
      <c r="I21" s="7" t="s">
        <v>25</v>
      </c>
      <c r="M21" s="10" t="s">
        <v>32</v>
      </c>
      <c r="N21" s="12">
        <f>N19/30</f>
        <v>8779.6312554872693</v>
      </c>
      <c r="O21" s="7" t="s">
        <v>25</v>
      </c>
    </row>
    <row r="22" spans="2:15" ht="14.25" customHeight="1" x14ac:dyDescent="0.3"/>
    <row r="23" spans="2:15" ht="14.25" customHeight="1" x14ac:dyDescent="0.3">
      <c r="B23" s="14" t="s">
        <v>33</v>
      </c>
      <c r="G23" s="14" t="s">
        <v>34</v>
      </c>
      <c r="M23" s="15" t="s">
        <v>35</v>
      </c>
    </row>
    <row r="24" spans="2:15" ht="14.25" customHeight="1" x14ac:dyDescent="0.3"/>
    <row r="25" spans="2:15" ht="14.25" customHeight="1" x14ac:dyDescent="0.3"/>
    <row r="26" spans="2:15" ht="14.25" customHeight="1" x14ac:dyDescent="0.3"/>
    <row r="27" spans="2:15" ht="14.25" customHeight="1" x14ac:dyDescent="0.3"/>
    <row r="28" spans="2:15" ht="14.25" customHeight="1" x14ac:dyDescent="0.3"/>
    <row r="29" spans="2:15" ht="14.25" customHeight="1" x14ac:dyDescent="0.3"/>
    <row r="30" spans="2:15" ht="14.25" customHeight="1" x14ac:dyDescent="0.3"/>
    <row r="31" spans="2:15" ht="14.25" customHeight="1" x14ac:dyDescent="0.3"/>
    <row r="32" spans="2:1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</sheetData>
  <mergeCells count="3">
    <mergeCell ref="B2:D2"/>
    <mergeCell ref="G2:I2"/>
    <mergeCell ref="M2:O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69"/>
  <sheetViews>
    <sheetView tabSelected="1" workbookViewId="0">
      <selection activeCell="I18" sqref="I18"/>
    </sheetView>
  </sheetViews>
  <sheetFormatPr defaultColWidth="12.6640625" defaultRowHeight="15" customHeight="1" x14ac:dyDescent="0.3"/>
  <cols>
    <col min="1" max="1" width="8.6640625" customWidth="1"/>
    <col min="2" max="2" width="20.33203125" customWidth="1"/>
    <col min="3" max="3" width="17.21875" customWidth="1"/>
    <col min="4" max="4" width="13" customWidth="1"/>
    <col min="5" max="5" width="12" customWidth="1"/>
    <col min="6" max="6" width="11" customWidth="1"/>
    <col min="7" max="7" width="8.6640625" customWidth="1"/>
    <col min="8" max="8" width="12.77734375" customWidth="1"/>
    <col min="9" max="9" width="8.6640625" customWidth="1"/>
    <col min="10" max="10" width="11.88671875" customWidth="1"/>
    <col min="11" max="26" width="8.6640625" customWidth="1"/>
  </cols>
  <sheetData>
    <row r="1" spans="1:8" ht="14.25" customHeight="1" x14ac:dyDescent="0.3">
      <c r="A1" s="14" t="s">
        <v>36</v>
      </c>
    </row>
    <row r="2" spans="1:8" ht="14.25" customHeight="1" x14ac:dyDescent="0.3"/>
    <row r="3" spans="1:8" ht="14.25" customHeight="1" x14ac:dyDescent="0.3">
      <c r="B3" s="16" t="s">
        <v>37</v>
      </c>
      <c r="C3" s="17">
        <f>'Producción Gayafores'!C21+'Producción Gayafores'!H21+'Producción Gayafores'!N21</f>
        <v>35823.603115801954</v>
      </c>
      <c r="D3" s="1" t="s">
        <v>25</v>
      </c>
      <c r="E3" s="18"/>
      <c r="H3" s="19">
        <f>C3*'KPI 2 Costo Unidad Ganancia'!E34</f>
        <v>282746743.49224585</v>
      </c>
    </row>
    <row r="4" spans="1:8" ht="14.25" customHeight="1" x14ac:dyDescent="0.3">
      <c r="B4" s="20" t="s">
        <v>38</v>
      </c>
      <c r="C4" s="17">
        <f>'Producción Gayafores'!C11+'Producción Gayafores'!H11+'Producción Gayafores'!N11</f>
        <v>62691.305452653425</v>
      </c>
      <c r="D4" s="1" t="s">
        <v>25</v>
      </c>
      <c r="H4" s="19">
        <f>C4*'KPI 2 Costo Unidad Ganancia'!E34</f>
        <v>494806801.11143035</v>
      </c>
    </row>
    <row r="5" spans="1:8" ht="14.25" customHeight="1" x14ac:dyDescent="0.3"/>
    <row r="6" spans="1:8" ht="14.25" customHeight="1" x14ac:dyDescent="0.3">
      <c r="B6" s="21" t="s">
        <v>39</v>
      </c>
      <c r="C6" s="22">
        <f>(C4-C3)/C4</f>
        <v>0.4285714285714286</v>
      </c>
      <c r="H6" s="19">
        <f>H4-H3</f>
        <v>212060057.61918449</v>
      </c>
    </row>
    <row r="7" spans="1:8" ht="14.25" customHeight="1" x14ac:dyDescent="0.3"/>
    <row r="8" spans="1:8" ht="14.25" customHeight="1" x14ac:dyDescent="0.3">
      <c r="B8" s="70" t="s">
        <v>40</v>
      </c>
      <c r="C8" s="71"/>
      <c r="D8" s="71"/>
      <c r="E8" s="71"/>
    </row>
    <row r="9" spans="1:8" ht="14.25" customHeight="1" x14ac:dyDescent="0.3"/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</sheetData>
  <mergeCells count="1">
    <mergeCell ref="B8:E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12"/>
  <sheetViews>
    <sheetView workbookViewId="0"/>
  </sheetViews>
  <sheetFormatPr defaultColWidth="12.6640625" defaultRowHeight="15" customHeight="1" x14ac:dyDescent="0.3"/>
  <cols>
    <col min="1" max="1" width="8.6640625" customWidth="1"/>
    <col min="2" max="2" width="20.33203125" customWidth="1"/>
    <col min="3" max="3" width="17.21875" customWidth="1"/>
    <col min="4" max="4" width="13" customWidth="1"/>
    <col min="5" max="5" width="12" customWidth="1"/>
    <col min="6" max="6" width="11" customWidth="1"/>
    <col min="7" max="9" width="8.6640625" customWidth="1"/>
    <col min="10" max="10" width="19.6640625" customWidth="1"/>
    <col min="11" max="11" width="21.21875" customWidth="1"/>
    <col min="12" max="12" width="12" customWidth="1"/>
    <col min="13" max="13" width="15.44140625" customWidth="1"/>
    <col min="14" max="17" width="8.6640625" customWidth="1"/>
    <col min="18" max="18" width="21" customWidth="1"/>
    <col min="19" max="19" width="20.21875" customWidth="1"/>
    <col min="20" max="20" width="11.6640625" customWidth="1"/>
    <col min="21" max="21" width="13.21875" customWidth="1"/>
    <col min="22" max="26" width="8.6640625" customWidth="1"/>
  </cols>
  <sheetData>
    <row r="1" spans="1:4" ht="14.25" customHeight="1" x14ac:dyDescent="0.3">
      <c r="A1" s="15" t="s">
        <v>41</v>
      </c>
      <c r="C1" s="1" t="s">
        <v>42</v>
      </c>
    </row>
    <row r="2" spans="1:4" ht="14.25" customHeight="1" x14ac:dyDescent="0.3">
      <c r="C2" s="1" t="s">
        <v>43</v>
      </c>
    </row>
    <row r="3" spans="1:4" ht="14.25" customHeight="1" x14ac:dyDescent="0.3"/>
    <row r="4" spans="1:4" ht="14.25" customHeight="1" x14ac:dyDescent="0.3"/>
    <row r="5" spans="1:4" ht="14.25" customHeight="1" x14ac:dyDescent="0.3">
      <c r="B5" s="13" t="s">
        <v>44</v>
      </c>
    </row>
    <row r="6" spans="1:4" ht="14.25" customHeight="1" x14ac:dyDescent="0.3">
      <c r="B6" s="23" t="s">
        <v>45</v>
      </c>
      <c r="C6" s="23" t="s">
        <v>46</v>
      </c>
      <c r="D6" s="24" t="s">
        <v>47</v>
      </c>
    </row>
    <row r="7" spans="1:4" ht="14.25" customHeight="1" x14ac:dyDescent="0.3">
      <c r="B7" s="5" t="s">
        <v>48</v>
      </c>
      <c r="C7" s="25">
        <f>(60000*2+30000)*50%</f>
        <v>75000</v>
      </c>
      <c r="D7" s="26">
        <v>0.6</v>
      </c>
    </row>
    <row r="8" spans="1:4" ht="14.25" customHeight="1" x14ac:dyDescent="0.3">
      <c r="B8" s="5" t="s">
        <v>49</v>
      </c>
      <c r="C8" s="25">
        <f>(190000)*50%</f>
        <v>95000</v>
      </c>
      <c r="D8" s="27">
        <v>0.3</v>
      </c>
    </row>
    <row r="9" spans="1:4" ht="14.25" customHeight="1" x14ac:dyDescent="0.3">
      <c r="B9" s="5" t="s">
        <v>50</v>
      </c>
      <c r="C9" s="25">
        <f>(31000*50%)</f>
        <v>15500</v>
      </c>
      <c r="D9" s="27">
        <v>0.09</v>
      </c>
    </row>
    <row r="10" spans="1:4" ht="14.25" customHeight="1" x14ac:dyDescent="0.3">
      <c r="B10" s="5" t="s">
        <v>51</v>
      </c>
      <c r="C10" s="25">
        <f>(272000*5)*50%</f>
        <v>680000</v>
      </c>
      <c r="D10" s="26">
        <v>0.01</v>
      </c>
    </row>
    <row r="11" spans="1:4" ht="14.25" customHeight="1" x14ac:dyDescent="0.3"/>
    <row r="12" spans="1:4" ht="14.25" customHeight="1" x14ac:dyDescent="0.3"/>
    <row r="13" spans="1:4" ht="14.25" customHeight="1" x14ac:dyDescent="0.3">
      <c r="B13" s="28" t="s">
        <v>52</v>
      </c>
    </row>
    <row r="14" spans="1:4" ht="14.25" customHeight="1" x14ac:dyDescent="0.3">
      <c r="B14" s="29" t="s">
        <v>53</v>
      </c>
    </row>
    <row r="15" spans="1:4" ht="14.25" customHeight="1" x14ac:dyDescent="0.3"/>
    <row r="16" spans="1:4" ht="14.25" customHeight="1" x14ac:dyDescent="0.3"/>
    <row r="17" spans="2:20" ht="14.25" customHeight="1" x14ac:dyDescent="0.3"/>
    <row r="18" spans="2:20" ht="14.25" customHeight="1" x14ac:dyDescent="0.3"/>
    <row r="19" spans="2:20" ht="14.25" customHeight="1" x14ac:dyDescent="0.3"/>
    <row r="20" spans="2:20" ht="14.25" customHeight="1" x14ac:dyDescent="0.3"/>
    <row r="21" spans="2:20" ht="14.25" customHeight="1" x14ac:dyDescent="0.3"/>
    <row r="22" spans="2:20" ht="14.25" customHeight="1" x14ac:dyDescent="0.3">
      <c r="B22" s="3"/>
    </row>
    <row r="23" spans="2:20" ht="14.25" customHeight="1" x14ac:dyDescent="0.3">
      <c r="B23" s="3" t="s">
        <v>54</v>
      </c>
      <c r="J23" s="13" t="s">
        <v>55</v>
      </c>
      <c r="R23" s="13" t="s">
        <v>56</v>
      </c>
    </row>
    <row r="24" spans="2:20" ht="14.25" customHeight="1" x14ac:dyDescent="0.3">
      <c r="B24" s="3"/>
      <c r="J24" s="3"/>
      <c r="R24" s="3"/>
    </row>
    <row r="25" spans="2:20" ht="14.25" customHeight="1" x14ac:dyDescent="0.3">
      <c r="B25" s="13" t="s">
        <v>57</v>
      </c>
      <c r="J25" s="13" t="s">
        <v>57</v>
      </c>
      <c r="R25" s="13" t="s">
        <v>57</v>
      </c>
    </row>
    <row r="26" spans="2:20" ht="14.25" customHeight="1" x14ac:dyDescent="0.3">
      <c r="B26" s="30" t="s">
        <v>58</v>
      </c>
      <c r="C26" s="30" t="s">
        <v>59</v>
      </c>
      <c r="J26" s="30" t="s">
        <v>58</v>
      </c>
      <c r="K26" s="30" t="s">
        <v>59</v>
      </c>
      <c r="R26" s="30" t="s">
        <v>58</v>
      </c>
      <c r="S26" s="30" t="s">
        <v>59</v>
      </c>
    </row>
    <row r="27" spans="2:20" ht="14.25" customHeight="1" x14ac:dyDescent="0.3">
      <c r="B27" s="31">
        <f>'Producción Gayafores'!C11</f>
        <v>42465.839644439598</v>
      </c>
      <c r="C27" s="31">
        <f>'Producción Gayafores'!C21</f>
        <v>24266.194082536909</v>
      </c>
      <c r="J27" s="31">
        <f>'Producción Gayafores'!H11</f>
        <v>4861.1111111111104</v>
      </c>
      <c r="K27" s="31">
        <f>'Producción Gayafores'!H21</f>
        <v>2777.7777777777778</v>
      </c>
      <c r="R27" s="31">
        <f>'Producción Gayafores'!N11</f>
        <v>15364.354697102721</v>
      </c>
      <c r="S27" s="31">
        <f>'Producción Gayafores'!N21</f>
        <v>8779.6312554872693</v>
      </c>
    </row>
    <row r="28" spans="2:20" ht="14.25" customHeight="1" x14ac:dyDescent="0.3"/>
    <row r="29" spans="2:20" ht="14.25" customHeight="1" x14ac:dyDescent="0.3">
      <c r="B29" s="3" t="s">
        <v>60</v>
      </c>
      <c r="J29" s="3" t="s">
        <v>60</v>
      </c>
      <c r="R29" s="3" t="s">
        <v>60</v>
      </c>
    </row>
    <row r="30" spans="2:20" ht="14.25" customHeight="1" x14ac:dyDescent="0.3">
      <c r="B30" s="5" t="s">
        <v>61</v>
      </c>
      <c r="C30" s="8">
        <f>(33.15*33.15)*10^(-4)</f>
        <v>0.10989225</v>
      </c>
      <c r="D30" s="32" t="s">
        <v>20</v>
      </c>
      <c r="J30" s="5" t="s">
        <v>61</v>
      </c>
      <c r="K30" s="8">
        <f>(60*120)*10^(-4)</f>
        <v>0.72000000000000008</v>
      </c>
      <c r="L30" s="32" t="s">
        <v>20</v>
      </c>
      <c r="R30" s="5" t="s">
        <v>61</v>
      </c>
      <c r="S30" s="8">
        <f>(34*67)*10^(-4)</f>
        <v>0.2278</v>
      </c>
      <c r="T30" s="32" t="s">
        <v>20</v>
      </c>
    </row>
    <row r="31" spans="2:20" ht="14.25" customHeight="1" x14ac:dyDescent="0.3">
      <c r="B31" s="9" t="s">
        <v>62</v>
      </c>
      <c r="C31" s="5">
        <v>1.32</v>
      </c>
      <c r="D31" s="32" t="s">
        <v>20</v>
      </c>
      <c r="J31" s="9" t="s">
        <v>63</v>
      </c>
      <c r="K31" s="5">
        <f>K30*2</f>
        <v>1.4400000000000002</v>
      </c>
      <c r="L31" s="32" t="s">
        <v>20</v>
      </c>
      <c r="R31" s="9" t="s">
        <v>64</v>
      </c>
      <c r="S31" s="5">
        <f>S30*6</f>
        <v>1.3668</v>
      </c>
      <c r="T31" s="32" t="s">
        <v>20</v>
      </c>
    </row>
    <row r="32" spans="2:20" ht="14.25" customHeight="1" x14ac:dyDescent="0.3">
      <c r="B32" s="5" t="s">
        <v>65</v>
      </c>
      <c r="C32" s="33">
        <f>C31/C30</f>
        <v>12.011766070855771</v>
      </c>
      <c r="D32" s="32" t="s">
        <v>25</v>
      </c>
      <c r="J32" s="5" t="s">
        <v>65</v>
      </c>
      <c r="K32" s="33">
        <f>K31/K30</f>
        <v>2</v>
      </c>
      <c r="L32" s="32" t="s">
        <v>25</v>
      </c>
      <c r="R32" s="5" t="s">
        <v>65</v>
      </c>
      <c r="S32" s="33">
        <f>S31/S30</f>
        <v>6</v>
      </c>
      <c r="T32" s="32" t="s">
        <v>25</v>
      </c>
    </row>
    <row r="33" spans="2:22" ht="14.25" customHeight="1" x14ac:dyDescent="0.3">
      <c r="B33" s="5" t="s">
        <v>66</v>
      </c>
      <c r="C33" s="34">
        <v>22.68</v>
      </c>
      <c r="D33" s="32" t="s">
        <v>67</v>
      </c>
      <c r="E33" s="35">
        <v>94713</v>
      </c>
      <c r="J33" s="5" t="s">
        <v>66</v>
      </c>
      <c r="K33" s="34">
        <v>47.97</v>
      </c>
      <c r="L33" s="32" t="s">
        <v>67</v>
      </c>
      <c r="M33" s="35">
        <v>200326</v>
      </c>
      <c r="R33" s="5" t="s">
        <v>66</v>
      </c>
      <c r="S33" s="34">
        <v>29.1</v>
      </c>
      <c r="T33" s="32" t="s">
        <v>67</v>
      </c>
      <c r="U33" s="35">
        <v>121524</v>
      </c>
    </row>
    <row r="34" spans="2:22" ht="14.25" customHeight="1" x14ac:dyDescent="0.3">
      <c r="B34" s="5" t="s">
        <v>68</v>
      </c>
      <c r="C34" s="8">
        <f>C33/C32</f>
        <v>1.8881486590909089</v>
      </c>
      <c r="D34" s="32" t="s">
        <v>67</v>
      </c>
      <c r="E34" s="36">
        <f>E33/12</f>
        <v>7892.75</v>
      </c>
      <c r="F34" s="1" t="s">
        <v>69</v>
      </c>
      <c r="J34" s="5" t="s">
        <v>68</v>
      </c>
      <c r="K34" s="8">
        <f>K33/K32</f>
        <v>23.984999999999999</v>
      </c>
      <c r="L34" s="32" t="s">
        <v>67</v>
      </c>
      <c r="M34" s="36">
        <f>M33/2</f>
        <v>100163</v>
      </c>
      <c r="N34" s="1" t="s">
        <v>69</v>
      </c>
      <c r="R34" s="5" t="s">
        <v>68</v>
      </c>
      <c r="S34" s="8">
        <f>S33/S32</f>
        <v>4.8500000000000005</v>
      </c>
      <c r="T34" s="32" t="s">
        <v>67</v>
      </c>
      <c r="U34" s="36">
        <f>U33/6</f>
        <v>20254</v>
      </c>
      <c r="V34" s="1" t="s">
        <v>69</v>
      </c>
    </row>
    <row r="35" spans="2:22" ht="14.25" customHeight="1" x14ac:dyDescent="0.3">
      <c r="B35" s="5" t="s">
        <v>70</v>
      </c>
      <c r="C35" s="5">
        <f>21.6/12</f>
        <v>1.8</v>
      </c>
      <c r="D35" s="32" t="s">
        <v>71</v>
      </c>
      <c r="J35" s="5" t="s">
        <v>70</v>
      </c>
      <c r="K35" s="5">
        <f>32/2</f>
        <v>16</v>
      </c>
      <c r="L35" s="32" t="s">
        <v>71</v>
      </c>
      <c r="R35" s="5" t="s">
        <v>70</v>
      </c>
      <c r="S35" s="5">
        <f>20/6</f>
        <v>3.3333333333333335</v>
      </c>
      <c r="T35" s="32" t="s">
        <v>71</v>
      </c>
    </row>
    <row r="36" spans="2:22" ht="14.25" customHeight="1" x14ac:dyDescent="0.3"/>
    <row r="37" spans="2:22" ht="14.25" customHeight="1" x14ac:dyDescent="0.3"/>
    <row r="38" spans="2:22" ht="14.25" customHeight="1" x14ac:dyDescent="0.3">
      <c r="B38" s="23" t="s">
        <v>45</v>
      </c>
      <c r="C38" s="23" t="s">
        <v>72</v>
      </c>
      <c r="D38" s="23" t="s">
        <v>46</v>
      </c>
      <c r="J38" s="23" t="s">
        <v>45</v>
      </c>
      <c r="K38" s="23" t="s">
        <v>72</v>
      </c>
      <c r="L38" s="23" t="s">
        <v>46</v>
      </c>
      <c r="R38" s="23" t="s">
        <v>45</v>
      </c>
      <c r="S38" s="23" t="s">
        <v>72</v>
      </c>
      <c r="T38" s="23" t="s">
        <v>46</v>
      </c>
    </row>
    <row r="39" spans="2:22" ht="14.25" customHeight="1" x14ac:dyDescent="0.3">
      <c r="B39" s="5" t="s">
        <v>73</v>
      </c>
      <c r="C39" s="5">
        <f>1.8*$D$7</f>
        <v>1.08</v>
      </c>
      <c r="D39" s="25">
        <f>C39*($C$7/25)</f>
        <v>3240</v>
      </c>
      <c r="J39" s="5" t="s">
        <v>73</v>
      </c>
      <c r="K39" s="5">
        <f>K35*$D$7</f>
        <v>9.6</v>
      </c>
      <c r="L39" s="25">
        <f>K39*($C$7/25)</f>
        <v>28800</v>
      </c>
      <c r="R39" s="5" t="s">
        <v>73</v>
      </c>
      <c r="S39" s="5">
        <f>S35*$D$7</f>
        <v>2</v>
      </c>
      <c r="T39" s="25">
        <f>S39*($C$7/25)</f>
        <v>6000</v>
      </c>
    </row>
    <row r="40" spans="2:22" ht="14.25" customHeight="1" x14ac:dyDescent="0.3">
      <c r="B40" s="5" t="s">
        <v>74</v>
      </c>
      <c r="C40" s="5">
        <f>1.8*$D$8</f>
        <v>0.54</v>
      </c>
      <c r="D40" s="25">
        <f>C40*($C$8/25)</f>
        <v>2052</v>
      </c>
      <c r="J40" s="5" t="s">
        <v>74</v>
      </c>
      <c r="K40" s="5">
        <f>K35*$D$8</f>
        <v>4.8</v>
      </c>
      <c r="L40" s="25">
        <f>K40*($C$8/25)</f>
        <v>18240</v>
      </c>
      <c r="R40" s="5" t="s">
        <v>74</v>
      </c>
      <c r="S40" s="5">
        <f>S35*$D$8</f>
        <v>1</v>
      </c>
      <c r="T40" s="25">
        <f>S40*($C$8/25)</f>
        <v>3800</v>
      </c>
    </row>
    <row r="41" spans="2:22" ht="14.25" customHeight="1" x14ac:dyDescent="0.3">
      <c r="B41" s="5" t="s">
        <v>75</v>
      </c>
      <c r="C41" s="5">
        <f>1.8*$D$9</f>
        <v>0.16200000000000001</v>
      </c>
      <c r="D41" s="25">
        <f>C41*($C$9/25)</f>
        <v>100.44</v>
      </c>
      <c r="J41" s="5" t="s">
        <v>75</v>
      </c>
      <c r="K41" s="5">
        <f>K35*$D$9</f>
        <v>1.44</v>
      </c>
      <c r="L41" s="25">
        <f>K41*($C$9/25)</f>
        <v>892.8</v>
      </c>
      <c r="R41" s="5" t="s">
        <v>75</v>
      </c>
      <c r="S41" s="5">
        <f>S35*$D$9</f>
        <v>0.3</v>
      </c>
      <c r="T41" s="25">
        <f>S41*($C$9/25)</f>
        <v>186</v>
      </c>
    </row>
    <row r="42" spans="2:22" ht="14.25" customHeight="1" x14ac:dyDescent="0.3">
      <c r="B42" s="5" t="s">
        <v>76</v>
      </c>
      <c r="C42" s="5">
        <f>1.8*$D$10</f>
        <v>1.8000000000000002E-2</v>
      </c>
      <c r="D42" s="25">
        <f>C42*($C$10/25)</f>
        <v>489.60000000000008</v>
      </c>
      <c r="J42" s="5" t="s">
        <v>76</v>
      </c>
      <c r="K42" s="5">
        <f>K35*$D$10</f>
        <v>0.16</v>
      </c>
      <c r="L42" s="25">
        <f>K42*($C$10/25)</f>
        <v>4352</v>
      </c>
      <c r="R42" s="5" t="s">
        <v>76</v>
      </c>
      <c r="S42" s="5">
        <f>S35*$D$10</f>
        <v>3.3333333333333333E-2</v>
      </c>
      <c r="T42" s="25">
        <f>S42*($C$10/25)</f>
        <v>906.66666666666663</v>
      </c>
    </row>
    <row r="43" spans="2:22" ht="14.25" customHeight="1" x14ac:dyDescent="0.3"/>
    <row r="44" spans="2:22" ht="14.25" customHeight="1" x14ac:dyDescent="0.3">
      <c r="D44" s="36">
        <f>SUM(D39:D43)</f>
        <v>5882.04</v>
      </c>
      <c r="E44" s="1" t="s">
        <v>77</v>
      </c>
      <c r="L44" s="36">
        <f>SUM(L39:L43)</f>
        <v>52284.800000000003</v>
      </c>
      <c r="M44" s="1" t="s">
        <v>77</v>
      </c>
      <c r="T44" s="36">
        <f>SUM(T39:T43)</f>
        <v>10892.666666666666</v>
      </c>
      <c r="U44" s="1" t="s">
        <v>77</v>
      </c>
    </row>
    <row r="45" spans="2:22" ht="14.25" customHeight="1" x14ac:dyDescent="0.3"/>
    <row r="46" spans="2:22" ht="14.25" customHeight="1" x14ac:dyDescent="0.3"/>
    <row r="47" spans="2:22" ht="14.25" customHeight="1" x14ac:dyDescent="0.3">
      <c r="B47" s="13" t="s">
        <v>78</v>
      </c>
      <c r="J47" s="13" t="s">
        <v>78</v>
      </c>
      <c r="R47" s="13" t="s">
        <v>78</v>
      </c>
    </row>
    <row r="48" spans="2:22" ht="14.25" customHeight="1" x14ac:dyDescent="0.3">
      <c r="B48" s="1" t="s">
        <v>79</v>
      </c>
      <c r="J48" s="1" t="s">
        <v>79</v>
      </c>
      <c r="R48" s="1" t="s">
        <v>79</v>
      </c>
    </row>
    <row r="49" spans="2:21" ht="14.25" customHeight="1" x14ac:dyDescent="0.3">
      <c r="B49" s="1" t="s">
        <v>80</v>
      </c>
      <c r="D49" s="1">
        <f>(E34*B27)/(D44*B27*80%)</f>
        <v>1.6772986072859075</v>
      </c>
      <c r="E49" s="1" t="s">
        <v>81</v>
      </c>
      <c r="J49" s="1" t="s">
        <v>80</v>
      </c>
      <c r="L49" s="1">
        <f>(M34*J27)/(L44*J27*80%)</f>
        <v>2.3946491140828687</v>
      </c>
      <c r="M49" s="1" t="s">
        <v>81</v>
      </c>
      <c r="R49" s="1" t="s">
        <v>80</v>
      </c>
      <c r="T49" s="1">
        <f>(U34*R27)/(T44*R27*80%)</f>
        <v>2.3242701511720427</v>
      </c>
      <c r="U49" s="1" t="s">
        <v>81</v>
      </c>
    </row>
    <row r="50" spans="2:21" ht="14.25" customHeight="1" x14ac:dyDescent="0.3">
      <c r="B50" s="1" t="s">
        <v>82</v>
      </c>
      <c r="D50" s="1">
        <f>(C27*E34)/(D44*C27)</f>
        <v>1.3418388858287262</v>
      </c>
      <c r="J50" s="1" t="s">
        <v>82</v>
      </c>
      <c r="L50" s="1">
        <f>(K27*M34)/(L44*K27)</f>
        <v>1.9157192912662957</v>
      </c>
      <c r="R50" s="1" t="s">
        <v>82</v>
      </c>
      <c r="T50" s="1">
        <f>(S27*U34)/(T44*S27)</f>
        <v>1.8594161209376339</v>
      </c>
    </row>
    <row r="51" spans="2:21" ht="14.25" customHeight="1" x14ac:dyDescent="0.3"/>
    <row r="52" spans="2:21" ht="14.25" customHeight="1" x14ac:dyDescent="0.3"/>
    <row r="53" spans="2:21" ht="14.25" customHeight="1" x14ac:dyDescent="0.3">
      <c r="C53" s="21" t="s">
        <v>83</v>
      </c>
      <c r="D53" s="37">
        <f>(D49-D50)/D49</f>
        <v>0.19999999999999987</v>
      </c>
      <c r="K53" s="21" t="s">
        <v>83</v>
      </c>
      <c r="L53" s="38">
        <f>(L49-L50)/L49</f>
        <v>0.19999999999999971</v>
      </c>
      <c r="S53" s="21" t="s">
        <v>83</v>
      </c>
      <c r="T53" s="38">
        <f>(T49-T50)/T49</f>
        <v>0.20000000000000012</v>
      </c>
    </row>
    <row r="54" spans="2:21" ht="14.25" customHeight="1" x14ac:dyDescent="0.3">
      <c r="L54" s="2"/>
    </row>
    <row r="55" spans="2:21" ht="14.25" customHeight="1" x14ac:dyDescent="0.3">
      <c r="B55" s="2" t="s">
        <v>84</v>
      </c>
    </row>
    <row r="56" spans="2:21" ht="14.25" customHeight="1" x14ac:dyDescent="0.3"/>
    <row r="57" spans="2:21" ht="14.25" customHeight="1" x14ac:dyDescent="0.3"/>
    <row r="58" spans="2:21" ht="14.25" customHeight="1" x14ac:dyDescent="0.3"/>
    <row r="59" spans="2:21" ht="14.25" customHeight="1" x14ac:dyDescent="0.3"/>
    <row r="60" spans="2:21" ht="14.25" customHeight="1" x14ac:dyDescent="0.3"/>
    <row r="61" spans="2:21" ht="14.25" customHeight="1" x14ac:dyDescent="0.3"/>
    <row r="62" spans="2:21" ht="14.25" customHeight="1" x14ac:dyDescent="0.3"/>
    <row r="63" spans="2:21" ht="14.25" customHeight="1" x14ac:dyDescent="0.3"/>
    <row r="64" spans="2:21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hyperlinks>
    <hyperlink ref="B13" r:id="rId1" xr:uid="{00000000-0004-0000-0300-000000000000}"/>
    <hyperlink ref="B14" r:id="rId2" xr:uid="{00000000-0004-0000-0300-000001000000}"/>
  </hyperlinks>
  <pageMargins left="0.7" right="0.7" top="0.75" bottom="0.75" header="0" footer="0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03"/>
  <sheetViews>
    <sheetView workbookViewId="0"/>
  </sheetViews>
  <sheetFormatPr defaultColWidth="12.6640625" defaultRowHeight="15" customHeight="1" x14ac:dyDescent="0.3"/>
  <cols>
    <col min="1" max="1" width="8.6640625" customWidth="1"/>
    <col min="2" max="2" width="27.6640625" customWidth="1"/>
    <col min="3" max="3" width="25" customWidth="1"/>
    <col min="4" max="4" width="15.77734375" customWidth="1"/>
    <col min="5" max="5" width="25" customWidth="1"/>
    <col min="6" max="6" width="23.109375" customWidth="1"/>
    <col min="7" max="7" width="17" customWidth="1"/>
    <col min="8" max="8" width="11.77734375" customWidth="1"/>
    <col min="9" max="9" width="27.6640625" customWidth="1"/>
    <col min="10" max="10" width="11.77734375" customWidth="1"/>
    <col min="11" max="11" width="12.6640625" customWidth="1"/>
    <col min="12" max="25" width="8.6640625" customWidth="1"/>
  </cols>
  <sheetData>
    <row r="1" spans="2:8" ht="14.25" customHeight="1" x14ac:dyDescent="0.3">
      <c r="B1" s="1" t="s">
        <v>85</v>
      </c>
    </row>
    <row r="2" spans="2:8" ht="14.25" customHeight="1" x14ac:dyDescent="0.3">
      <c r="B2" s="3"/>
    </row>
    <row r="3" spans="2:8" ht="14.25" customHeight="1" x14ac:dyDescent="0.3">
      <c r="B3" s="3" t="s">
        <v>17</v>
      </c>
    </row>
    <row r="4" spans="2:8" ht="14.25" customHeight="1" x14ac:dyDescent="0.3">
      <c r="B4" s="5" t="s">
        <v>86</v>
      </c>
      <c r="C4" s="9">
        <v>24</v>
      </c>
      <c r="D4" s="5" t="s">
        <v>87</v>
      </c>
    </row>
    <row r="5" spans="2:8" ht="14.25" customHeight="1" x14ac:dyDescent="0.3">
      <c r="B5" s="5" t="s">
        <v>88</v>
      </c>
      <c r="C5" s="5">
        <f>('Producción Gayafores'!C11/12)/24</f>
        <v>147.45083209874861</v>
      </c>
      <c r="D5" s="5" t="s">
        <v>89</v>
      </c>
    </row>
    <row r="6" spans="2:8" ht="14.25" customHeight="1" x14ac:dyDescent="0.3">
      <c r="B6" s="9"/>
      <c r="C6" s="5">
        <f>C5/60</f>
        <v>2.4575138683124766</v>
      </c>
      <c r="D6" s="9" t="s">
        <v>90</v>
      </c>
      <c r="F6" s="3" t="s">
        <v>17</v>
      </c>
    </row>
    <row r="7" spans="2:8" ht="14.25" customHeight="1" x14ac:dyDescent="0.3">
      <c r="B7" s="5" t="s">
        <v>91</v>
      </c>
      <c r="C7" s="9">
        <v>1.2</v>
      </c>
      <c r="D7" s="5" t="s">
        <v>92</v>
      </c>
      <c r="F7" s="5" t="s">
        <v>93</v>
      </c>
      <c r="G7" s="9" t="s">
        <v>94</v>
      </c>
      <c r="H7" s="5">
        <f>(C4/C5)*60</f>
        <v>9.7659672685714281</v>
      </c>
    </row>
    <row r="8" spans="2:8" ht="14.25" customHeight="1" x14ac:dyDescent="0.3">
      <c r="B8" s="5" t="s">
        <v>95</v>
      </c>
      <c r="C8" s="9">
        <f>60/C5</f>
        <v>0.40691530285714278</v>
      </c>
      <c r="D8" s="5" t="s">
        <v>92</v>
      </c>
      <c r="E8" s="1">
        <f>(1*12)/C8</f>
        <v>29.490166419749723</v>
      </c>
    </row>
    <row r="9" spans="2:8" ht="14.25" customHeight="1" x14ac:dyDescent="0.3">
      <c r="B9" s="5" t="s">
        <v>96</v>
      </c>
      <c r="C9" s="9">
        <v>12</v>
      </c>
      <c r="D9" s="5" t="s">
        <v>97</v>
      </c>
    </row>
    <row r="10" spans="2:8" ht="14.25" customHeight="1" x14ac:dyDescent="0.3"/>
    <row r="11" spans="2:8" ht="14.25" customHeight="1" x14ac:dyDescent="0.3"/>
    <row r="12" spans="2:8" ht="14.25" customHeight="1" x14ac:dyDescent="0.3">
      <c r="B12" s="13" t="s">
        <v>29</v>
      </c>
    </row>
    <row r="13" spans="2:8" ht="14.25" customHeight="1" x14ac:dyDescent="0.3">
      <c r="B13" s="5" t="s">
        <v>86</v>
      </c>
      <c r="C13" s="5">
        <v>24</v>
      </c>
      <c r="D13" s="5" t="s">
        <v>87</v>
      </c>
    </row>
    <row r="14" spans="2:8" ht="14.25" customHeight="1" x14ac:dyDescent="0.3">
      <c r="B14" s="5" t="s">
        <v>88</v>
      </c>
      <c r="C14" s="5">
        <f>('Producción Gayafores'!C21/12)/24</f>
        <v>84.257618342142038</v>
      </c>
      <c r="D14" s="5" t="s">
        <v>89</v>
      </c>
    </row>
    <row r="15" spans="2:8" ht="14.25" customHeight="1" x14ac:dyDescent="0.3">
      <c r="B15" s="5"/>
      <c r="C15" s="9">
        <f>C14/60</f>
        <v>1.4042936390357006</v>
      </c>
      <c r="D15" s="9" t="s">
        <v>90</v>
      </c>
    </row>
    <row r="16" spans="2:8" ht="14.25" customHeight="1" x14ac:dyDescent="0.3">
      <c r="B16" s="5" t="s">
        <v>91</v>
      </c>
      <c r="C16" s="9">
        <v>2</v>
      </c>
      <c r="D16" s="5" t="s">
        <v>92</v>
      </c>
      <c r="F16" s="13" t="s">
        <v>29</v>
      </c>
    </row>
    <row r="17" spans="2:8" ht="14.25" customHeight="1" x14ac:dyDescent="0.3">
      <c r="B17" s="5" t="s">
        <v>95</v>
      </c>
      <c r="C17" s="9">
        <f>60/C14</f>
        <v>0.71210178000000002</v>
      </c>
      <c r="D17" s="5" t="s">
        <v>92</v>
      </c>
      <c r="E17" s="1">
        <f>(1*12)/C17</f>
        <v>16.85152366842841</v>
      </c>
      <c r="F17" s="5" t="s">
        <v>93</v>
      </c>
      <c r="G17" s="5" t="s">
        <v>94</v>
      </c>
      <c r="H17" s="5">
        <f>(C13/C14)*60</f>
        <v>17.090442720000002</v>
      </c>
    </row>
    <row r="18" spans="2:8" ht="14.25" customHeight="1" x14ac:dyDescent="0.3">
      <c r="B18" s="5" t="s">
        <v>96</v>
      </c>
      <c r="C18" s="5">
        <v>12</v>
      </c>
      <c r="D18" s="5" t="s">
        <v>97</v>
      </c>
    </row>
    <row r="19" spans="2:8" ht="14.25" customHeight="1" x14ac:dyDescent="0.3"/>
    <row r="20" spans="2:8" ht="14.25" customHeight="1" x14ac:dyDescent="0.3"/>
    <row r="21" spans="2:8" ht="14.25" customHeight="1" x14ac:dyDescent="0.3">
      <c r="E21" s="39">
        <f>(H17-H7)/H17</f>
        <v>0.42857142857142866</v>
      </c>
      <c r="F21" s="21" t="s">
        <v>98</v>
      </c>
    </row>
    <row r="22" spans="2:8" ht="14.25" customHeight="1" x14ac:dyDescent="0.3"/>
    <row r="23" spans="2:8" ht="14.25" customHeight="1" x14ac:dyDescent="0.3"/>
    <row r="24" spans="2:8" ht="14.25" customHeight="1" x14ac:dyDescent="0.3"/>
    <row r="25" spans="2:8" ht="14.25" customHeight="1" x14ac:dyDescent="0.3"/>
    <row r="26" spans="2:8" ht="14.25" customHeight="1" x14ac:dyDescent="0.3"/>
    <row r="27" spans="2:8" ht="14.25" customHeight="1" x14ac:dyDescent="0.3"/>
    <row r="28" spans="2:8" ht="14.25" customHeight="1" x14ac:dyDescent="0.3"/>
    <row r="29" spans="2:8" ht="14.25" customHeight="1" x14ac:dyDescent="0.3"/>
    <row r="30" spans="2:8" ht="14.25" customHeight="1" x14ac:dyDescent="0.3"/>
    <row r="31" spans="2:8" ht="14.25" customHeight="1" x14ac:dyDescent="0.3"/>
    <row r="32" spans="2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003"/>
  <sheetViews>
    <sheetView workbookViewId="0"/>
  </sheetViews>
  <sheetFormatPr defaultColWidth="12.6640625" defaultRowHeight="15" customHeight="1" x14ac:dyDescent="0.3"/>
  <cols>
    <col min="1" max="1" width="8.6640625" customWidth="1"/>
    <col min="2" max="2" width="27.6640625" customWidth="1"/>
    <col min="3" max="3" width="25" customWidth="1"/>
    <col min="4" max="4" width="15.77734375" customWidth="1"/>
    <col min="5" max="5" width="25" customWidth="1"/>
    <col min="6" max="6" width="23.109375" customWidth="1"/>
    <col min="7" max="7" width="17" customWidth="1"/>
    <col min="8" max="8" width="11.77734375" customWidth="1"/>
    <col min="9" max="9" width="27.6640625" customWidth="1"/>
    <col min="10" max="10" width="11.77734375" customWidth="1"/>
    <col min="11" max="11" width="12.6640625" customWidth="1"/>
    <col min="12" max="25" width="8.6640625" customWidth="1"/>
  </cols>
  <sheetData>
    <row r="1" spans="2:8" ht="14.25" customHeight="1" x14ac:dyDescent="0.3">
      <c r="B1" s="2" t="s">
        <v>99</v>
      </c>
    </row>
    <row r="2" spans="2:8" ht="14.25" customHeight="1" x14ac:dyDescent="0.3">
      <c r="B2" s="3"/>
    </row>
    <row r="3" spans="2:8" ht="14.25" customHeight="1" x14ac:dyDescent="0.3">
      <c r="B3" s="3" t="s">
        <v>17</v>
      </c>
    </row>
    <row r="4" spans="2:8" ht="14.25" customHeight="1" x14ac:dyDescent="0.3">
      <c r="B4" s="5" t="s">
        <v>86</v>
      </c>
      <c r="C4" s="9">
        <v>24</v>
      </c>
      <c r="D4" s="5" t="s">
        <v>87</v>
      </c>
    </row>
    <row r="5" spans="2:8" ht="14.25" customHeight="1" x14ac:dyDescent="0.3">
      <c r="B5" s="5" t="s">
        <v>88</v>
      </c>
      <c r="C5" s="5">
        <f>('Producción Gayafores'!H11/2)/24</f>
        <v>101.27314814814814</v>
      </c>
      <c r="D5" s="5" t="s">
        <v>89</v>
      </c>
    </row>
    <row r="6" spans="2:8" ht="14.25" customHeight="1" x14ac:dyDescent="0.3">
      <c r="B6" s="9"/>
      <c r="C6" s="5">
        <f>C5/60</f>
        <v>1.6878858024691357</v>
      </c>
      <c r="D6" s="9" t="s">
        <v>90</v>
      </c>
      <c r="F6" s="3" t="s">
        <v>17</v>
      </c>
    </row>
    <row r="7" spans="2:8" ht="14.25" customHeight="1" x14ac:dyDescent="0.3">
      <c r="B7" s="5" t="s">
        <v>91</v>
      </c>
      <c r="C7" s="9">
        <v>1.2</v>
      </c>
      <c r="D7" s="5" t="s">
        <v>92</v>
      </c>
      <c r="F7" s="5" t="s">
        <v>93</v>
      </c>
      <c r="G7" s="9" t="s">
        <v>94</v>
      </c>
      <c r="H7" s="5">
        <f>(C4/C5)*60</f>
        <v>14.218971428571429</v>
      </c>
    </row>
    <row r="8" spans="2:8" ht="14.25" customHeight="1" x14ac:dyDescent="0.3">
      <c r="B8" s="5" t="s">
        <v>95</v>
      </c>
      <c r="C8" s="9">
        <f>60/C5</f>
        <v>0.5924571428571429</v>
      </c>
      <c r="D8" s="5" t="s">
        <v>92</v>
      </c>
      <c r="E8" s="1">
        <f>(1*2)/C8</f>
        <v>3.3757716049382713</v>
      </c>
    </row>
    <row r="9" spans="2:8" ht="14.25" customHeight="1" x14ac:dyDescent="0.3">
      <c r="B9" s="5" t="s">
        <v>96</v>
      </c>
      <c r="C9" s="9">
        <v>2</v>
      </c>
      <c r="D9" s="5" t="s">
        <v>97</v>
      </c>
    </row>
    <row r="10" spans="2:8" ht="14.25" customHeight="1" x14ac:dyDescent="0.3"/>
    <row r="11" spans="2:8" ht="14.25" customHeight="1" x14ac:dyDescent="0.3"/>
    <row r="12" spans="2:8" ht="14.25" customHeight="1" x14ac:dyDescent="0.3">
      <c r="B12" s="13" t="s">
        <v>29</v>
      </c>
    </row>
    <row r="13" spans="2:8" ht="14.25" customHeight="1" x14ac:dyDescent="0.3">
      <c r="B13" s="5" t="s">
        <v>86</v>
      </c>
      <c r="C13" s="5">
        <v>24</v>
      </c>
      <c r="D13" s="5" t="s">
        <v>87</v>
      </c>
    </row>
    <row r="14" spans="2:8" ht="14.25" customHeight="1" x14ac:dyDescent="0.3">
      <c r="B14" s="5" t="s">
        <v>88</v>
      </c>
      <c r="C14" s="5">
        <f>('Producción Gayafores'!H21/2)/24</f>
        <v>57.870370370370374</v>
      </c>
      <c r="D14" s="5" t="s">
        <v>89</v>
      </c>
    </row>
    <row r="15" spans="2:8" ht="14.25" customHeight="1" x14ac:dyDescent="0.3">
      <c r="B15" s="5"/>
      <c r="C15" s="9">
        <f>C14/60</f>
        <v>0.96450617283950624</v>
      </c>
      <c r="D15" s="9" t="s">
        <v>90</v>
      </c>
    </row>
    <row r="16" spans="2:8" ht="14.25" customHeight="1" x14ac:dyDescent="0.3">
      <c r="B16" s="5" t="s">
        <v>91</v>
      </c>
      <c r="C16" s="9">
        <v>2</v>
      </c>
      <c r="D16" s="5" t="s">
        <v>92</v>
      </c>
      <c r="F16" s="13" t="s">
        <v>29</v>
      </c>
    </row>
    <row r="17" spans="2:8" ht="14.25" customHeight="1" x14ac:dyDescent="0.3">
      <c r="B17" s="5" t="s">
        <v>95</v>
      </c>
      <c r="C17" s="9">
        <f>60/C14</f>
        <v>1.0367999999999999</v>
      </c>
      <c r="D17" s="5" t="s">
        <v>92</v>
      </c>
      <c r="E17" s="1">
        <f>(1*2)/C17</f>
        <v>1.9290123456790125</v>
      </c>
      <c r="F17" s="5" t="s">
        <v>93</v>
      </c>
      <c r="G17" s="5" t="s">
        <v>94</v>
      </c>
      <c r="H17" s="5">
        <f>(C13/C14)*60</f>
        <v>24.883199999999999</v>
      </c>
    </row>
    <row r="18" spans="2:8" ht="14.25" customHeight="1" x14ac:dyDescent="0.3">
      <c r="B18" s="5" t="s">
        <v>96</v>
      </c>
      <c r="C18" s="9">
        <v>2</v>
      </c>
      <c r="D18" s="5" t="s">
        <v>97</v>
      </c>
    </row>
    <row r="19" spans="2:8" ht="14.25" customHeight="1" x14ac:dyDescent="0.3"/>
    <row r="20" spans="2:8" ht="14.25" customHeight="1" x14ac:dyDescent="0.3">
      <c r="E20" s="18"/>
    </row>
    <row r="21" spans="2:8" ht="14.25" customHeight="1" x14ac:dyDescent="0.3">
      <c r="E21" s="39">
        <f>(H17-H7)/H17</f>
        <v>0.42857142857142855</v>
      </c>
      <c r="F21" s="21" t="s">
        <v>100</v>
      </c>
    </row>
    <row r="22" spans="2:8" ht="14.25" customHeight="1" x14ac:dyDescent="0.3"/>
    <row r="23" spans="2:8" ht="14.25" customHeight="1" x14ac:dyDescent="0.3"/>
    <row r="24" spans="2:8" ht="14.25" customHeight="1" x14ac:dyDescent="0.3"/>
    <row r="25" spans="2:8" ht="14.25" customHeight="1" x14ac:dyDescent="0.3"/>
    <row r="26" spans="2:8" ht="14.25" customHeight="1" x14ac:dyDescent="0.3"/>
    <row r="27" spans="2:8" ht="14.25" customHeight="1" x14ac:dyDescent="0.3"/>
    <row r="28" spans="2:8" ht="14.25" customHeight="1" x14ac:dyDescent="0.3"/>
    <row r="29" spans="2:8" ht="14.25" customHeight="1" x14ac:dyDescent="0.3"/>
    <row r="30" spans="2:8" ht="14.25" customHeight="1" x14ac:dyDescent="0.3"/>
    <row r="31" spans="2:8" ht="14.25" customHeight="1" x14ac:dyDescent="0.3"/>
    <row r="32" spans="2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003"/>
  <sheetViews>
    <sheetView workbookViewId="0"/>
  </sheetViews>
  <sheetFormatPr defaultColWidth="12.6640625" defaultRowHeight="15" customHeight="1" x14ac:dyDescent="0.3"/>
  <cols>
    <col min="1" max="1" width="8.6640625" customWidth="1"/>
    <col min="2" max="2" width="27.6640625" customWidth="1"/>
    <col min="3" max="3" width="25" customWidth="1"/>
    <col min="4" max="4" width="15.77734375" customWidth="1"/>
    <col min="5" max="5" width="25" customWidth="1"/>
    <col min="6" max="6" width="23.109375" customWidth="1"/>
    <col min="7" max="7" width="17" customWidth="1"/>
    <col min="8" max="8" width="11.77734375" customWidth="1"/>
    <col min="9" max="9" width="27.6640625" customWidth="1"/>
    <col min="10" max="10" width="11.77734375" customWidth="1"/>
    <col min="11" max="11" width="12.6640625" customWidth="1"/>
    <col min="12" max="25" width="8.6640625" customWidth="1"/>
  </cols>
  <sheetData>
    <row r="1" spans="2:8" ht="14.25" customHeight="1" x14ac:dyDescent="0.3">
      <c r="B1" s="2" t="s">
        <v>101</v>
      </c>
    </row>
    <row r="2" spans="2:8" ht="14.25" customHeight="1" x14ac:dyDescent="0.3">
      <c r="B2" s="3"/>
    </row>
    <row r="3" spans="2:8" ht="14.25" customHeight="1" x14ac:dyDescent="0.3">
      <c r="B3" s="3" t="s">
        <v>17</v>
      </c>
    </row>
    <row r="4" spans="2:8" ht="14.25" customHeight="1" x14ac:dyDescent="0.3">
      <c r="B4" s="5" t="s">
        <v>86</v>
      </c>
      <c r="C4" s="9">
        <v>24</v>
      </c>
      <c r="D4" s="5" t="s">
        <v>87</v>
      </c>
    </row>
    <row r="5" spans="2:8" ht="14.25" customHeight="1" x14ac:dyDescent="0.3">
      <c r="B5" s="5" t="s">
        <v>88</v>
      </c>
      <c r="C5" s="5">
        <f>('Producción Gayafores'!N11/6)/24</f>
        <v>106.69690761876889</v>
      </c>
      <c r="D5" s="5" t="s">
        <v>89</v>
      </c>
    </row>
    <row r="6" spans="2:8" ht="14.25" customHeight="1" x14ac:dyDescent="0.3">
      <c r="B6" s="9"/>
      <c r="C6" s="5">
        <f>C5/60</f>
        <v>1.7782817936461481</v>
      </c>
      <c r="D6" s="9" t="s">
        <v>90</v>
      </c>
      <c r="F6" s="3" t="s">
        <v>17</v>
      </c>
    </row>
    <row r="7" spans="2:8" ht="14.25" customHeight="1" x14ac:dyDescent="0.3">
      <c r="B7" s="5" t="s">
        <v>91</v>
      </c>
      <c r="C7" s="9">
        <v>1.2</v>
      </c>
      <c r="D7" s="5" t="s">
        <v>92</v>
      </c>
      <c r="F7" s="5" t="s">
        <v>93</v>
      </c>
      <c r="G7" s="9" t="s">
        <v>94</v>
      </c>
      <c r="H7" s="5">
        <f>(C4/C5)*60</f>
        <v>13.496173714285716</v>
      </c>
    </row>
    <row r="8" spans="2:8" ht="14.25" customHeight="1" x14ac:dyDescent="0.3">
      <c r="B8" s="5" t="s">
        <v>95</v>
      </c>
      <c r="C8" s="9">
        <f>60/C5</f>
        <v>0.56234057142857152</v>
      </c>
      <c r="D8" s="5" t="s">
        <v>92</v>
      </c>
      <c r="E8" s="1">
        <f>(1*6)/C8</f>
        <v>10.669690761876888</v>
      </c>
    </row>
    <row r="9" spans="2:8" ht="14.25" customHeight="1" x14ac:dyDescent="0.3">
      <c r="B9" s="5" t="s">
        <v>96</v>
      </c>
      <c r="C9" s="9">
        <v>6</v>
      </c>
      <c r="D9" s="5" t="s">
        <v>97</v>
      </c>
    </row>
    <row r="10" spans="2:8" ht="14.25" customHeight="1" x14ac:dyDescent="0.3"/>
    <row r="11" spans="2:8" ht="14.25" customHeight="1" x14ac:dyDescent="0.3"/>
    <row r="12" spans="2:8" ht="14.25" customHeight="1" x14ac:dyDescent="0.3">
      <c r="B12" s="13" t="s">
        <v>29</v>
      </c>
    </row>
    <row r="13" spans="2:8" ht="14.25" customHeight="1" x14ac:dyDescent="0.3">
      <c r="B13" s="5" t="s">
        <v>86</v>
      </c>
      <c r="C13" s="9">
        <v>24</v>
      </c>
      <c r="D13" s="5" t="s">
        <v>87</v>
      </c>
    </row>
    <row r="14" spans="2:8" ht="14.25" customHeight="1" x14ac:dyDescent="0.3">
      <c r="B14" s="5" t="s">
        <v>88</v>
      </c>
      <c r="C14" s="5">
        <f>('Producción Gayafores'!N21/6)/24</f>
        <v>60.969661496439365</v>
      </c>
      <c r="D14" s="5" t="s">
        <v>89</v>
      </c>
    </row>
    <row r="15" spans="2:8" ht="14.25" customHeight="1" x14ac:dyDescent="0.3">
      <c r="B15" s="5"/>
      <c r="C15" s="9">
        <f>C14/60</f>
        <v>1.0161610249406561</v>
      </c>
      <c r="D15" s="9" t="s">
        <v>90</v>
      </c>
    </row>
    <row r="16" spans="2:8" ht="14.25" customHeight="1" x14ac:dyDescent="0.3">
      <c r="B16" s="5" t="s">
        <v>91</v>
      </c>
      <c r="C16" s="9">
        <v>2</v>
      </c>
      <c r="D16" s="5" t="s">
        <v>92</v>
      </c>
      <c r="F16" s="13" t="s">
        <v>29</v>
      </c>
    </row>
    <row r="17" spans="2:8" ht="14.25" customHeight="1" x14ac:dyDescent="0.3">
      <c r="B17" s="5" t="s">
        <v>95</v>
      </c>
      <c r="C17" s="9">
        <f>60/C14</f>
        <v>0.98409600000000008</v>
      </c>
      <c r="D17" s="5" t="s">
        <v>92</v>
      </c>
      <c r="E17" s="1">
        <f>(1*6)/C17</f>
        <v>6.0969661496439365</v>
      </c>
      <c r="F17" s="5" t="s">
        <v>93</v>
      </c>
      <c r="G17" s="5" t="s">
        <v>94</v>
      </c>
      <c r="H17" s="5">
        <f>(C13/C14)*60</f>
        <v>23.618304000000002</v>
      </c>
    </row>
    <row r="18" spans="2:8" ht="14.25" customHeight="1" x14ac:dyDescent="0.3">
      <c r="B18" s="5" t="s">
        <v>96</v>
      </c>
      <c r="C18" s="9">
        <v>6</v>
      </c>
      <c r="D18" s="5" t="s">
        <v>97</v>
      </c>
    </row>
    <row r="19" spans="2:8" ht="14.25" customHeight="1" x14ac:dyDescent="0.3"/>
    <row r="20" spans="2:8" ht="14.25" customHeight="1" x14ac:dyDescent="0.3"/>
    <row r="21" spans="2:8" ht="14.25" customHeight="1" x14ac:dyDescent="0.3">
      <c r="E21" s="40">
        <f>(H17-H7)/H17</f>
        <v>0.42857142857142855</v>
      </c>
      <c r="F21" s="41" t="s">
        <v>102</v>
      </c>
    </row>
    <row r="22" spans="2:8" ht="14.25" customHeight="1" x14ac:dyDescent="0.3"/>
    <row r="23" spans="2:8" ht="14.25" customHeight="1" x14ac:dyDescent="0.3"/>
    <row r="24" spans="2:8" ht="14.25" customHeight="1" x14ac:dyDescent="0.3"/>
    <row r="25" spans="2:8" ht="14.25" customHeight="1" x14ac:dyDescent="0.3"/>
    <row r="26" spans="2:8" ht="14.25" customHeight="1" x14ac:dyDescent="0.3"/>
    <row r="27" spans="2:8" ht="14.25" customHeight="1" x14ac:dyDescent="0.3"/>
    <row r="28" spans="2:8" ht="14.25" customHeight="1" x14ac:dyDescent="0.3"/>
    <row r="29" spans="2:8" ht="14.25" customHeight="1" x14ac:dyDescent="0.3"/>
    <row r="30" spans="2:8" ht="14.25" customHeight="1" x14ac:dyDescent="0.3"/>
    <row r="31" spans="2:8" ht="14.25" customHeight="1" x14ac:dyDescent="0.3"/>
    <row r="32" spans="2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37"/>
  <sheetViews>
    <sheetView workbookViewId="0"/>
  </sheetViews>
  <sheetFormatPr defaultColWidth="12.6640625" defaultRowHeight="15" customHeight="1" x14ac:dyDescent="0.3"/>
  <cols>
    <col min="3" max="3" width="22.21875" customWidth="1"/>
    <col min="9" max="9" width="16.6640625" customWidth="1"/>
    <col min="10" max="10" width="22.109375" customWidth="1"/>
    <col min="11" max="11" width="16.6640625" customWidth="1"/>
  </cols>
  <sheetData>
    <row r="1" spans="1:12" ht="14.4" x14ac:dyDescent="0.3">
      <c r="B1" s="1" t="s">
        <v>103</v>
      </c>
    </row>
    <row r="2" spans="1:12" ht="55.8" x14ac:dyDescent="0.3">
      <c r="B2" s="42"/>
      <c r="C2" s="72" t="s">
        <v>104</v>
      </c>
      <c r="D2" s="73"/>
      <c r="E2" s="73"/>
      <c r="F2" s="74"/>
      <c r="I2" s="20"/>
      <c r="J2" s="43" t="s">
        <v>105</v>
      </c>
      <c r="K2" s="43" t="s">
        <v>106</v>
      </c>
      <c r="L2" s="20"/>
    </row>
    <row r="3" spans="1:12" ht="14.4" x14ac:dyDescent="0.3">
      <c r="B3" s="42"/>
      <c r="C3" s="75"/>
      <c r="D3" s="75"/>
      <c r="E3" s="75"/>
      <c r="F3" s="76"/>
      <c r="I3" s="20" t="s">
        <v>107</v>
      </c>
      <c r="J3" s="20">
        <v>4</v>
      </c>
      <c r="K3" s="16">
        <v>10</v>
      </c>
      <c r="L3" s="20">
        <f t="shared" ref="L3:L5" si="0">(8/J3)*K3</f>
        <v>20</v>
      </c>
    </row>
    <row r="4" spans="1:12" ht="14.4" x14ac:dyDescent="0.3">
      <c r="B4" s="42"/>
      <c r="C4" s="44" t="s">
        <v>108</v>
      </c>
      <c r="D4" s="45" t="s">
        <v>109</v>
      </c>
      <c r="E4" s="45" t="s">
        <v>110</v>
      </c>
      <c r="F4" s="30" t="s">
        <v>111</v>
      </c>
      <c r="I4" s="16" t="s">
        <v>112</v>
      </c>
      <c r="J4" s="20">
        <v>4</v>
      </c>
      <c r="K4" s="16">
        <v>5</v>
      </c>
      <c r="L4" s="20">
        <f t="shared" si="0"/>
        <v>10</v>
      </c>
    </row>
    <row r="5" spans="1:12" ht="14.4" x14ac:dyDescent="0.3">
      <c r="B5" s="42"/>
      <c r="C5" s="44" t="s">
        <v>113</v>
      </c>
      <c r="D5" s="46">
        <v>1</v>
      </c>
      <c r="E5" s="46">
        <v>1</v>
      </c>
      <c r="F5" s="46">
        <v>1</v>
      </c>
      <c r="I5" s="16" t="s">
        <v>114</v>
      </c>
      <c r="J5" s="16">
        <v>8</v>
      </c>
      <c r="K5" s="16">
        <v>10</v>
      </c>
      <c r="L5" s="20">
        <f t="shared" si="0"/>
        <v>10</v>
      </c>
    </row>
    <row r="6" spans="1:12" ht="28.8" x14ac:dyDescent="0.3">
      <c r="B6" s="47"/>
      <c r="C6" s="44" t="s">
        <v>115</v>
      </c>
      <c r="D6" s="48">
        <v>1</v>
      </c>
      <c r="E6" s="48">
        <v>1</v>
      </c>
      <c r="F6" s="48">
        <v>1</v>
      </c>
      <c r="I6" s="49" t="s">
        <v>116</v>
      </c>
      <c r="J6" s="16">
        <v>8</v>
      </c>
      <c r="K6" s="20">
        <v>120</v>
      </c>
      <c r="L6" s="20">
        <f>K6/90</f>
        <v>1.3333333333333333</v>
      </c>
    </row>
    <row r="7" spans="1:12" ht="14.4" x14ac:dyDescent="0.3">
      <c r="A7" s="50"/>
      <c r="B7" s="51" t="s">
        <v>117</v>
      </c>
      <c r="C7" s="52" t="s">
        <v>118</v>
      </c>
      <c r="D7" s="46">
        <v>8</v>
      </c>
      <c r="E7" s="46">
        <v>8</v>
      </c>
      <c r="F7" s="46">
        <v>8</v>
      </c>
    </row>
    <row r="8" spans="1:12" ht="14.4" x14ac:dyDescent="0.3">
      <c r="A8" s="50"/>
      <c r="B8" s="51" t="s">
        <v>119</v>
      </c>
      <c r="C8" s="1" t="s">
        <v>120</v>
      </c>
      <c r="D8" s="48">
        <v>60</v>
      </c>
      <c r="E8" s="48">
        <v>60</v>
      </c>
      <c r="F8" s="48">
        <v>60</v>
      </c>
    </row>
    <row r="9" spans="1:12" ht="14.4" x14ac:dyDescent="0.3">
      <c r="A9" s="50"/>
      <c r="B9" s="51" t="s">
        <v>119</v>
      </c>
      <c r="C9" s="2" t="s">
        <v>121</v>
      </c>
      <c r="D9" s="48">
        <v>20</v>
      </c>
      <c r="E9" s="48">
        <v>20</v>
      </c>
      <c r="F9" s="48">
        <v>20</v>
      </c>
    </row>
    <row r="10" spans="1:12" ht="14.4" x14ac:dyDescent="0.3">
      <c r="A10" s="50"/>
      <c r="B10" s="51" t="s">
        <v>119</v>
      </c>
      <c r="C10" s="1" t="s">
        <v>122</v>
      </c>
      <c r="D10" s="53">
        <f t="shared" ref="D10:F10" si="1">D7*60-D8-D9</f>
        <v>400</v>
      </c>
      <c r="E10" s="53">
        <f t="shared" si="1"/>
        <v>400</v>
      </c>
      <c r="F10" s="53">
        <f t="shared" si="1"/>
        <v>400</v>
      </c>
    </row>
    <row r="11" spans="1:12" ht="14.4" x14ac:dyDescent="0.3">
      <c r="A11" s="50"/>
      <c r="B11" s="51" t="s">
        <v>119</v>
      </c>
      <c r="C11" s="1" t="s">
        <v>123</v>
      </c>
      <c r="D11" s="54">
        <f>SUM(L3:L6)</f>
        <v>41.333333333333336</v>
      </c>
      <c r="E11" s="54">
        <f>SUM(L3:L6)</f>
        <v>41.333333333333336</v>
      </c>
      <c r="F11" s="54">
        <f>SUM(L3:L6)</f>
        <v>41.333333333333336</v>
      </c>
    </row>
    <row r="12" spans="1:12" ht="14.4" x14ac:dyDescent="0.3">
      <c r="A12" s="50"/>
      <c r="B12" s="51" t="s">
        <v>124</v>
      </c>
      <c r="C12" s="1" t="s">
        <v>125</v>
      </c>
      <c r="D12" s="48">
        <v>29</v>
      </c>
      <c r="E12" s="48">
        <v>3</v>
      </c>
      <c r="F12" s="48">
        <v>10</v>
      </c>
    </row>
    <row r="13" spans="1:12" ht="14.4" x14ac:dyDescent="0.3">
      <c r="A13" s="50"/>
      <c r="B13" s="51" t="s">
        <v>126</v>
      </c>
      <c r="C13" s="1" t="s">
        <v>127</v>
      </c>
      <c r="D13" s="55">
        <f>'Producción Gayafores'!C11/3</f>
        <v>14155.279881479866</v>
      </c>
      <c r="E13" s="55">
        <f>'Producción Gayafores'!H11/3</f>
        <v>1620.3703703703702</v>
      </c>
      <c r="F13" s="55">
        <f>'Producción Gayafores'!N11/3</f>
        <v>5121.4515657009069</v>
      </c>
    </row>
    <row r="14" spans="1:12" ht="14.4" x14ac:dyDescent="0.3">
      <c r="A14" s="50"/>
      <c r="B14" s="56" t="s">
        <v>126</v>
      </c>
      <c r="C14" s="57" t="s">
        <v>128</v>
      </c>
      <c r="D14" s="58">
        <f t="shared" ref="D14:F14" si="2">D13*10%</f>
        <v>1415.5279881479867</v>
      </c>
      <c r="E14" s="58">
        <f t="shared" si="2"/>
        <v>162.03703703703704</v>
      </c>
      <c r="F14" s="58">
        <f t="shared" si="2"/>
        <v>512.14515657009076</v>
      </c>
    </row>
    <row r="15" spans="1:12" ht="14.4" x14ac:dyDescent="0.3">
      <c r="A15" s="59"/>
      <c r="B15" s="60" t="s">
        <v>129</v>
      </c>
      <c r="C15" s="52" t="s">
        <v>130</v>
      </c>
      <c r="D15" s="61">
        <f t="shared" ref="D15:F15" si="3">(D10-D11)/D10</f>
        <v>0.89666666666666672</v>
      </c>
      <c r="E15" s="61">
        <f t="shared" si="3"/>
        <v>0.89666666666666672</v>
      </c>
      <c r="F15" s="61">
        <f t="shared" si="3"/>
        <v>0.89666666666666672</v>
      </c>
    </row>
    <row r="16" spans="1:12" ht="14.4" x14ac:dyDescent="0.3">
      <c r="A16" s="50"/>
      <c r="B16" s="51" t="s">
        <v>129</v>
      </c>
      <c r="C16" s="1" t="s">
        <v>131</v>
      </c>
      <c r="D16" s="62">
        <f t="shared" ref="D16:F16" si="4">((D10-D11)*D12)/D13</f>
        <v>0.73480237907142854</v>
      </c>
      <c r="E16" s="62">
        <f t="shared" si="4"/>
        <v>0.66404571428571435</v>
      </c>
      <c r="F16" s="62">
        <f t="shared" si="4"/>
        <v>0.70032228571428579</v>
      </c>
    </row>
    <row r="17" spans="1:6" ht="14.4" x14ac:dyDescent="0.3">
      <c r="A17" s="50"/>
      <c r="B17" s="56" t="s">
        <v>129</v>
      </c>
      <c r="C17" s="57" t="s">
        <v>132</v>
      </c>
      <c r="D17" s="63">
        <f t="shared" ref="D17:F17" si="5">(1-(D14/D13))</f>
        <v>0.9</v>
      </c>
      <c r="E17" s="63">
        <f t="shared" si="5"/>
        <v>0.9</v>
      </c>
      <c r="F17" s="63">
        <f t="shared" si="5"/>
        <v>0.9</v>
      </c>
    </row>
    <row r="18" spans="1:6" ht="14.4" x14ac:dyDescent="0.3">
      <c r="A18" s="50"/>
      <c r="B18" s="56" t="s">
        <v>129</v>
      </c>
      <c r="C18" s="57" t="s">
        <v>133</v>
      </c>
      <c r="D18" s="64">
        <f t="shared" ref="D18:F18" si="6">D15*D16*D17</f>
        <v>0.59298551991064297</v>
      </c>
      <c r="E18" s="64">
        <f t="shared" si="6"/>
        <v>0.53588489142857154</v>
      </c>
      <c r="F18" s="64">
        <f t="shared" si="6"/>
        <v>0.56516008457142874</v>
      </c>
    </row>
    <row r="20" spans="1:6" ht="14.4" x14ac:dyDescent="0.3">
      <c r="B20" s="1" t="s">
        <v>134</v>
      </c>
    </row>
    <row r="21" spans="1:6" ht="14.4" x14ac:dyDescent="0.3">
      <c r="B21" s="42"/>
      <c r="C21" s="72" t="s">
        <v>104</v>
      </c>
      <c r="D21" s="73"/>
      <c r="E21" s="73"/>
      <c r="F21" s="74"/>
    </row>
    <row r="22" spans="1:6" ht="14.4" x14ac:dyDescent="0.3">
      <c r="B22" s="42"/>
      <c r="C22" s="75"/>
      <c r="D22" s="75"/>
      <c r="E22" s="75"/>
      <c r="F22" s="76"/>
    </row>
    <row r="23" spans="1:6" ht="14.4" hidden="1" x14ac:dyDescent="0.3">
      <c r="B23" s="42"/>
      <c r="C23" s="44" t="s">
        <v>108</v>
      </c>
      <c r="D23" s="45" t="s">
        <v>109</v>
      </c>
      <c r="E23" s="45" t="s">
        <v>110</v>
      </c>
      <c r="F23" s="30" t="s">
        <v>111</v>
      </c>
    </row>
    <row r="24" spans="1:6" ht="14.4" hidden="1" x14ac:dyDescent="0.3">
      <c r="B24" s="42"/>
      <c r="C24" s="44" t="s">
        <v>113</v>
      </c>
      <c r="D24" s="46">
        <v>1</v>
      </c>
      <c r="E24" s="46">
        <v>1</v>
      </c>
      <c r="F24" s="46">
        <v>1</v>
      </c>
    </row>
    <row r="25" spans="1:6" ht="14.4" hidden="1" x14ac:dyDescent="0.3">
      <c r="B25" s="47"/>
      <c r="C25" s="44" t="s">
        <v>115</v>
      </c>
      <c r="D25" s="48">
        <v>1</v>
      </c>
      <c r="E25" s="48">
        <v>1</v>
      </c>
      <c r="F25" s="48">
        <v>1</v>
      </c>
    </row>
    <row r="26" spans="1:6" ht="14.4" hidden="1" x14ac:dyDescent="0.3">
      <c r="B26" s="51" t="s">
        <v>117</v>
      </c>
      <c r="C26" s="52" t="s">
        <v>118</v>
      </c>
      <c r="D26" s="46">
        <v>8</v>
      </c>
      <c r="E26" s="46">
        <v>8</v>
      </c>
      <c r="F26" s="46">
        <v>8</v>
      </c>
    </row>
    <row r="27" spans="1:6" ht="14.4" hidden="1" x14ac:dyDescent="0.3">
      <c r="B27" s="51" t="s">
        <v>119</v>
      </c>
      <c r="C27" s="1" t="s">
        <v>120</v>
      </c>
      <c r="D27" s="48">
        <v>60</v>
      </c>
      <c r="E27" s="48">
        <v>60</v>
      </c>
      <c r="F27" s="48">
        <v>60</v>
      </c>
    </row>
    <row r="28" spans="1:6" ht="14.4" hidden="1" x14ac:dyDescent="0.3">
      <c r="B28" s="51" t="s">
        <v>119</v>
      </c>
      <c r="C28" s="2" t="s">
        <v>121</v>
      </c>
      <c r="D28" s="48">
        <v>20</v>
      </c>
      <c r="E28" s="48">
        <v>20</v>
      </c>
      <c r="F28" s="48">
        <v>20</v>
      </c>
    </row>
    <row r="29" spans="1:6" ht="14.4" hidden="1" x14ac:dyDescent="0.3">
      <c r="B29" s="51" t="s">
        <v>119</v>
      </c>
      <c r="C29" s="1" t="s">
        <v>122</v>
      </c>
      <c r="D29" s="53">
        <f t="shared" ref="D29:F29" si="7">D26*60-D27-D28</f>
        <v>400</v>
      </c>
      <c r="E29" s="53">
        <f t="shared" si="7"/>
        <v>400</v>
      </c>
      <c r="F29" s="53">
        <f t="shared" si="7"/>
        <v>400</v>
      </c>
    </row>
    <row r="30" spans="1:6" ht="14.4" hidden="1" x14ac:dyDescent="0.3">
      <c r="B30" s="51" t="s">
        <v>119</v>
      </c>
      <c r="C30" s="1" t="s">
        <v>123</v>
      </c>
      <c r="D30" s="54">
        <v>90</v>
      </c>
      <c r="E30" s="54">
        <v>90</v>
      </c>
      <c r="F30" s="54">
        <v>90</v>
      </c>
    </row>
    <row r="31" spans="1:6" ht="14.4" hidden="1" x14ac:dyDescent="0.3">
      <c r="B31" s="51" t="s">
        <v>124</v>
      </c>
      <c r="C31" s="1" t="s">
        <v>125</v>
      </c>
      <c r="D31" s="48">
        <v>16</v>
      </c>
      <c r="E31" s="48">
        <v>2</v>
      </c>
      <c r="F31" s="48">
        <v>6</v>
      </c>
    </row>
    <row r="32" spans="1:6" ht="14.4" hidden="1" x14ac:dyDescent="0.3">
      <c r="B32" s="51" t="s">
        <v>126</v>
      </c>
      <c r="C32" s="1" t="s">
        <v>127</v>
      </c>
      <c r="D32" s="55">
        <f>'Producción Gayafores'!C21/3</f>
        <v>8088.7313608456361</v>
      </c>
      <c r="E32" s="55">
        <f>'Producción Gayafores'!H21/3</f>
        <v>925.92592592592598</v>
      </c>
      <c r="F32" s="55">
        <f>'Producción Gayafores'!N21/3</f>
        <v>2926.5437518290896</v>
      </c>
    </row>
    <row r="33" spans="2:6" ht="14.4" hidden="1" x14ac:dyDescent="0.3">
      <c r="B33" s="56" t="s">
        <v>126</v>
      </c>
      <c r="C33" s="57" t="s">
        <v>128</v>
      </c>
      <c r="D33" s="58">
        <f t="shared" ref="D33:F33" si="8">D32*10%</f>
        <v>808.87313608456361</v>
      </c>
      <c r="E33" s="58">
        <f t="shared" si="8"/>
        <v>92.592592592592609</v>
      </c>
      <c r="F33" s="58">
        <f t="shared" si="8"/>
        <v>292.65437518290895</v>
      </c>
    </row>
    <row r="34" spans="2:6" ht="14.4" x14ac:dyDescent="0.3">
      <c r="B34" s="60" t="s">
        <v>129</v>
      </c>
      <c r="C34" s="52" t="s">
        <v>130</v>
      </c>
      <c r="D34" s="61">
        <f t="shared" ref="D34:F34" si="9">(D29-D30)/D29</f>
        <v>0.77500000000000002</v>
      </c>
      <c r="E34" s="61">
        <f t="shared" si="9"/>
        <v>0.77500000000000002</v>
      </c>
      <c r="F34" s="61">
        <f t="shared" si="9"/>
        <v>0.77500000000000002</v>
      </c>
    </row>
    <row r="35" spans="2:6" ht="14.4" x14ac:dyDescent="0.3">
      <c r="B35" s="51" t="s">
        <v>129</v>
      </c>
      <c r="C35" s="1" t="s">
        <v>131</v>
      </c>
      <c r="D35" s="62">
        <f t="shared" ref="D35:F35" si="10">((D29-D30)*D31)/D32</f>
        <v>0.61319875499999998</v>
      </c>
      <c r="E35" s="62">
        <f t="shared" si="10"/>
        <v>0.66959999999999997</v>
      </c>
      <c r="F35" s="62">
        <f t="shared" si="10"/>
        <v>0.63556200000000007</v>
      </c>
    </row>
    <row r="36" spans="2:6" ht="14.4" x14ac:dyDescent="0.3">
      <c r="B36" s="56" t="s">
        <v>129</v>
      </c>
      <c r="C36" s="57" t="s">
        <v>132</v>
      </c>
      <c r="D36" s="63">
        <f t="shared" ref="D36:F36" si="11">(1-(D33/D32))</f>
        <v>0.9</v>
      </c>
      <c r="E36" s="63">
        <f t="shared" si="11"/>
        <v>0.9</v>
      </c>
      <c r="F36" s="63">
        <f t="shared" si="11"/>
        <v>0.9</v>
      </c>
    </row>
    <row r="37" spans="2:6" ht="14.4" x14ac:dyDescent="0.3">
      <c r="B37" s="56" t="s">
        <v>129</v>
      </c>
      <c r="C37" s="57" t="s">
        <v>133</v>
      </c>
      <c r="D37" s="64">
        <f t="shared" ref="D37:F37" si="12">D34*D35*D36</f>
        <v>0.42770613161249998</v>
      </c>
      <c r="E37" s="64">
        <f t="shared" si="12"/>
        <v>0.46704599999999996</v>
      </c>
      <c r="F37" s="64">
        <f t="shared" si="12"/>
        <v>0.44330449500000008</v>
      </c>
    </row>
  </sheetData>
  <mergeCells count="2">
    <mergeCell ref="C2:F3"/>
    <mergeCell ref="C21:F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J26"/>
  <sheetViews>
    <sheetView workbookViewId="0"/>
  </sheetViews>
  <sheetFormatPr defaultColWidth="12.6640625" defaultRowHeight="15" customHeight="1" x14ac:dyDescent="0.3"/>
  <cols>
    <col min="2" max="2" width="23.77734375" customWidth="1"/>
    <col min="4" max="4" width="13.33203125" customWidth="1"/>
    <col min="8" max="8" width="17.77734375" customWidth="1"/>
  </cols>
  <sheetData>
    <row r="2" spans="2:10" x14ac:dyDescent="0.3">
      <c r="B2" s="14" t="s">
        <v>135</v>
      </c>
    </row>
    <row r="3" spans="2:10" x14ac:dyDescent="0.3">
      <c r="H3" s="28" t="s">
        <v>136</v>
      </c>
    </row>
    <row r="4" spans="2:10" x14ac:dyDescent="0.3">
      <c r="B4" s="16" t="s">
        <v>137</v>
      </c>
      <c r="C4" s="16">
        <v>2000</v>
      </c>
      <c r="D4" s="20" t="s">
        <v>138</v>
      </c>
    </row>
    <row r="5" spans="2:10" x14ac:dyDescent="0.3">
      <c r="B5" s="16" t="s">
        <v>139</v>
      </c>
      <c r="C5" s="16">
        <v>2E-3</v>
      </c>
      <c r="D5" s="16" t="s">
        <v>140</v>
      </c>
    </row>
    <row r="6" spans="2:10" x14ac:dyDescent="0.3">
      <c r="B6" s="16" t="s">
        <v>141</v>
      </c>
      <c r="C6" s="16">
        <v>1</v>
      </c>
      <c r="D6" s="20" t="s">
        <v>142</v>
      </c>
    </row>
    <row r="7" spans="2:10" x14ac:dyDescent="0.3">
      <c r="B7" s="16" t="s">
        <v>143</v>
      </c>
      <c r="C7" s="20">
        <f>33.15*33.15*C6</f>
        <v>1098.9224999999999</v>
      </c>
      <c r="D7" s="20" t="s">
        <v>144</v>
      </c>
    </row>
    <row r="8" spans="2:10" x14ac:dyDescent="0.3">
      <c r="B8" s="16" t="s">
        <v>145</v>
      </c>
      <c r="C8" s="20">
        <f>60*120*C6</f>
        <v>7200</v>
      </c>
      <c r="D8" s="16" t="s">
        <v>144</v>
      </c>
    </row>
    <row r="9" spans="2:10" x14ac:dyDescent="0.3">
      <c r="B9" s="16" t="s">
        <v>146</v>
      </c>
      <c r="C9" s="16">
        <f>34*67*C6</f>
        <v>2278</v>
      </c>
      <c r="D9" s="16" t="s">
        <v>144</v>
      </c>
    </row>
    <row r="13" spans="2:10" x14ac:dyDescent="0.3">
      <c r="B13" s="14" t="s">
        <v>147</v>
      </c>
      <c r="H13" s="14" t="s">
        <v>148</v>
      </c>
    </row>
    <row r="14" spans="2:10" x14ac:dyDescent="0.3">
      <c r="B14" s="2" t="s">
        <v>149</v>
      </c>
      <c r="D14" s="2"/>
      <c r="H14" s="2" t="s">
        <v>149</v>
      </c>
      <c r="J14" s="2"/>
    </row>
    <row r="15" spans="2:10" x14ac:dyDescent="0.3">
      <c r="B15" s="16" t="s">
        <v>150</v>
      </c>
      <c r="C15" s="20">
        <f>((($C$5*$C$7)*'Producción Gayafores'!$C$19)/1000)</f>
        <v>1600</v>
      </c>
      <c r="D15" s="77" t="s">
        <v>151</v>
      </c>
      <c r="H15" s="16" t="s">
        <v>150</v>
      </c>
      <c r="I15" s="20">
        <f>((($C$5*$C$7)*'Producción Gayafores'!$C$9)/1000)</f>
        <v>2800.0000000000005</v>
      </c>
      <c r="J15" s="77" t="s">
        <v>151</v>
      </c>
    </row>
    <row r="16" spans="2:10" x14ac:dyDescent="0.3">
      <c r="B16" s="20" t="s">
        <v>113</v>
      </c>
      <c r="C16" s="65">
        <f>((($C$5*$C$7)*'Producción Gayafores'!C20)/1000)</f>
        <v>368.66359447004612</v>
      </c>
      <c r="D16" s="78"/>
      <c r="H16" s="20" t="s">
        <v>113</v>
      </c>
      <c r="I16" s="65">
        <f>((($C$5*$C$7)*'Producción Gayafores'!H11)/1000)</f>
        <v>10.683968749999998</v>
      </c>
      <c r="J16" s="78"/>
    </row>
    <row r="18" spans="2:10" x14ac:dyDescent="0.3">
      <c r="B18" s="1" t="s">
        <v>152</v>
      </c>
      <c r="H18" s="2" t="s">
        <v>152</v>
      </c>
      <c r="J18" s="2"/>
    </row>
    <row r="19" spans="2:10" x14ac:dyDescent="0.3">
      <c r="B19" s="16" t="s">
        <v>150</v>
      </c>
      <c r="C19" s="66">
        <f>((($C$5*$C$8)*'Producción Gayafores'!$C$19)/1000)</f>
        <v>10482.995843655946</v>
      </c>
      <c r="D19" s="77" t="s">
        <v>151</v>
      </c>
      <c r="H19" s="16" t="s">
        <v>150</v>
      </c>
      <c r="I19" s="20">
        <f>((($C$5*$C$7)*'Producción Gayafores'!$C$9)/1000)</f>
        <v>2800.0000000000005</v>
      </c>
      <c r="J19" s="77" t="s">
        <v>151</v>
      </c>
    </row>
    <row r="20" spans="2:10" x14ac:dyDescent="0.3">
      <c r="B20" s="20" t="s">
        <v>113</v>
      </c>
      <c r="C20" s="65">
        <f>((($C$5*$C$8)*'Producción Gayafores'!H20)/1000)</f>
        <v>276.49769585253455</v>
      </c>
      <c r="D20" s="78"/>
      <c r="H20" s="20" t="s">
        <v>113</v>
      </c>
      <c r="I20" s="65">
        <f>((($C$5*$C$7)*'Producción Gayafores'!$C$10)/1000)</f>
        <v>645.16129032258073</v>
      </c>
      <c r="J20" s="78"/>
    </row>
    <row r="22" spans="2:10" x14ac:dyDescent="0.3">
      <c r="B22" s="1" t="s">
        <v>153</v>
      </c>
      <c r="H22" s="2" t="s">
        <v>153</v>
      </c>
      <c r="J22" s="2"/>
    </row>
    <row r="23" spans="2:10" x14ac:dyDescent="0.3">
      <c r="B23" s="16" t="s">
        <v>150</v>
      </c>
      <c r="C23" s="65">
        <f>((($C$5*$C$9)*'Producción Gayafores'!$C$19)/1000)</f>
        <v>3316.7034072011447</v>
      </c>
      <c r="D23" s="77" t="s">
        <v>151</v>
      </c>
      <c r="H23" s="16" t="s">
        <v>150</v>
      </c>
      <c r="I23" s="20">
        <f>((($C$5*$C$7)*'Producción Gayafores'!$C$9)/1000)</f>
        <v>2800.0000000000005</v>
      </c>
      <c r="J23" s="77" t="s">
        <v>151</v>
      </c>
    </row>
    <row r="24" spans="2:10" x14ac:dyDescent="0.3">
      <c r="B24" s="20" t="s">
        <v>113</v>
      </c>
      <c r="C24" s="65">
        <f>((($C$5*$C$9)*'Producción Gayafores'!N20)/1000)</f>
        <v>276.49769585253455</v>
      </c>
      <c r="D24" s="78"/>
      <c r="H24" s="20" t="s">
        <v>113</v>
      </c>
      <c r="I24" s="65">
        <f>((($C$5*$C$7)*'Producción Gayafores'!$C$10)/1000)</f>
        <v>645.16129032258073</v>
      </c>
      <c r="J24" s="78"/>
    </row>
    <row r="26" spans="2:10" x14ac:dyDescent="0.3">
      <c r="B26" s="20" t="s">
        <v>154</v>
      </c>
      <c r="C26" s="65">
        <f>C24+C20+C16</f>
        <v>921.65898617511516</v>
      </c>
      <c r="D26" s="20" t="s">
        <v>151</v>
      </c>
      <c r="H26" s="1" t="s">
        <v>154</v>
      </c>
    </row>
  </sheetData>
  <mergeCells count="6">
    <mergeCell ref="D15:D16"/>
    <mergeCell ref="J15:J16"/>
    <mergeCell ref="D19:D20"/>
    <mergeCell ref="D23:D24"/>
    <mergeCell ref="J19:J20"/>
    <mergeCell ref="J23:J24"/>
  </mergeCells>
  <hyperlinks>
    <hyperlink ref="H3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Introducción</vt:lpstr>
      <vt:lpstr>Producción Gayafores</vt:lpstr>
      <vt:lpstr>KPI 1 Unidades día</vt:lpstr>
      <vt:lpstr>KPI 2 Costo Unidad Ganancia</vt:lpstr>
      <vt:lpstr>KPI3 Takt Time 30x30 cm</vt:lpstr>
      <vt:lpstr>KPI3 Takt Time 60x120 cm</vt:lpstr>
      <vt:lpstr>KPI3 Takt Time 34x67 cm</vt:lpstr>
      <vt:lpstr>OEE</vt:lpstr>
      <vt:lpstr>Calculos VSM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Cruz DePaula</dc:creator>
  <cp:lastModifiedBy>Valentina Cruz DePaula</cp:lastModifiedBy>
  <dcterms:created xsi:type="dcterms:W3CDTF">2024-04-03T00:37:51Z</dcterms:created>
  <dcterms:modified xsi:type="dcterms:W3CDTF">2024-04-22T22:56:54Z</dcterms:modified>
</cp:coreProperties>
</file>