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uand\Downloads\"/>
    </mc:Choice>
  </mc:AlternateContent>
  <xr:revisionPtr revIDLastSave="0" documentId="13_ncr:1_{19183259-289C-4C7B-91D7-7E0517D354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ALUACION PRY OPCION 1" sheetId="1" r:id="rId1"/>
    <sheet name="COSTOS PRY" sheetId="2" r:id="rId2"/>
  </sheets>
  <definedNames>
    <definedName name="Inflacion1">#REF!</definedName>
    <definedName name="Inflacion2">#REF!</definedName>
    <definedName name="Inflacion3">#REF!</definedName>
    <definedName name="Inflacion4">#REF!</definedName>
    <definedName name="Inflacion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ahTNqu4lpF+ktErIiARYDAWmGLb+VwHj93WoPyXs6qc="/>
    </ext>
  </extLst>
</workbook>
</file>

<file path=xl/calcChain.xml><?xml version="1.0" encoding="utf-8"?>
<calcChain xmlns="http://schemas.openxmlformats.org/spreadsheetml/2006/main">
  <c r="B1" i="1" l="1"/>
  <c r="K8" i="1"/>
  <c r="K9" i="1" s="1"/>
  <c r="B36" i="2"/>
  <c r="B26" i="2"/>
  <c r="B23" i="2"/>
  <c r="B5" i="2"/>
  <c r="B4" i="2"/>
  <c r="E3" i="2"/>
  <c r="E5" i="2" s="1"/>
  <c r="B12" i="1" s="1"/>
  <c r="H14" i="1"/>
  <c r="H13" i="1"/>
  <c r="H15" i="1" s="1"/>
  <c r="G13" i="1"/>
  <c r="F13" i="1"/>
  <c r="E13" i="1"/>
  <c r="D13" i="1"/>
  <c r="N8" i="1"/>
  <c r="N9" i="1" s="1"/>
  <c r="N17" i="1" s="1"/>
  <c r="M8" i="1"/>
  <c r="M9" i="1" s="1"/>
  <c r="B3" i="1"/>
  <c r="N13" i="1" s="1"/>
  <c r="N15" i="1" s="1"/>
  <c r="B2" i="1"/>
  <c r="F14" i="1" s="1"/>
  <c r="F15" i="1" l="1"/>
  <c r="B26" i="1"/>
  <c r="N19" i="1"/>
  <c r="N33" i="1" s="1"/>
  <c r="B15" i="1"/>
  <c r="B17" i="1" s="1"/>
  <c r="B19" i="1" s="1"/>
  <c r="L8" i="1"/>
  <c r="L9" i="1" s="1"/>
  <c r="C13" i="1"/>
  <c r="G14" i="1"/>
  <c r="G15" i="1" s="1"/>
  <c r="H8" i="1"/>
  <c r="H9" i="1" s="1"/>
  <c r="H17" i="1" s="1"/>
  <c r="H19" i="1" s="1"/>
  <c r="H33" i="1" s="1"/>
  <c r="C14" i="1"/>
  <c r="C8" i="1"/>
  <c r="D8" i="1"/>
  <c r="D9" i="1" s="1"/>
  <c r="L13" i="1"/>
  <c r="L15" i="1" s="1"/>
  <c r="M13" i="1"/>
  <c r="M15" i="1" s="1"/>
  <c r="M17" i="1" s="1"/>
  <c r="M19" i="1" s="1"/>
  <c r="M33" i="1" s="1"/>
  <c r="G8" i="1"/>
  <c r="G9" i="1" s="1"/>
  <c r="I8" i="1"/>
  <c r="I9" i="1" s="1"/>
  <c r="I17" i="1" s="1"/>
  <c r="I19" i="1" s="1"/>
  <c r="I33" i="1" s="1"/>
  <c r="D14" i="1"/>
  <c r="D15" i="1" s="1"/>
  <c r="I13" i="1"/>
  <c r="I15" i="1" s="1"/>
  <c r="J13" i="1"/>
  <c r="J15" i="1" s="1"/>
  <c r="E8" i="1"/>
  <c r="E9" i="1" s="1"/>
  <c r="K13" i="1"/>
  <c r="K15" i="1" s="1"/>
  <c r="K17" i="1" s="1"/>
  <c r="K19" i="1" s="1"/>
  <c r="K33" i="1" s="1"/>
  <c r="F8" i="1"/>
  <c r="F9" i="1" s="1"/>
  <c r="F17" i="1" s="1"/>
  <c r="F19" i="1" s="1"/>
  <c r="F33" i="1" s="1"/>
  <c r="J8" i="1"/>
  <c r="J9" i="1" s="1"/>
  <c r="J17" i="1" s="1"/>
  <c r="E14" i="1"/>
  <c r="E15" i="1" s="1"/>
  <c r="B44" i="1" l="1"/>
  <c r="B41" i="1"/>
  <c r="C9" i="1"/>
  <c r="L17" i="1"/>
  <c r="L19" i="1" s="1"/>
  <c r="L33" i="1" s="1"/>
  <c r="G17" i="1"/>
  <c r="G19" i="1" s="1"/>
  <c r="G33" i="1" s="1"/>
  <c r="D17" i="1"/>
  <c r="D19" i="1" s="1"/>
  <c r="D33" i="1" s="1"/>
  <c r="B42" i="1"/>
  <c r="C15" i="1"/>
  <c r="E17" i="1"/>
  <c r="E19" i="1" s="1"/>
  <c r="E33" i="1" s="1"/>
  <c r="J19" i="1"/>
  <c r="J33" i="1" s="1"/>
  <c r="C17" i="1" l="1"/>
  <c r="C19" i="1" s="1"/>
  <c r="C33" i="1" s="1"/>
  <c r="B43" i="1"/>
  <c r="B45" i="1" s="1"/>
  <c r="B46" i="1" l="1"/>
  <c r="B47" i="1" s="1"/>
  <c r="C34" i="1"/>
  <c r="D34" i="1" s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B25" i="1" a="1"/>
  <c r="B25" i="1" s="1"/>
  <c r="B27" i="1" s="1"/>
  <c r="B28" i="1"/>
</calcChain>
</file>

<file path=xl/sharedStrings.xml><?xml version="1.0" encoding="utf-8"?>
<sst xmlns="http://schemas.openxmlformats.org/spreadsheetml/2006/main" count="105" uniqueCount="66">
  <si>
    <t>MENSUALIDAD CLIENTE (MILLONES)</t>
  </si>
  <si>
    <t>Ganancia con el automatizado</t>
  </si>
  <si>
    <t>SALARIO NETO INGENIERO MENSUAL</t>
  </si>
  <si>
    <t>COSTOS FIJOS MENSUAL</t>
  </si>
  <si>
    <t>MES</t>
  </si>
  <si>
    <t>INGRESOS</t>
  </si>
  <si>
    <t>SERVICIO AUTOMATIZACION</t>
  </si>
  <si>
    <t>TOTAL INGRESOS</t>
  </si>
  <si>
    <t>EGRESOS</t>
  </si>
  <si>
    <t xml:space="preserve"> </t>
  </si>
  <si>
    <t>INVERSION</t>
  </si>
  <si>
    <t>OTROS COSTOS (ARRIENDOS, SERVICIOS ETC)</t>
  </si>
  <si>
    <t>COSTOS FIJOS (NOMINA)</t>
  </si>
  <si>
    <t>TOTAL EGRESOS</t>
  </si>
  <si>
    <t>FLUJO NETO ECONOMICO</t>
  </si>
  <si>
    <t>PAGO DEUDA</t>
  </si>
  <si>
    <t>FLUJO NETO FINANCIERO</t>
  </si>
  <si>
    <t>GANANCIA 
        O
COSTO OPORTUNIDAD</t>
  </si>
  <si>
    <t>FLUJO NETO FINANCIADO</t>
  </si>
  <si>
    <t>VA</t>
  </si>
  <si>
    <t>VAN</t>
  </si>
  <si>
    <t>TIR</t>
  </si>
  <si>
    <t>VALOR ACTUAL</t>
  </si>
  <si>
    <t>VALOR ACTUA ACUMULADO</t>
  </si>
  <si>
    <t>PAYBACK</t>
  </si>
  <si>
    <t>ESTADO DE PERDIDAS Y GANANCIAS</t>
  </si>
  <si>
    <t>VENTAS</t>
  </si>
  <si>
    <t>COSTOS</t>
  </si>
  <si>
    <t>UTILIDAD BRUTA</t>
  </si>
  <si>
    <t>GASTOS FINANCIEROS</t>
  </si>
  <si>
    <t>UTILIDAD ANTES DE IMMPUESTOS</t>
  </si>
  <si>
    <t>IMPUESTOS</t>
  </si>
  <si>
    <t>UTILIDAD NETA DEL EJERCICIO</t>
  </si>
  <si>
    <t>TOTAL</t>
  </si>
  <si>
    <t>HARDWARE</t>
  </si>
  <si>
    <t>GASTO FIJO MENSUAL</t>
  </si>
  <si>
    <t>COSTO</t>
  </si>
  <si>
    <t>PLCs</t>
  </si>
  <si>
    <t>TOTAL SIN NOMINA</t>
  </si>
  <si>
    <t>Internet</t>
  </si>
  <si>
    <t>Robots</t>
  </si>
  <si>
    <t>Energía eléctrica (Of. Administrativas)</t>
  </si>
  <si>
    <t>Sensores</t>
  </si>
  <si>
    <t>Agua</t>
  </si>
  <si>
    <t>Maquinaria</t>
  </si>
  <si>
    <t>Seguro empleados</t>
  </si>
  <si>
    <t>Seguro bodega</t>
  </si>
  <si>
    <t>SOFTWARE</t>
  </si>
  <si>
    <t>Studio 5000(?)</t>
  </si>
  <si>
    <t>Siemenx NX</t>
  </si>
  <si>
    <t>Ignition</t>
  </si>
  <si>
    <t>Robot Studio</t>
  </si>
  <si>
    <t>Tecnomatix</t>
  </si>
  <si>
    <t>NOMINA</t>
  </si>
  <si>
    <t>Ingeniero 1</t>
  </si>
  <si>
    <t>Ingeniero 2</t>
  </si>
  <si>
    <t>Ingeniero 3</t>
  </si>
  <si>
    <t>Ingeniero 4</t>
  </si>
  <si>
    <t>Ingeniero 5</t>
  </si>
  <si>
    <t>Ingeniero 6</t>
  </si>
  <si>
    <t>INMOBILIARIO</t>
  </si>
  <si>
    <t>Computadores</t>
  </si>
  <si>
    <t>Elementos de seguridad</t>
  </si>
  <si>
    <t>SERVICIOS</t>
  </si>
  <si>
    <t>Comparación</t>
  </si>
  <si>
    <t>Imagen de 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</si>
</sst>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"/>
    <numFmt numFmtId="166" formatCode="[$ $]#,##0"/>
  </numFmts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Roboto"/>
    </font>
    <font>
      <sz val="10"/>
      <color theme="1"/>
      <name val="Arial"/>
      <scheme val="minor"/>
    </font>
    <font>
      <sz val="11"/>
      <color rgb="FF000000"/>
      <name val="&quot;Arial Narrow&quot;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379"/>
        <bgColor rgb="FFFF9379"/>
      </patternFill>
    </fill>
    <fill>
      <patternFill patternType="solid">
        <fgColor rgb="FFB4C6E7"/>
        <bgColor rgb="FFB4C6E7"/>
      </patternFill>
    </fill>
    <fill>
      <patternFill patternType="solid">
        <fgColor rgb="FFFFC000"/>
        <bgColor rgb="FFFFC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165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165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9" fontId="2" fillId="0" borderId="4" xfId="0" applyNumberFormat="1" applyFont="1" applyBorder="1" applyAlignment="1">
      <alignment horizontal="center" vertical="center"/>
    </xf>
    <xf numFmtId="0" fontId="1" fillId="6" borderId="4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9" fontId="2" fillId="3" borderId="4" xfId="0" applyNumberFormat="1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165" fontId="2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165" fontId="2" fillId="7" borderId="1" xfId="0" applyNumberFormat="1" applyFont="1" applyFill="1" applyBorder="1" applyAlignment="1">
      <alignment vertical="center"/>
    </xf>
    <xf numFmtId="0" fontId="4" fillId="0" borderId="0" xfId="0" applyFont="1"/>
    <xf numFmtId="166" fontId="5" fillId="0" borderId="5" xfId="0" applyNumberFormat="1" applyFont="1" applyBorder="1" applyAlignment="1">
      <alignment horizontal="center" vertical="center"/>
    </xf>
    <xf numFmtId="166" fontId="6" fillId="0" borderId="0" xfId="0" applyNumberFormat="1" applyFont="1"/>
    <xf numFmtId="166" fontId="5" fillId="0" borderId="6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left"/>
    </xf>
    <xf numFmtId="166" fontId="7" fillId="0" borderId="4" xfId="0" applyNumberFormat="1" applyFont="1" applyBorder="1" applyAlignment="1">
      <alignment horizontal="right"/>
    </xf>
    <xf numFmtId="166" fontId="5" fillId="0" borderId="4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left"/>
    </xf>
    <xf numFmtId="166" fontId="7" fillId="0" borderId="6" xfId="0" applyNumberFormat="1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166" fontId="8" fillId="0" borderId="6" xfId="0" applyNumberFormat="1" applyFont="1" applyBorder="1" applyAlignment="1">
      <alignment horizontal="right"/>
    </xf>
    <xf numFmtId="166" fontId="5" fillId="0" borderId="7" xfId="0" applyNumberFormat="1" applyFont="1" applyBorder="1" applyAlignment="1">
      <alignment horizontal="center" vertical="center"/>
    </xf>
    <xf numFmtId="166" fontId="5" fillId="0" borderId="8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N28"/>
    </sheetView>
  </sheetViews>
  <sheetFormatPr baseColWidth="10" defaultColWidth="12.5703125" defaultRowHeight="15" customHeight="1"/>
  <cols>
    <col min="1" max="1" width="18.42578125" customWidth="1"/>
    <col min="2" max="2" width="24.28515625" customWidth="1"/>
    <col min="3" max="14" width="19.42578125" customWidth="1"/>
    <col min="15" max="26" width="11.42578125" customWidth="1"/>
  </cols>
  <sheetData>
    <row r="1" spans="1:26" ht="12.75" customHeight="1">
      <c r="A1" s="1" t="s">
        <v>0</v>
      </c>
      <c r="B1" s="2">
        <f>212060058*0.7</f>
        <v>148442040.59999999</v>
      </c>
      <c r="C1" s="3"/>
      <c r="D1" s="50" t="s">
        <v>1</v>
      </c>
      <c r="E1" s="5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2</v>
      </c>
      <c r="B2" s="4">
        <f>'COSTOS PRY'!D17</f>
        <v>5000000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3</v>
      </c>
      <c r="B3" s="4">
        <f>'COSTOS PRY'!J4</f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5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7"/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4</v>
      </c>
      <c r="M5" s="8" t="s">
        <v>4</v>
      </c>
      <c r="N5" s="8" t="s">
        <v>4</v>
      </c>
      <c r="O5" s="8" t="s">
        <v>4</v>
      </c>
      <c r="P5" s="8" t="s">
        <v>4</v>
      </c>
      <c r="Q5" s="8" t="s">
        <v>4</v>
      </c>
      <c r="R5" s="8" t="s">
        <v>4</v>
      </c>
      <c r="S5" s="8" t="s">
        <v>4</v>
      </c>
      <c r="T5" s="8" t="s">
        <v>4</v>
      </c>
      <c r="U5" s="8" t="s">
        <v>4</v>
      </c>
      <c r="V5" s="8" t="s">
        <v>4</v>
      </c>
      <c r="W5" s="8" t="s">
        <v>4</v>
      </c>
      <c r="X5" s="8" t="s">
        <v>4</v>
      </c>
      <c r="Y5" s="8" t="s">
        <v>4</v>
      </c>
      <c r="Z5" s="8" t="s">
        <v>4</v>
      </c>
    </row>
    <row r="6" spans="1:26" ht="12.75" customHeight="1">
      <c r="A6" s="7"/>
      <c r="B6" s="8">
        <v>0</v>
      </c>
      <c r="C6" s="8">
        <v>1</v>
      </c>
      <c r="D6" s="8">
        <v>2</v>
      </c>
      <c r="E6" s="8">
        <v>3</v>
      </c>
      <c r="F6" s="8">
        <v>4</v>
      </c>
      <c r="G6" s="8">
        <v>5</v>
      </c>
      <c r="H6" s="8">
        <v>6</v>
      </c>
      <c r="I6" s="8">
        <v>7</v>
      </c>
      <c r="J6" s="8">
        <v>8</v>
      </c>
      <c r="K6" s="8">
        <v>9</v>
      </c>
      <c r="L6" s="8">
        <v>10</v>
      </c>
      <c r="M6" s="8">
        <v>11</v>
      </c>
      <c r="N6" s="8">
        <v>12</v>
      </c>
      <c r="O6" s="8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8">
        <v>22</v>
      </c>
      <c r="Y6" s="8">
        <v>23</v>
      </c>
      <c r="Z6" s="8">
        <v>24</v>
      </c>
    </row>
    <row r="7" spans="1:26" ht="12.75" customHeight="1">
      <c r="A7" s="9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11" t="s">
        <v>6</v>
      </c>
      <c r="B8" s="10"/>
      <c r="C8" s="10">
        <f t="shared" ref="C8:N8" si="0">$B$1</f>
        <v>148442040.59999999</v>
      </c>
      <c r="D8" s="10">
        <f t="shared" si="0"/>
        <v>148442040.59999999</v>
      </c>
      <c r="E8" s="10">
        <f t="shared" si="0"/>
        <v>148442040.59999999</v>
      </c>
      <c r="F8" s="10">
        <f t="shared" si="0"/>
        <v>148442040.59999999</v>
      </c>
      <c r="G8" s="10">
        <f t="shared" si="0"/>
        <v>148442040.59999999</v>
      </c>
      <c r="H8" s="10">
        <f t="shared" si="0"/>
        <v>148442040.59999999</v>
      </c>
      <c r="I8" s="10">
        <f t="shared" si="0"/>
        <v>148442040.59999999</v>
      </c>
      <c r="J8" s="10">
        <f t="shared" si="0"/>
        <v>148442040.59999999</v>
      </c>
      <c r="K8" s="10">
        <f t="shared" si="0"/>
        <v>148442040.59999999</v>
      </c>
      <c r="L8" s="10">
        <f t="shared" si="0"/>
        <v>148442040.59999999</v>
      </c>
      <c r="M8" s="10">
        <f t="shared" si="0"/>
        <v>148442040.59999999</v>
      </c>
      <c r="N8" s="10">
        <f t="shared" si="0"/>
        <v>148442040.59999999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11" t="s">
        <v>7</v>
      </c>
      <c r="B9" s="10"/>
      <c r="C9" s="10">
        <f t="shared" ref="C9:N9" si="1">SUM(C8)</f>
        <v>148442040.59999999</v>
      </c>
      <c r="D9" s="10">
        <f t="shared" si="1"/>
        <v>148442040.59999999</v>
      </c>
      <c r="E9" s="10">
        <f t="shared" si="1"/>
        <v>148442040.59999999</v>
      </c>
      <c r="F9" s="10">
        <f t="shared" si="1"/>
        <v>148442040.59999999</v>
      </c>
      <c r="G9" s="10">
        <f t="shared" si="1"/>
        <v>148442040.59999999</v>
      </c>
      <c r="H9" s="10">
        <f t="shared" si="1"/>
        <v>148442040.59999999</v>
      </c>
      <c r="I9" s="10">
        <f t="shared" si="1"/>
        <v>148442040.59999999</v>
      </c>
      <c r="J9" s="10">
        <f t="shared" si="1"/>
        <v>148442040.59999999</v>
      </c>
      <c r="K9" s="10">
        <f t="shared" si="1"/>
        <v>148442040.59999999</v>
      </c>
      <c r="L9" s="10">
        <f t="shared" si="1"/>
        <v>148442040.59999999</v>
      </c>
      <c r="M9" s="10">
        <f t="shared" si="1"/>
        <v>148442040.59999999</v>
      </c>
      <c r="N9" s="10">
        <f t="shared" si="1"/>
        <v>148442040.59999999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12" t="s">
        <v>8</v>
      </c>
      <c r="B11" s="13" t="s">
        <v>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14" t="s">
        <v>10</v>
      </c>
      <c r="B12" s="13">
        <f>'COSTOS PRY'!E5</f>
        <v>371046366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14" t="s">
        <v>11</v>
      </c>
      <c r="B13" s="13"/>
      <c r="C13" s="13">
        <f t="shared" ref="C13:N13" si="2">$B$3</f>
        <v>0</v>
      </c>
      <c r="D13" s="13">
        <f t="shared" si="2"/>
        <v>0</v>
      </c>
      <c r="E13" s="13">
        <f t="shared" si="2"/>
        <v>0</v>
      </c>
      <c r="F13" s="13">
        <f t="shared" si="2"/>
        <v>0</v>
      </c>
      <c r="G13" s="13">
        <f t="shared" si="2"/>
        <v>0</v>
      </c>
      <c r="H13" s="13">
        <f t="shared" si="2"/>
        <v>0</v>
      </c>
      <c r="I13" s="13">
        <f t="shared" si="2"/>
        <v>0</v>
      </c>
      <c r="J13" s="13">
        <f t="shared" si="2"/>
        <v>0</v>
      </c>
      <c r="K13" s="13">
        <f t="shared" si="2"/>
        <v>0</v>
      </c>
      <c r="L13" s="13">
        <f t="shared" si="2"/>
        <v>0</v>
      </c>
      <c r="M13" s="13">
        <f t="shared" si="2"/>
        <v>0</v>
      </c>
      <c r="N13" s="13">
        <f t="shared" si="2"/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14" t="s">
        <v>12</v>
      </c>
      <c r="B14" s="13">
        <v>30000000</v>
      </c>
      <c r="C14" s="13">
        <f t="shared" ref="C14:H14" si="3">($B$2*1.6)*6</f>
        <v>48000000</v>
      </c>
      <c r="D14" s="13">
        <f t="shared" si="3"/>
        <v>48000000</v>
      </c>
      <c r="E14" s="13">
        <f t="shared" si="3"/>
        <v>48000000</v>
      </c>
      <c r="F14" s="13">
        <f t="shared" si="3"/>
        <v>48000000</v>
      </c>
      <c r="G14" s="13">
        <f t="shared" si="3"/>
        <v>48000000</v>
      </c>
      <c r="H14" s="13">
        <f t="shared" si="3"/>
        <v>48000000</v>
      </c>
      <c r="I14" s="13"/>
      <c r="J14" s="13"/>
      <c r="K14" s="13"/>
      <c r="L14" s="13"/>
      <c r="M14" s="13"/>
      <c r="N14" s="1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14" t="s">
        <v>13</v>
      </c>
      <c r="B15" s="13">
        <f t="shared" ref="B15:N15" si="4">SUM(B12:B14)</f>
        <v>401046366</v>
      </c>
      <c r="C15" s="13">
        <f t="shared" si="4"/>
        <v>48000000</v>
      </c>
      <c r="D15" s="13">
        <f t="shared" si="4"/>
        <v>48000000</v>
      </c>
      <c r="E15" s="13">
        <f t="shared" si="4"/>
        <v>48000000</v>
      </c>
      <c r="F15" s="13">
        <f t="shared" si="4"/>
        <v>48000000</v>
      </c>
      <c r="G15" s="13">
        <f t="shared" si="4"/>
        <v>48000000</v>
      </c>
      <c r="H15" s="13">
        <f t="shared" si="4"/>
        <v>48000000</v>
      </c>
      <c r="I15" s="13">
        <f t="shared" si="4"/>
        <v>0</v>
      </c>
      <c r="J15" s="13">
        <f t="shared" si="4"/>
        <v>0</v>
      </c>
      <c r="K15" s="13">
        <f t="shared" si="4"/>
        <v>0</v>
      </c>
      <c r="L15" s="13">
        <f t="shared" si="4"/>
        <v>0</v>
      </c>
      <c r="M15" s="13">
        <f t="shared" si="4"/>
        <v>0</v>
      </c>
      <c r="N15" s="13">
        <f t="shared" si="4"/>
        <v>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5" t="s">
        <v>14</v>
      </c>
      <c r="B17" s="6">
        <f t="shared" ref="B17:N17" si="5">B9-B15</f>
        <v>-401046366</v>
      </c>
      <c r="C17" s="6">
        <f t="shared" si="5"/>
        <v>100442040.59999999</v>
      </c>
      <c r="D17" s="6">
        <f t="shared" si="5"/>
        <v>100442040.59999999</v>
      </c>
      <c r="E17" s="6">
        <f t="shared" si="5"/>
        <v>100442040.59999999</v>
      </c>
      <c r="F17" s="6">
        <f t="shared" si="5"/>
        <v>100442040.59999999</v>
      </c>
      <c r="G17" s="6">
        <f t="shared" si="5"/>
        <v>100442040.59999999</v>
      </c>
      <c r="H17" s="6">
        <f t="shared" si="5"/>
        <v>100442040.59999999</v>
      </c>
      <c r="I17" s="6">
        <f t="shared" si="5"/>
        <v>148442040.59999999</v>
      </c>
      <c r="J17" s="6">
        <f t="shared" si="5"/>
        <v>148442040.59999999</v>
      </c>
      <c r="K17" s="6">
        <f t="shared" si="5"/>
        <v>148442040.59999999</v>
      </c>
      <c r="L17" s="6">
        <f t="shared" si="5"/>
        <v>148442040.59999999</v>
      </c>
      <c r="M17" s="6">
        <f t="shared" si="5"/>
        <v>148442040.59999999</v>
      </c>
      <c r="N17" s="6">
        <f t="shared" si="5"/>
        <v>148442040.59999999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5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15" t="s">
        <v>16</v>
      </c>
      <c r="B19" s="16">
        <f t="shared" ref="B19:N19" si="6">B17-B18</f>
        <v>-401046366</v>
      </c>
      <c r="C19" s="16">
        <f t="shared" si="6"/>
        <v>100442040.59999999</v>
      </c>
      <c r="D19" s="16">
        <f t="shared" si="6"/>
        <v>100442040.59999999</v>
      </c>
      <c r="E19" s="16">
        <f t="shared" si="6"/>
        <v>100442040.59999999</v>
      </c>
      <c r="F19" s="16">
        <f t="shared" si="6"/>
        <v>100442040.59999999</v>
      </c>
      <c r="G19" s="16">
        <f t="shared" si="6"/>
        <v>100442040.59999999</v>
      </c>
      <c r="H19" s="16">
        <f t="shared" si="6"/>
        <v>100442040.59999999</v>
      </c>
      <c r="I19" s="16">
        <f t="shared" si="6"/>
        <v>148442040.59999999</v>
      </c>
      <c r="J19" s="16">
        <f t="shared" si="6"/>
        <v>148442040.59999999</v>
      </c>
      <c r="K19" s="16">
        <f t="shared" si="6"/>
        <v>148442040.59999999</v>
      </c>
      <c r="L19" s="16">
        <f t="shared" si="6"/>
        <v>148442040.59999999</v>
      </c>
      <c r="M19" s="16">
        <f t="shared" si="6"/>
        <v>148442040.59999999</v>
      </c>
      <c r="N19" s="16">
        <f t="shared" si="6"/>
        <v>148442040.59999999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17" t="s">
        <v>17</v>
      </c>
      <c r="B22" s="18">
        <v>0.05</v>
      </c>
      <c r="C22" s="3"/>
      <c r="D22" s="3"/>
      <c r="E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19" t="s">
        <v>18</v>
      </c>
      <c r="B24" s="2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21" t="s">
        <v>19</v>
      </c>
      <c r="B25" s="22">
        <f t="array" ref="B25">NPV(B22,C19:N19)</f>
        <v>1072045940.0369128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21" t="s">
        <v>10</v>
      </c>
      <c r="B26" s="22">
        <f>$B$12</f>
        <v>371046366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23" t="s">
        <v>20</v>
      </c>
      <c r="B27" s="24">
        <f>B25-B26</f>
        <v>700999574.0369128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23" t="s">
        <v>21</v>
      </c>
      <c r="B28" s="25">
        <f>IRR(B19:N19)</f>
        <v>0.25700472748999426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5"/>
      <c r="B31" s="3"/>
      <c r="C31" s="8" t="s">
        <v>4</v>
      </c>
      <c r="D31" s="8" t="s">
        <v>4</v>
      </c>
      <c r="E31" s="8" t="s">
        <v>4</v>
      </c>
      <c r="F31" s="8" t="s">
        <v>4</v>
      </c>
      <c r="G31" s="8" t="s">
        <v>4</v>
      </c>
      <c r="H31" s="8" t="s">
        <v>4</v>
      </c>
      <c r="I31" s="8" t="s">
        <v>4</v>
      </c>
      <c r="J31" s="8" t="s">
        <v>4</v>
      </c>
      <c r="K31" s="8" t="s">
        <v>4</v>
      </c>
      <c r="L31" s="8" t="s">
        <v>4</v>
      </c>
      <c r="M31" s="8" t="s">
        <v>4</v>
      </c>
      <c r="N31" s="8" t="s">
        <v>4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5"/>
      <c r="B32" s="3"/>
      <c r="C32" s="8">
        <v>1</v>
      </c>
      <c r="D32" s="8">
        <v>2</v>
      </c>
      <c r="E32" s="8">
        <v>3</v>
      </c>
      <c r="F32" s="8">
        <v>4</v>
      </c>
      <c r="G32" s="8">
        <v>5</v>
      </c>
      <c r="H32" s="8">
        <v>6</v>
      </c>
      <c r="I32" s="8">
        <v>7</v>
      </c>
      <c r="J32" s="8">
        <v>8</v>
      </c>
      <c r="K32" s="8">
        <v>9</v>
      </c>
      <c r="L32" s="8">
        <v>10</v>
      </c>
      <c r="M32" s="8">
        <v>11</v>
      </c>
      <c r="N32" s="8">
        <v>12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26" t="s">
        <v>22</v>
      </c>
      <c r="B33" s="3"/>
      <c r="C33" s="6">
        <f>C19/POWER(1+$B$22,C32)</f>
        <v>95659086.285714269</v>
      </c>
      <c r="D33" s="6">
        <f t="shared" ref="C33:N33" si="7">D19/POWER(1+$B$22,D32)</f>
        <v>91103891.700680271</v>
      </c>
      <c r="E33" s="6">
        <f t="shared" si="7"/>
        <v>86765611.143505007</v>
      </c>
      <c r="F33" s="6">
        <f t="shared" si="7"/>
        <v>82633915.374766678</v>
      </c>
      <c r="G33" s="6">
        <f t="shared" si="7"/>
        <v>78698967.023587301</v>
      </c>
      <c r="H33" s="6">
        <f t="shared" si="7"/>
        <v>74951397.165321261</v>
      </c>
      <c r="I33" s="6">
        <f t="shared" si="7"/>
        <v>105494986.86083749</v>
      </c>
      <c r="J33" s="6">
        <f t="shared" si="7"/>
        <v>100471416.05794048</v>
      </c>
      <c r="K33" s="6">
        <f t="shared" si="7"/>
        <v>95687062.912324265</v>
      </c>
      <c r="L33" s="6">
        <f t="shared" si="7"/>
        <v>91130536.106975481</v>
      </c>
      <c r="M33" s="6">
        <f t="shared" si="7"/>
        <v>86790986.768548071</v>
      </c>
      <c r="N33" s="6">
        <f t="shared" si="7"/>
        <v>82658082.636712462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26" t="s">
        <v>23</v>
      </c>
      <c r="B34" s="3"/>
      <c r="C34" s="27">
        <f>C33</f>
        <v>95659086.285714269</v>
      </c>
      <c r="D34" s="27">
        <f t="shared" ref="D34:N34" si="8">C34+D33</f>
        <v>186762977.98639452</v>
      </c>
      <c r="E34" s="27">
        <f t="shared" si="8"/>
        <v>273528589.1298995</v>
      </c>
      <c r="F34" s="27">
        <f t="shared" si="8"/>
        <v>356162504.50466621</v>
      </c>
      <c r="G34" s="27">
        <f t="shared" si="8"/>
        <v>434861471.5282535</v>
      </c>
      <c r="H34" s="6">
        <f t="shared" si="8"/>
        <v>509812868.69357479</v>
      </c>
      <c r="I34" s="6">
        <f t="shared" si="8"/>
        <v>615307855.55441225</v>
      </c>
      <c r="J34" s="6">
        <f t="shared" si="8"/>
        <v>715779271.61235273</v>
      </c>
      <c r="K34" s="6">
        <f t="shared" si="8"/>
        <v>811466334.52467704</v>
      </c>
      <c r="L34" s="6">
        <f t="shared" si="8"/>
        <v>902596870.63165247</v>
      </c>
      <c r="M34" s="6">
        <f t="shared" si="8"/>
        <v>989387857.40020061</v>
      </c>
      <c r="N34" s="6">
        <f t="shared" si="8"/>
        <v>1072045940.036913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28" t="s">
        <v>24</v>
      </c>
      <c r="B35" s="29">
        <v>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30" t="s">
        <v>25</v>
      </c>
      <c r="B39" s="3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32"/>
      <c r="B40" s="3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32" t="s">
        <v>26</v>
      </c>
      <c r="B41" s="33">
        <f>SUM(C8:N8)</f>
        <v>1781304487.1999996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32" t="s">
        <v>27</v>
      </c>
      <c r="B42" s="33">
        <f>SUM(C13:N14)</f>
        <v>288000000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32" t="s">
        <v>28</v>
      </c>
      <c r="B43" s="33">
        <f>B41-B42</f>
        <v>1493304487.1999996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32" t="s">
        <v>29</v>
      </c>
      <c r="B44" s="33">
        <f>SUM(C18:N18)</f>
        <v>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32" t="s">
        <v>30</v>
      </c>
      <c r="B45" s="33">
        <f>B43-B44</f>
        <v>1493304487.1999996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32" t="s">
        <v>31</v>
      </c>
      <c r="B46" s="33">
        <f>B45*0.19</f>
        <v>283727852.5679999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32" t="s">
        <v>32</v>
      </c>
      <c r="B47" s="33">
        <f>B45-B46</f>
        <v>1209576634.6319997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D1:E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workbookViewId="0"/>
  </sheetViews>
  <sheetFormatPr baseColWidth="10" defaultColWidth="12.5703125" defaultRowHeight="15" customHeight="1"/>
  <cols>
    <col min="1" max="1" width="10.5703125" customWidth="1"/>
    <col min="2" max="2" width="11.5703125" customWidth="1"/>
    <col min="3" max="3" width="21.28515625" customWidth="1"/>
    <col min="4" max="4" width="10.5703125" customWidth="1"/>
    <col min="5" max="5" width="16.85546875" customWidth="1"/>
    <col min="6" max="7" width="10.5703125" customWidth="1"/>
    <col min="8" max="8" width="26.28515625" customWidth="1"/>
    <col min="9" max="26" width="10.5703125" customWidth="1"/>
  </cols>
  <sheetData>
    <row r="1" spans="2:10" ht="12.75" customHeight="1"/>
    <row r="2" spans="2:10" ht="12.75" customHeight="1">
      <c r="E2" s="34" t="s">
        <v>33</v>
      </c>
    </row>
    <row r="3" spans="2:10" ht="12.75" customHeight="1">
      <c r="B3" s="35"/>
      <c r="C3" s="34" t="s">
        <v>34</v>
      </c>
      <c r="E3" s="36">
        <f>SUM(B3:B41)</f>
        <v>401046366</v>
      </c>
      <c r="H3" s="34" t="s">
        <v>35</v>
      </c>
      <c r="I3" s="34" t="s">
        <v>36</v>
      </c>
      <c r="J3" s="34" t="s">
        <v>33</v>
      </c>
    </row>
    <row r="4" spans="2:10" ht="12.75" customHeight="1">
      <c r="B4" s="37">
        <f>4000000*4</f>
        <v>16000000</v>
      </c>
      <c r="C4" s="38" t="s">
        <v>37</v>
      </c>
      <c r="E4" s="34" t="s">
        <v>38</v>
      </c>
      <c r="H4" s="39" t="s">
        <v>39</v>
      </c>
      <c r="I4" s="40">
        <v>500000</v>
      </c>
      <c r="J4" s="38">
        <v>0</v>
      </c>
    </row>
    <row r="5" spans="2:10" ht="12.75" customHeight="1">
      <c r="B5" s="41">
        <f>76266474 * 2</f>
        <v>152532948</v>
      </c>
      <c r="C5" s="38" t="s">
        <v>40</v>
      </c>
      <c r="E5" s="36">
        <f>E3-B23</f>
        <v>371046366</v>
      </c>
      <c r="H5" s="42" t="s">
        <v>41</v>
      </c>
      <c r="I5" s="43">
        <v>600000</v>
      </c>
    </row>
    <row r="6" spans="2:10" ht="12.75" customHeight="1">
      <c r="B6" s="41">
        <v>1500000</v>
      </c>
      <c r="C6" s="38" t="s">
        <v>42</v>
      </c>
      <c r="H6" s="42" t="s">
        <v>43</v>
      </c>
      <c r="I6" s="43">
        <v>200000</v>
      </c>
    </row>
    <row r="7" spans="2:10" ht="12.75" customHeight="1">
      <c r="B7" s="41"/>
      <c r="C7" s="38" t="s">
        <v>44</v>
      </c>
      <c r="H7" s="44" t="s">
        <v>45</v>
      </c>
      <c r="I7" s="45">
        <v>833000</v>
      </c>
    </row>
    <row r="8" spans="2:10" ht="12.75" customHeight="1">
      <c r="B8" s="41"/>
      <c r="H8" s="44" t="s">
        <v>46</v>
      </c>
      <c r="I8" s="45">
        <v>1600000</v>
      </c>
    </row>
    <row r="9" spans="2:10" ht="12.75" customHeight="1">
      <c r="B9" s="46"/>
    </row>
    <row r="10" spans="2:10" ht="12.75" customHeight="1">
      <c r="B10" s="47"/>
      <c r="C10" s="34" t="s">
        <v>47</v>
      </c>
    </row>
    <row r="11" spans="2:10" ht="12.75" customHeight="1">
      <c r="B11" s="37"/>
      <c r="C11" s="38" t="s">
        <v>48</v>
      </c>
    </row>
    <row r="12" spans="2:10" ht="12.75" customHeight="1">
      <c r="B12" s="41">
        <v>39936679</v>
      </c>
      <c r="C12" s="38" t="s">
        <v>49</v>
      </c>
    </row>
    <row r="13" spans="2:10" ht="12.75" customHeight="1">
      <c r="B13" s="41">
        <v>4271718</v>
      </c>
      <c r="C13" s="38" t="s">
        <v>50</v>
      </c>
    </row>
    <row r="14" spans="2:10" ht="12.75" customHeight="1">
      <c r="B14" s="41">
        <v>13202642</v>
      </c>
      <c r="C14" s="38" t="s">
        <v>51</v>
      </c>
    </row>
    <row r="15" spans="2:10" ht="12.75" customHeight="1">
      <c r="B15" s="46">
        <v>4460000</v>
      </c>
      <c r="C15" s="38" t="s">
        <v>52</v>
      </c>
    </row>
    <row r="16" spans="2:10" ht="12.75" customHeight="1">
      <c r="B16" s="47"/>
      <c r="C16" s="34" t="s">
        <v>53</v>
      </c>
    </row>
    <row r="17" spans="2:5" ht="12.75" customHeight="1">
      <c r="B17" s="48"/>
      <c r="C17" s="38" t="s">
        <v>54</v>
      </c>
      <c r="D17" s="36">
        <v>5000000</v>
      </c>
    </row>
    <row r="18" spans="2:5" ht="12.75" customHeight="1">
      <c r="B18" s="49"/>
      <c r="C18" s="38" t="s">
        <v>55</v>
      </c>
      <c r="D18" s="36">
        <v>5000000</v>
      </c>
    </row>
    <row r="19" spans="2:5" ht="12.75" customHeight="1">
      <c r="B19" s="49"/>
      <c r="C19" s="38" t="s">
        <v>56</v>
      </c>
      <c r="D19" s="36">
        <v>5000000</v>
      </c>
    </row>
    <row r="20" spans="2:5" ht="12.75" customHeight="1">
      <c r="B20" s="49"/>
      <c r="C20" s="38" t="s">
        <v>57</v>
      </c>
      <c r="D20" s="36">
        <v>5000000</v>
      </c>
    </row>
    <row r="21" spans="2:5" ht="12.75" customHeight="1">
      <c r="B21" s="49"/>
      <c r="C21" s="38" t="s">
        <v>58</v>
      </c>
      <c r="D21" s="36">
        <v>5000000</v>
      </c>
    </row>
    <row r="22" spans="2:5" ht="12.75" customHeight="1">
      <c r="B22" s="49"/>
      <c r="C22" s="38" t="s">
        <v>59</v>
      </c>
      <c r="D22" s="36">
        <v>5000000</v>
      </c>
    </row>
    <row r="23" spans="2:5" ht="12.75" customHeight="1">
      <c r="B23" s="46">
        <f>SUM(D17:D22)</f>
        <v>30000000</v>
      </c>
      <c r="C23" s="34" t="s">
        <v>33</v>
      </c>
    </row>
    <row r="24" spans="2:5" ht="12.75" customHeight="1">
      <c r="B24" s="47"/>
      <c r="C24" s="34" t="s">
        <v>60</v>
      </c>
    </row>
    <row r="25" spans="2:5" ht="12.75" customHeight="1">
      <c r="B25" s="37">
        <v>20000000</v>
      </c>
      <c r="C25" s="38" t="s">
        <v>61</v>
      </c>
    </row>
    <row r="26" spans="2:5" ht="12.75" customHeight="1">
      <c r="B26" s="41">
        <f>118771479</f>
        <v>118771479</v>
      </c>
      <c r="C26" s="38" t="s">
        <v>62</v>
      </c>
    </row>
    <row r="27" spans="2:5" ht="12.75" customHeight="1">
      <c r="B27" s="41"/>
    </row>
    <row r="28" spans="2:5" ht="12.75" customHeight="1">
      <c r="B28" s="41"/>
      <c r="E28" s="34"/>
    </row>
    <row r="29" spans="2:5" ht="12.75" customHeight="1">
      <c r="B29" s="41"/>
    </row>
    <row r="30" spans="2:5" ht="12.75" customHeight="1">
      <c r="B30" s="41"/>
    </row>
    <row r="31" spans="2:5" ht="12.75" customHeight="1">
      <c r="B31" s="41"/>
    </row>
    <row r="32" spans="2:5" ht="12.75" customHeight="1">
      <c r="B32" s="41"/>
    </row>
    <row r="33" spans="2:3" ht="12.75" customHeight="1">
      <c r="B33" s="41"/>
    </row>
    <row r="34" spans="2:3" ht="12.75" customHeight="1">
      <c r="B34" s="46"/>
    </row>
    <row r="35" spans="2:3" ht="12.75" customHeight="1">
      <c r="B35" s="47"/>
      <c r="C35" s="34" t="s">
        <v>63</v>
      </c>
    </row>
    <row r="36" spans="2:3" ht="12.75" customHeight="1">
      <c r="B36" s="37">
        <f>4*47000</f>
        <v>188000</v>
      </c>
      <c r="C36" s="38" t="s">
        <v>64</v>
      </c>
    </row>
    <row r="37" spans="2:3" ht="12.75" customHeight="1">
      <c r="B37" s="41">
        <v>182900</v>
      </c>
      <c r="C37" s="38" t="s">
        <v>65</v>
      </c>
    </row>
    <row r="38" spans="2:3" ht="12.75" customHeight="1">
      <c r="B38" s="41"/>
    </row>
    <row r="39" spans="2:3" ht="12.75" customHeight="1">
      <c r="B39" s="41"/>
    </row>
    <row r="40" spans="2:3" ht="12.75" customHeight="1">
      <c r="B40" s="36"/>
    </row>
    <row r="41" spans="2:3" ht="12.75" customHeight="1">
      <c r="B41" s="36"/>
    </row>
    <row r="42" spans="2:3" ht="12.75" customHeight="1"/>
    <row r="43" spans="2:3" ht="12.75" customHeight="1"/>
    <row r="44" spans="2:3" ht="12.75" customHeight="1"/>
    <row r="45" spans="2:3" ht="12.75" customHeight="1"/>
    <row r="46" spans="2:3" ht="12.75" customHeight="1"/>
    <row r="47" spans="2:3" ht="12.75" customHeight="1"/>
    <row r="48" spans="2:3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EVALUACION PRY OPCION 1</vt:lpstr>
      <vt:lpstr>COSTOS 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Barrera G.</dc:creator>
  <cp:lastModifiedBy>Juan David Morales Restrepo</cp:lastModifiedBy>
  <dcterms:created xsi:type="dcterms:W3CDTF">2020-11-30T17:50:54Z</dcterms:created>
  <dcterms:modified xsi:type="dcterms:W3CDTF">2024-04-23T00:08:00Z</dcterms:modified>
</cp:coreProperties>
</file>