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codeName="ThisWorkbook" defaultThemeVersion="124226"/>
  <xr:revisionPtr revIDLastSave="0" documentId="8_{CA87789A-7AD8-43C5-B9E8-C49F5D04FF41}" xr6:coauthVersionLast="47" xr6:coauthVersionMax="47" xr10:uidLastSave="{00000000-0000-0000-0000-000000000000}"/>
  <bookViews>
    <workbookView xWindow="-98" yWindow="-98" windowWidth="22695" windowHeight="14595" tabRatio="738" activeTab="5" xr2:uid="{00000000-000D-0000-FFFF-FFFF00000000}"/>
  </bookViews>
  <sheets>
    <sheet name="Information" sheetId="13" r:id="rId1"/>
    <sheet name="Version Control" sheetId="14" r:id="rId2"/>
    <sheet name="Meta Data" sheetId="20" r:id="rId3"/>
    <sheet name="Data" sheetId="2" r:id="rId4"/>
    <sheet name="Calculations" sheetId="10" r:id="rId5"/>
    <sheet name="Scorecard" sheetId="8" r:id="rId6"/>
    <sheet name="Technical Notes" sheetId="26" r:id="rId7"/>
    <sheet name="Primary Summary Data" sheetId="15" r:id="rId8"/>
    <sheet name="Secondary Summary Data" sheetId="16" r:id="rId9"/>
  </sheets>
  <externalReferences>
    <externalReference r:id="rId10"/>
  </externalReferences>
  <definedNames>
    <definedName name="_xlnm._FilterDatabase" localSheetId="3" hidden="1">Data!$A$1:$DJ$151</definedName>
    <definedName name="_xlnm._FilterDatabase" localSheetId="7" hidden="1">'Primary Summary Data'!$A$1:$BP$157</definedName>
    <definedName name="_xlnm._FilterDatabase" localSheetId="8" hidden="1">'Secondary Summary Data'!$A$2:$BD$157</definedName>
    <definedName name="Auth_num">Calculations!$A$2:$A$151</definedName>
    <definedName name="Auth_num2" localSheetId="6">[1]Calculations!$A$2:$A$154</definedName>
    <definedName name="Auth_num2">Calculations!$A$2:$A$151</definedName>
    <definedName name="Authorities" localSheetId="6">[1]Calculations!$B$2:$B$154</definedName>
    <definedName name="Authorities">Calculations!$B$2:$B$151</definedName>
    <definedName name="Authorities2" localSheetId="6">[1]Calculations!$B$2:$B$154</definedName>
    <definedName name="Authorities2">Calculations!$B$2:$B$151</definedName>
    <definedName name="Ban_P_gro" localSheetId="6">[1]Data!$CZ$2:$CZ$154</definedName>
    <definedName name="Ban_P_gro">Data!$CZ$2:$CZ$151</definedName>
    <definedName name="Ban_S_gro" localSheetId="6">[1]Data!$DA$2:$DA$154</definedName>
    <definedName name="Ban_S_gro">Data!$DA$2:$DA$151</definedName>
    <definedName name="BNfunding" localSheetId="6">[1]Calculations!$M$71</definedName>
    <definedName name="BNfunding">Calculations!$M$71</definedName>
    <definedName name="chosen_LA" localSheetId="6">[1]Calculations!$E$2</definedName>
    <definedName name="chosen_LA">Calculations!$E$2</definedName>
    <definedName name="Chosen_laNUM">Calculations!$E$3</definedName>
    <definedName name="chosen_phase" localSheetId="6">[1]Calculations!$F$2</definedName>
    <definedName name="chosen_phase">Calculations!$F$2</definedName>
    <definedName name="Chosen_Qual" localSheetId="6">[1]Calculations!$G$2</definedName>
    <definedName name="Chosen_Qual">Calculations!$G$2</definedName>
    <definedName name="cost_lab1" localSheetId="6">[1]Calculations!$L$30</definedName>
    <definedName name="cost_lab1">Calculations!$L$30</definedName>
    <definedName name="cost_lab2" localSheetId="6">[1]Calculations!$L$31</definedName>
    <definedName name="cost_lab2">Calculations!$L$31</definedName>
    <definedName name="cost_lab3" localSheetId="6">[1]Calculations!$L$32</definedName>
    <definedName name="cost_lab3">Calculations!$L$32</definedName>
    <definedName name="Cost_P_EPn" localSheetId="6">[1]Data!$CH$2:$CH$2</definedName>
    <definedName name="Cost_P_EPn">Data!$CH$2:$CH$151</definedName>
    <definedName name="Cost_P_ETn" localSheetId="6">[1]Data!$CI$2:$CI$2</definedName>
    <definedName name="Cost_P_ETn">Data!$CI$2:$CI$151</definedName>
    <definedName name="Cost_P_NSn" localSheetId="6">[1]Data!$CJ$2:$CJ$2</definedName>
    <definedName name="Cost_P_NSn">Data!$CJ$2:$CJ$151</definedName>
    <definedName name="Cost_S_EPn" localSheetId="6">[1]Data!$CK$2:$CK$2</definedName>
    <definedName name="Cost_S_EPn">Data!$CK$2:$CK$151</definedName>
    <definedName name="Cost_S_ETn" localSheetId="6">[1]Data!$CL$2:$CL$2</definedName>
    <definedName name="Cost_S_ETn">Data!$CL$2:$CL$151</definedName>
    <definedName name="Cost_S_NSn" localSheetId="6">[1]Data!$CM$2:$CM$153</definedName>
    <definedName name="Cost_S_NSn">Data!$CM$2:$CM$151</definedName>
    <definedName name="CPP_P_EP" localSheetId="6">[1]Data!$CB$2:$CB$153</definedName>
    <definedName name="CPP_P_EP">Data!$CB$2:$CB$151</definedName>
    <definedName name="CPP_P_ET" localSheetId="6">[1]Data!$CC$2:$CC$153</definedName>
    <definedName name="CPP_P_ET">Data!$CC$2:$CC$151</definedName>
    <definedName name="CPP_P_NS" localSheetId="6">[1]Data!$CD$2:$CD$153</definedName>
    <definedName name="CPP_P_NS">Data!$CD$2:$CD$151</definedName>
    <definedName name="CPP_S_EP" localSheetId="6">[1]Data!$CE$2:$CE$153</definedName>
    <definedName name="CPP_S_EP">Data!$CE$2:$CE$151</definedName>
    <definedName name="CPP_S_ET" localSheetId="6">[1]Data!$CF$2:$CF$153</definedName>
    <definedName name="CPP_S_ET">Data!$CF$2:$CF$151</definedName>
    <definedName name="CPP_S_NS" localSheetId="6">[1]Data!$CG$3:$CG$154</definedName>
    <definedName name="CPP_S_NS">Data!$CG$2:$CG$151</definedName>
    <definedName name="ct_key1" localSheetId="6">[1]Calculations!$K$34</definedName>
    <definedName name="ct_key1">Calculations!$K$34</definedName>
    <definedName name="ct_lab5">Calculations!$P$30</definedName>
    <definedName name="ct_lab6">Calculations!$Q$30</definedName>
    <definedName name="Existing" localSheetId="6">[1]Calculations!$L$20</definedName>
    <definedName name="Existing">Calculations!$L$20</definedName>
    <definedName name="For_1_P" localSheetId="6">[1]Data!$C$2:$C$154</definedName>
    <definedName name="For_1_P">Data!$C$2:$C$151</definedName>
    <definedName name="For_1_S" localSheetId="6">[1]Data!$E$2:$E$154</definedName>
    <definedName name="For_1_S">Data!$E$2:$E$151</definedName>
    <definedName name="for_1_value" localSheetId="6">[1]Calculations!$L$11</definedName>
    <definedName name="for_1_value">Calculations!$L$11</definedName>
    <definedName name="For_3_P" localSheetId="6">[1]Data!$B$2:$B$154</definedName>
    <definedName name="For_3_P">Data!$B$2:$B$151</definedName>
    <definedName name="For_3_S" localSheetId="6">[1]Data!$D$2:$D$154</definedName>
    <definedName name="For_3_S">Data!$D$2:$D$151</definedName>
    <definedName name="for_3_value" localSheetId="6">[1]Calculations!$L$12</definedName>
    <definedName name="for_3_value">Calculations!$L$12</definedName>
    <definedName name="for_lab1" localSheetId="6">[1]Calculations!$K$15</definedName>
    <definedName name="for_lab1">Calculations!$K$15</definedName>
    <definedName name="for_lab2" localSheetId="6">[1]Calculations!$L$15</definedName>
    <definedName name="for_lab2">Calculations!$L$15</definedName>
    <definedName name="for_lab3" localSheetId="6">[1]Calculations!$M$15</definedName>
    <definedName name="for_lab3">Calculations!$M$15</definedName>
    <definedName name="for_lab4" localSheetId="6">[1]Calculations!$N$15</definedName>
    <definedName name="for_lab4">Calculations!$N$15</definedName>
    <definedName name="For_lab5">Calculations!$O$15</definedName>
    <definedName name="For_LAranking">Calculations!$O$16</definedName>
    <definedName name="for_lavb3">Calculations!$M$15</definedName>
    <definedName name="Funding" localSheetId="6">[1]Data!$DB$2:$DB$154</definedName>
    <definedName name="Funding">Data!$DB$2:$DB$151</definedName>
    <definedName name="Funding_lab1" localSheetId="6">[1]Calculations!$K$70</definedName>
    <definedName name="Funding_lab1">Calculations!$K$70</definedName>
    <definedName name="KS2Mat_A_E" localSheetId="6">[1]Data!$BJ$2:$BJ$154</definedName>
    <definedName name="KS2Mat_A_E">Data!$BJ$2:$BJ$151</definedName>
    <definedName name="KS2Mat_A_N" localSheetId="6">[1]Data!$BB$2:$BB$154</definedName>
    <definedName name="KS2Mat_A_N">Data!$BB$2:$BB$151</definedName>
    <definedName name="KS2Mat_AA_E" localSheetId="6">[1]Data!$BI$2:$BI$154</definedName>
    <definedName name="KS2Mat_AA_E">Data!$BI$2:$BI$151</definedName>
    <definedName name="KS2Mat_AA_N" localSheetId="6">[1]Data!$BA$2:$BA$154</definedName>
    <definedName name="KS2Mat_AA_N">Data!$BA$2:$BA$151</definedName>
    <definedName name="KS2Mat_BA_E" localSheetId="6">[1]Data!$BK$2:$BK$154</definedName>
    <definedName name="KS2Mat_BA_E">Data!$BK$2:$BK$151</definedName>
    <definedName name="KS2Mat_BA_N" localSheetId="6">[1]Data!$BC$2:$BC$154</definedName>
    <definedName name="KS2Mat_BA_N">Data!$BC$2:$BC$151</definedName>
    <definedName name="KS2Mat_NR_E" localSheetId="6">[1]Data!$BM$2:$BM$154</definedName>
    <definedName name="KS2Mat_NR_E">Data!$BM$2:$BM$151</definedName>
    <definedName name="KS2Mat_NR_N" localSheetId="6">[1]Data!$BE$2:$BE$154</definedName>
    <definedName name="KS2Mat_NR_N">Data!$BE$2:$BE$151</definedName>
    <definedName name="KS2Mat_WAA_E" localSheetId="6">[1]Data!$BH$2:$BH$154</definedName>
    <definedName name="KS2Mat_WAA_E">Data!$BH$2:$BH$151</definedName>
    <definedName name="KS2Mat_WAA_N" localSheetId="6">[1]Data!$AZ$2:$AZ$154</definedName>
    <definedName name="KS2Mat_WAA_N">Data!$AZ$2:$AZ$151</definedName>
    <definedName name="KS2Mat_WBA_E" localSheetId="6">[1]Data!$BL$2:$BL$154</definedName>
    <definedName name="KS2Mat_WBA_E">Data!$BL$2:$BL$151</definedName>
    <definedName name="KS2Mat_WBA_N" localSheetId="6">[1]Data!$BD$2:$BD$154</definedName>
    <definedName name="KS2Mat_WBA_N">Data!$BD$2:$BD$151</definedName>
    <definedName name="KS2Read_A_E" localSheetId="6">[1]Data!#REF!</definedName>
    <definedName name="KS2Read_A_E">Data!$BX$2:$BX$151</definedName>
    <definedName name="KS2Read_A_N" localSheetId="6">[1]Data!$BP$2:$BP$154</definedName>
    <definedName name="KS2Read_A_N">Data!$BP$2:$BP$151</definedName>
    <definedName name="KS2Read_AA_E" localSheetId="6">[1]Data!#REF!</definedName>
    <definedName name="KS2Read_AA_E">Data!$BW$2:$BW$151</definedName>
    <definedName name="KS2Read_AA_N" localSheetId="6">[1]Data!$BO$2:$BO$154</definedName>
    <definedName name="KS2Read_AA_N">Data!$BO$2:$BO$151</definedName>
    <definedName name="KS2Read_BA_E" localSheetId="6">[1]Data!#REF!</definedName>
    <definedName name="KS2Read_BA_E">Data!$BY$2:$BY$151</definedName>
    <definedName name="KS2Read_BA_N" localSheetId="6">[1]Data!$BQ$2:$BQ$154</definedName>
    <definedName name="KS2Read_BA_N">Data!$BQ$2:$BQ$151</definedName>
    <definedName name="KS2Read_NR_E" localSheetId="6">[1]Data!#REF!</definedName>
    <definedName name="KS2Read_NR_E">Data!$CA$2:$CA$151</definedName>
    <definedName name="KS2Read_NR_N" localSheetId="6">[1]Data!$BS$2:$BS$154</definedName>
    <definedName name="KS2Read_NR_N">Data!$BS$2:$BS$151</definedName>
    <definedName name="KS2Read_WAA_E" localSheetId="6">[1]Data!#REF!</definedName>
    <definedName name="KS2Read_WAA_E">Data!$BV$2:$BV$151</definedName>
    <definedName name="KS2Read_WAA_N" localSheetId="6">[1]Data!$BN$2:$BN$154</definedName>
    <definedName name="KS2Read_WAA_N">Data!$BN$2:$BN$151</definedName>
    <definedName name="KS2Read_WBA_E" localSheetId="6">[1]Data!#REF!</definedName>
    <definedName name="KS2Read_WBA_E">Data!$BZ$2:$BZ$151</definedName>
    <definedName name="KS2Read_WBA_N" localSheetId="6">[1]Data!$BR$2:$BR$154</definedName>
    <definedName name="KS2Read_WBA_N">Data!$BR$2:$BR$151</definedName>
    <definedName name="LA_data_list">Data!$A$2:$A$151</definedName>
    <definedName name="LA_data_list2" localSheetId="6">[1]Data!$A$2:$A$154</definedName>
    <definedName name="LA_data_list2">Data!$A$2:$A$151</definedName>
    <definedName name="New" localSheetId="6">[1]Calculations!$L$21</definedName>
    <definedName name="New">Calculations!$L$21</definedName>
    <definedName name="obscurer" localSheetId="6">[1]Calculations!$I$2</definedName>
    <definedName name="obscurer">Calculations!$I$2</definedName>
    <definedName name="PG_lab" localSheetId="6">[1]Calculations!$K$73</definedName>
    <definedName name="PG_lab">Calculations!$K$73</definedName>
    <definedName name="Phases" localSheetId="6">[1]Calculations!$C$2:$C$3</definedName>
    <definedName name="Phases">Calculations!$C$2:$C$3</definedName>
    <definedName name="Pref_eng" localSheetId="6">[1]Calculations!$P$84</definedName>
    <definedName name="Pref_eng">Calculations!$P$84</definedName>
    <definedName name="Pref_LA">Calculations!$E$4</definedName>
    <definedName name="Pref_lab1" localSheetId="6">[1]Calculations!$K$80</definedName>
    <definedName name="Pref_lab1">Calculations!$K$80</definedName>
    <definedName name="Pref_Lab2">Calculations!$K$81</definedName>
    <definedName name="Pref_lab3">Calculations!$K$82</definedName>
    <definedName name="Pref_P_1" localSheetId="6">[1]Data!$DC$2:$DC$154</definedName>
    <definedName name="Pref_P_1">Data!$DC$2:$DC$151</definedName>
    <definedName name="Pref_P_2" localSheetId="6">[1]Data!$DD$2:$DD$154</definedName>
    <definedName name="Pref_P_2">Data!$DD$2:$DD$151</definedName>
    <definedName name="Pref_P_3" localSheetId="6">[1]Data!$DE$2:$DE$154</definedName>
    <definedName name="Pref_P_3">Data!$DE$2:$DE$151</definedName>
    <definedName name="Pref_P_T3" localSheetId="6">[1]Data!$DI$2:$DI$154</definedName>
    <definedName name="Pref_P_T3">Data!$DI$2:$DI$151</definedName>
    <definedName name="Pref_S_1" localSheetId="6">[1]Data!$DF$2:$DF$154</definedName>
    <definedName name="Pref_S_1">Data!$DF$2:$DF$151</definedName>
    <definedName name="Pref_S_2" localSheetId="6">[1]Data!$DG$2:$DG$154</definedName>
    <definedName name="Pref_S_2">Data!$DG$2:$DG$151</definedName>
    <definedName name="Pref_S_3" localSheetId="6">[1]Data!$DH$2:$DH$154</definedName>
    <definedName name="Pref_S_3">Data!$DH$2:$DH$151</definedName>
    <definedName name="Pref_S_T3" localSheetId="6">[1]Data!$DJ$2:$DJ$154</definedName>
    <definedName name="Pref_S_T3">Data!$DJ$2:$DJ$151</definedName>
    <definedName name="Pref_T3" localSheetId="6">[1]Calculations!$O$84</definedName>
    <definedName name="Pref_T3">Calculations!$O$84</definedName>
    <definedName name="_xlnm.Print_Area" localSheetId="0">Information!$A$1:$Y$35</definedName>
    <definedName name="_xlnm.Print_Area" localSheetId="7">'Primary Summary Data'!$A$1:$BP$165</definedName>
    <definedName name="_xlnm.Print_Area" localSheetId="5">Scorecard!$A$1:$Z$36</definedName>
    <definedName name="_xlnm.Print_Area" localSheetId="6">'Technical Notes'!$A$1:$F$40</definedName>
    <definedName name="_xlnm.Print_Titles" localSheetId="7">'Primary Summary Data'!$A:$B,'Primary Summary Data'!$1:$2</definedName>
    <definedName name="_xlnm.Print_Titles" localSheetId="8">'Secondary Summary Data'!$A:$B,'Secondary Summary Data'!$1:$2</definedName>
    <definedName name="_xlnm.Print_Titles" localSheetId="6">'Technical Notes'!$1:$2</definedName>
    <definedName name="Pupil_Growth" localSheetId="6">[1]Calculations!$L$76</definedName>
    <definedName name="Pupil_Growth">Calculations!$L$76</definedName>
    <definedName name="ql_key1" localSheetId="6">[1]Calculations!$K$25</definedName>
    <definedName name="ql_key1">Calculations!$K$25</definedName>
    <definedName name="ql_key2" localSheetId="6">[1]Calculations!$L$25</definedName>
    <definedName name="ql_key2">Calculations!$L$25</definedName>
    <definedName name="ql_lab8" localSheetId="6">[1]Calculations!$P$25</definedName>
    <definedName name="ql_lab8">Calculations!$P$25</definedName>
    <definedName name="ql_lab9" localSheetId="6">[1]Calculations!$Q$25</definedName>
    <definedName name="ql_lab9">Calculations!$Q$25</definedName>
    <definedName name="Qn_axis2">Calculations!$K$2</definedName>
    <definedName name="Qn_key1" localSheetId="6">[1]Calculations!$L$4</definedName>
    <definedName name="Qn_key1">Calculations!$L$4</definedName>
    <definedName name="Qn_key2" localSheetId="6">[1]Calculations!$L$5</definedName>
    <definedName name="Qn_key2">Calculations!$L$5</definedName>
    <definedName name="Qn_key3" localSheetId="6">[1]Calculations!$L$6</definedName>
    <definedName name="Qn_key3">Calculations!$L$6</definedName>
    <definedName name="Qn_key4">Calculations!$L$3</definedName>
    <definedName name="Qn_KeySu" localSheetId="6">[1]Calculations!$L$7</definedName>
    <definedName name="Qn_KeySu">Calculations!$L$7</definedName>
    <definedName name="qn_lab2" localSheetId="6">[1]Calculations!$S$4</definedName>
    <definedName name="qn_lab2">Calculations!$S$4</definedName>
    <definedName name="qual_key_6" localSheetId="6">[1]Calculations!$Y$23</definedName>
    <definedName name="qual_key_6">Calculations!$Y$23</definedName>
    <definedName name="qual_key3" localSheetId="6">[1]Calculations!$Y$20</definedName>
    <definedName name="qual_key3">Calculations!$Y$20</definedName>
    <definedName name="Qual_key4" localSheetId="6">[1]Calculations!$Y$22</definedName>
    <definedName name="Qual_key4">Calculations!$Y$22</definedName>
    <definedName name="Qual_key5" localSheetId="6">[1]Calculations!$Y$24</definedName>
    <definedName name="Qual_key5">Calculations!$Y$24</definedName>
    <definedName name="Qual_KS2Mat_Prop" localSheetId="6">[1]Data!$BF$2:$BF$154</definedName>
    <definedName name="Qual_KS2Mat_Prop">Data!$BF$2:$BF$151</definedName>
    <definedName name="Qual_KS2Mat_Propranks">Data!$BG$2:$BG$151</definedName>
    <definedName name="Qual_KS2Read_Prop" localSheetId="6">[1]Data!$BT$2:$BT$154</definedName>
    <definedName name="Qual_KS2Read_Prop">Data!$BT$2:$BT$151</definedName>
    <definedName name="Qual_KS2Read_Propranks">Data!$BU$2:$BU$151</definedName>
    <definedName name="Qual_KS4_A_E" localSheetId="6">[1]Data!$BZ$2:$BZ$154</definedName>
    <definedName name="Qual_KS4_A_E">Data!$AV$2:$AV$151</definedName>
    <definedName name="Qual_KS4_A_N" localSheetId="6">[1]Data!$AN$2:$AN$154</definedName>
    <definedName name="Qual_KS4_A_N">Data!$AN$2:$AN$151</definedName>
    <definedName name="Qual_KS4_AA_E" localSheetId="6">[1]Data!$BY$2:$BY$154</definedName>
    <definedName name="Qual_KS4_AA_E">Data!$AU$2:$AU$151</definedName>
    <definedName name="Qual_KS4_AA_N" localSheetId="6">[1]Data!$AM$2:$AM$154</definedName>
    <definedName name="Qual_KS4_AA_N">Data!$AM$2:$AM$151</definedName>
    <definedName name="Qual_KS4_BA_E" localSheetId="6">[1]Data!$CA$2:$CA$154</definedName>
    <definedName name="Qual_KS4_BA_E">Data!$AW$2:$AW$151</definedName>
    <definedName name="Qual_KS4_BA_N" localSheetId="6">[1]Data!$AO$2:$AO$154</definedName>
    <definedName name="Qual_KS4_BA_N">Data!$AO$2:$AO$151</definedName>
    <definedName name="Qual_KS4_NR_E" localSheetId="6">[1]Data!$AY$2:$AY$154</definedName>
    <definedName name="Qual_KS4_NR_E">Data!$AY$2:$AY$151</definedName>
    <definedName name="Qual_KS4_NR_N" localSheetId="6">[1]Data!$AQ$2:$AQ$154</definedName>
    <definedName name="Qual_KS4_NR_N">Data!$AQ$2:$AQ$151</definedName>
    <definedName name="Qual_KS4_Prop" localSheetId="6">[1]Data!$BV$2:$BV$154</definedName>
    <definedName name="Qual_KS4_Prop">Data!$AR$2:$AR$151</definedName>
    <definedName name="Qual_KS4_Proprank">Data!$AS$2:$AS$151</definedName>
    <definedName name="Qual_KS4_PropRanks">Data!$BW$2:$BW$151+Data!$AS$2:$AS$151</definedName>
    <definedName name="Qual_KS4_WAA_E" localSheetId="6">[1]Data!$BX$2:$BX$154</definedName>
    <definedName name="Qual_KS4_WAA_E">Data!$AT$2:$AT$151</definedName>
    <definedName name="Qual_KS4_WAA_N" localSheetId="6">[1]Data!$AL$2:$AL$154</definedName>
    <definedName name="Qual_KS4_WAA_N">Data!$AL$2:$AL$151</definedName>
    <definedName name="Qual_KS4_WBA_E" localSheetId="6">[1]Data!$AX$2:$AX$154</definedName>
    <definedName name="Qual_KS4_WBA_E">Data!$AX$2:$AX$151</definedName>
    <definedName name="Qual_KS4_WBA_N" localSheetId="6">[1]Data!$AP$2:$AP$154</definedName>
    <definedName name="Qual_KS4_WBA_N">Data!$AP$2:$AP$151</definedName>
    <definedName name="Qual_mets" localSheetId="6">[1]Calculations!$D$2:$D$5</definedName>
    <definedName name="Qual_mets">Calculations!$D$2:$D$5</definedName>
    <definedName name="Qual_NoNplaces" localSheetId="6">[1]Calculations!$K$24</definedName>
    <definedName name="Qual_NoNplaces">Calculations!$K$24</definedName>
    <definedName name="Qual_P_E_0" localSheetId="6">[1]Data!$W$2:$W$154</definedName>
    <definedName name="Qual_P_E_0">Data!$W$2:$W$151</definedName>
    <definedName name="Qual_P_E_1" localSheetId="6">[1]Data!$S$2:$S$154</definedName>
    <definedName name="Qual_P_E_1">Data!$S$2:$S$151</definedName>
    <definedName name="Qual_P_E_2" localSheetId="6">[1]Data!$T$2:$T$154</definedName>
    <definedName name="Qual_P_E_2">Data!$T$2:$T$151</definedName>
    <definedName name="Qual_P_E_3" localSheetId="6">[1]Data!$U$2:$U$154</definedName>
    <definedName name="Qual_P_E_3">Data!$U$2:$U$151</definedName>
    <definedName name="Qual_P_E_4" localSheetId="6">[1]Data!$V$2:$V$154</definedName>
    <definedName name="Qual_P_E_4">Data!$V$2:$V$151</definedName>
    <definedName name="Qual_P_N_0" localSheetId="6">[1]Data!$R$2:$R$154</definedName>
    <definedName name="Qual_P_N_0">Data!$R$2:$R$151</definedName>
    <definedName name="Qual_P_N_1" localSheetId="6">[1]Data!$N$2:$N$154</definedName>
    <definedName name="Qual_P_N_1">Data!$N$2:$N$151</definedName>
    <definedName name="Qual_P_N_2" localSheetId="6">[1]Data!$O$2:$O$154</definedName>
    <definedName name="Qual_P_N_2">Data!$O$2:$O$151</definedName>
    <definedName name="Qual_P_N_3" localSheetId="6">[1]Data!$P$2:$P$154</definedName>
    <definedName name="Qual_P_N_3">Data!$P$2:$P$151</definedName>
    <definedName name="Qual_P_N_4" localSheetId="6">[1]Data!$Q$2:$Q$154</definedName>
    <definedName name="Qual_P_N_4">Data!$Q$2:$Q$151</definedName>
    <definedName name="Qual_P_Prop" localSheetId="6">[1]Data!$X$2:$X$154</definedName>
    <definedName name="Qual_P_Prop">Data!$X$2:$X$151</definedName>
    <definedName name="Qual_P_PropRanks" localSheetId="5">Data!$Y$2:$Y$151</definedName>
    <definedName name="Qual_P_PropRanks" localSheetId="6">[1]Data!$Y$2:$Y$154</definedName>
    <definedName name="Qual_P_PropRanks">Data!$Y$2:$Y$151</definedName>
    <definedName name="Qual_S_E_0" localSheetId="6">[1]Data!$AI$2:$AI$154</definedName>
    <definedName name="Qual_S_E_0">Data!$AI$2:$AI$151</definedName>
    <definedName name="Qual_S_E_1" localSheetId="6">[1]Data!$AE$2:$AE$154</definedName>
    <definedName name="Qual_S_E_1">Data!$AE$2:$AE$151</definedName>
    <definedName name="Qual_S_E_2" localSheetId="6">[1]Data!$AF$2:$AF$154</definedName>
    <definedName name="Qual_S_E_2">Data!$AF$2:$AF$151</definedName>
    <definedName name="Qual_S_E_3" localSheetId="6">[1]Data!$AG$2:$AG$154</definedName>
    <definedName name="Qual_S_E_3">Data!$AG$2:$AG$151</definedName>
    <definedName name="Qual_S_E_4" localSheetId="6">[1]Data!$AH$2:$AH$154</definedName>
    <definedName name="Qual_S_E_4">Data!$AH$2:$AH$151</definedName>
    <definedName name="Qual_S_N_0" localSheetId="6">[1]Data!$AD$2:$AD$154</definedName>
    <definedName name="Qual_S_N_0">Data!$AD$2:$AD$151</definedName>
    <definedName name="Qual_S_N_1" localSheetId="6">[1]Data!$Z$2:$Z$154</definedName>
    <definedName name="Qual_S_N_1">Data!$Z$2:$Z$151</definedName>
    <definedName name="Qual_S_N_2" localSheetId="6">[1]Data!$AA$2:$AA$154</definedName>
    <definedName name="Qual_S_N_2">Data!$AA$2:$AA$151</definedName>
    <definedName name="Qual_S_N_3" localSheetId="6">[1]Data!$AB$2:$AB$154</definedName>
    <definedName name="Qual_S_N_3">Data!$AB$2:$AB$151</definedName>
    <definedName name="Qual_S_N_4" localSheetId="6">[1]Data!$AC$2:$AC$154</definedName>
    <definedName name="Qual_S_N_4">Data!$AC$2:$AC$151</definedName>
    <definedName name="Qual_S_Prop" localSheetId="6">[1]Data!$AJ$2:$AJ$154</definedName>
    <definedName name="Qual_S_Prop">Data!$AJ$2:$AJ$151</definedName>
    <definedName name="Qual_S_PropRanks" localSheetId="6">[1]Data!$AK$2:$AK$154</definedName>
    <definedName name="Qual_S_PropRanks">Data!$AK$2:$AK$151</definedName>
    <definedName name="Quan_lab1" localSheetId="6">[1]Calculations!$Q$6</definedName>
    <definedName name="Quan_lab1">Calculations!$Q$6</definedName>
    <definedName name="Quan_lab2" localSheetId="6">[1]Calculations!$Q$7</definedName>
    <definedName name="Quan_lab2">Calculations!$Q$7</definedName>
    <definedName name="Quan_P_In" localSheetId="6">[1]Data!$F$2:$F$154</definedName>
    <definedName name="Quan_P_In">Data!$F$2:$F$151</definedName>
    <definedName name="Quan_P_PP" localSheetId="6">[1]Data!$L$2:$L$154</definedName>
    <definedName name="Quan_P_PP">Data!$L$2:$L$151</definedName>
    <definedName name="Quan_P_RP" localSheetId="6">[1]Data!$H$2:$H$154</definedName>
    <definedName name="Quan_P_RP">Data!$H$2:$H$151</definedName>
    <definedName name="Quan_P_Su" localSheetId="6">[1]Data!$J$2:$J$154</definedName>
    <definedName name="Quan_P_Su">Data!$J$2:$J$151</definedName>
    <definedName name="Quan_S_In" localSheetId="6">[1]Data!$G$2:$G$154</definedName>
    <definedName name="Quan_S_In">Data!$G$2:$G$151</definedName>
    <definedName name="Quan_S_PP" localSheetId="6">[1]Data!$M$2:$M$154</definedName>
    <definedName name="Quan_S_PP">Data!$M$2:$M$151</definedName>
    <definedName name="Quan_S_RP" localSheetId="6">[1]Data!$I$2:$I$154</definedName>
    <definedName name="Quan_S_RP">Data!$I$2:$I$151</definedName>
    <definedName name="Quan_S_Su" localSheetId="6">[1]Data!$K$2:$K$154</definedName>
    <definedName name="Quan_S_Su">Data!$K$2:$K$151</definedName>
    <definedName name="URI" localSheetId="6">[1]Calculations!$H$2</definedName>
    <definedName name="URI">Calculations!$H$2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7" i="10" l="1"/>
  <c r="P47" i="10"/>
  <c r="O47" i="10"/>
  <c r="B22" i="8" l="1"/>
  <c r="W20" i="10"/>
  <c r="V20" i="10"/>
  <c r="U20" i="10"/>
  <c r="T20" i="10"/>
  <c r="X16" i="8"/>
  <c r="R21" i="10"/>
  <c r="R20" i="10"/>
  <c r="Q21" i="10"/>
  <c r="Q20" i="10"/>
  <c r="P21" i="10"/>
  <c r="P20" i="10"/>
  <c r="O21" i="10"/>
  <c r="O20" i="10"/>
  <c r="N21" i="10"/>
  <c r="N20" i="10"/>
  <c r="M21" i="10"/>
  <c r="M20" i="10"/>
  <c r="P84" i="10"/>
  <c r="E4" i="10"/>
  <c r="R9" i="8"/>
  <c r="R16" i="8"/>
  <c r="W24" i="10"/>
  <c r="U24" i="10"/>
  <c r="O40" i="10"/>
  <c r="O50" i="10" s="1"/>
  <c r="O38" i="10"/>
  <c r="H2" i="10"/>
  <c r="O84" i="10" s="1"/>
  <c r="Q39" i="10"/>
  <c r="Q49" i="10" s="1"/>
  <c r="Q38" i="10"/>
  <c r="O42" i="10"/>
  <c r="O41" i="10"/>
  <c r="P25" i="10"/>
  <c r="B23" i="8"/>
  <c r="K74" i="10"/>
  <c r="K73" i="10" s="1"/>
  <c r="Q42" i="10"/>
  <c r="Q52" i="10" s="1"/>
  <c r="P42" i="10"/>
  <c r="P52" i="10" s="1"/>
  <c r="Q41" i="10"/>
  <c r="Q51" i="10" s="1"/>
  <c r="P41" i="10"/>
  <c r="Q40" i="10"/>
  <c r="P40" i="10"/>
  <c r="P50" i="10" s="1"/>
  <c r="P39" i="10"/>
  <c r="O39" i="10"/>
  <c r="O49" i="10" s="1"/>
  <c r="T38" i="10"/>
  <c r="S38" i="10"/>
  <c r="R38" i="10"/>
  <c r="O55" i="10" s="1"/>
  <c r="P38" i="10"/>
  <c r="P48" i="10" s="1"/>
  <c r="Q25" i="10"/>
  <c r="L25" i="10"/>
  <c r="Y23" i="10"/>
  <c r="S22" i="10"/>
  <c r="K22" i="10"/>
  <c r="L21" i="10"/>
  <c r="AB20" i="10"/>
  <c r="AA20" i="10"/>
  <c r="AC20" i="10" s="1"/>
  <c r="L20" i="10"/>
  <c r="AB19" i="10"/>
  <c r="AA19" i="10"/>
  <c r="Q19" i="10"/>
  <c r="P19" i="10"/>
  <c r="O19" i="10"/>
  <c r="N19" i="10"/>
  <c r="M19" i="10"/>
  <c r="N16" i="10"/>
  <c r="N15" i="10" s="1"/>
  <c r="M16" i="10"/>
  <c r="M15" i="10" s="1"/>
  <c r="L16" i="10"/>
  <c r="L15" i="10" s="1"/>
  <c r="K16" i="10"/>
  <c r="K15" i="10" s="1"/>
  <c r="I2" i="10"/>
  <c r="AC19" i="10"/>
  <c r="Q48" i="10"/>
  <c r="O48" i="10"/>
  <c r="O52" i="10"/>
  <c r="P59" i="10" l="1"/>
  <c r="O59" i="10"/>
  <c r="Q57" i="10"/>
  <c r="Q56" i="10"/>
  <c r="W22" i="10"/>
  <c r="M22" i="10"/>
  <c r="V24" i="10"/>
  <c r="M23" i="10"/>
  <c r="Q55" i="10"/>
  <c r="Q58" i="10"/>
  <c r="Q50" i="10"/>
  <c r="O23" i="10"/>
  <c r="L47" i="10"/>
  <c r="L56" i="10" s="1"/>
  <c r="P57" i="10"/>
  <c r="Q59" i="10"/>
  <c r="X20" i="10"/>
  <c r="Y20" i="10" s="1"/>
  <c r="O57" i="10"/>
  <c r="O58" i="10"/>
  <c r="P49" i="10"/>
  <c r="O51" i="10"/>
  <c r="O45" i="10" s="1"/>
  <c r="P58" i="10"/>
  <c r="P56" i="10"/>
  <c r="Q45" i="10"/>
  <c r="Q63" i="10" s="1"/>
  <c r="Q64" i="10" s="1"/>
  <c r="P51" i="10"/>
  <c r="P55" i="10"/>
  <c r="O56" i="10"/>
  <c r="O22" i="10"/>
  <c r="R22" i="10"/>
  <c r="L48" i="10"/>
  <c r="M30" i="10"/>
  <c r="L30" i="10" s="1"/>
  <c r="K7" i="10"/>
  <c r="Q7" i="10" s="1"/>
  <c r="M32" i="10"/>
  <c r="L32" i="10" s="1"/>
  <c r="L59" i="10"/>
  <c r="K71" i="10"/>
  <c r="L71" i="10" s="1"/>
  <c r="M71" i="10" s="1"/>
  <c r="L52" i="10"/>
  <c r="L55" i="10"/>
  <c r="T47" i="10"/>
  <c r="W47" i="10"/>
  <c r="K84" i="10"/>
  <c r="M47" i="10"/>
  <c r="L84" i="10"/>
  <c r="P23" i="10"/>
  <c r="R23" i="10"/>
  <c r="R24" i="10" s="1"/>
  <c r="I34" i="8" s="1"/>
  <c r="K6" i="10"/>
  <c r="Q6" i="10" s="1"/>
  <c r="T24" i="10"/>
  <c r="M84" i="10"/>
  <c r="Q23" i="10"/>
  <c r="K5" i="10"/>
  <c r="K4" i="10"/>
  <c r="U22" i="10"/>
  <c r="X22" i="10" s="1"/>
  <c r="Y22" i="10" s="1"/>
  <c r="M31" i="10"/>
  <c r="L31" i="10" s="1"/>
  <c r="N23" i="10"/>
  <c r="P22" i="10"/>
  <c r="Q22" i="10"/>
  <c r="O11" i="10"/>
  <c r="K76" i="10"/>
  <c r="L76" i="10" s="1"/>
  <c r="K47" i="10"/>
  <c r="N22" i="10"/>
  <c r="O12" i="10"/>
  <c r="O63" i="10" l="1"/>
  <c r="O64" i="10" s="1"/>
  <c r="L51" i="10"/>
  <c r="L50" i="10"/>
  <c r="L49" i="10"/>
  <c r="L45" i="10" s="1"/>
  <c r="L58" i="10"/>
  <c r="L57" i="10"/>
  <c r="P45" i="10"/>
  <c r="P63" i="10" s="1"/>
  <c r="P64" i="10" s="1"/>
  <c r="N84" i="10"/>
  <c r="K24" i="10"/>
  <c r="W11" i="10"/>
  <c r="N11" i="10"/>
  <c r="P11" i="10"/>
  <c r="R11" i="10" s="1"/>
  <c r="T11" i="10" s="1"/>
  <c r="M11" i="10"/>
  <c r="X11" i="10"/>
  <c r="M12" i="10"/>
  <c r="N12" i="10"/>
  <c r="P12" i="10"/>
  <c r="R12" i="10" s="1"/>
  <c r="T12" i="10" s="1"/>
  <c r="K56" i="10"/>
  <c r="K55" i="10"/>
  <c r="K59" i="10"/>
  <c r="K52" i="10"/>
  <c r="K49" i="10"/>
  <c r="V47" i="10"/>
  <c r="K50" i="10"/>
  <c r="K57" i="10"/>
  <c r="K58" i="10"/>
  <c r="K48" i="10"/>
  <c r="K51" i="10"/>
  <c r="S47" i="10"/>
  <c r="T25" i="10"/>
  <c r="Y24" i="10" s="1"/>
  <c r="M55" i="10"/>
  <c r="X47" i="10"/>
  <c r="M56" i="10"/>
  <c r="M51" i="10"/>
  <c r="M58" i="10"/>
  <c r="M50" i="10"/>
  <c r="M57" i="10"/>
  <c r="M48" i="10"/>
  <c r="M59" i="10"/>
  <c r="U47" i="10"/>
  <c r="M52" i="10"/>
  <c r="M49" i="10"/>
  <c r="W12" i="10" l="1"/>
  <c r="L11" i="10"/>
  <c r="K45" i="10"/>
  <c r="Q31" i="8" s="1"/>
  <c r="M45" i="10"/>
  <c r="M63" i="10" s="1"/>
  <c r="M64" i="10" s="1"/>
  <c r="L12" i="10"/>
  <c r="T26" i="8"/>
  <c r="T25" i="8"/>
  <c r="T28" i="8"/>
  <c r="T23" i="8"/>
  <c r="T31" i="8"/>
  <c r="T24" i="8"/>
  <c r="T29" i="8"/>
  <c r="T30" i="8"/>
  <c r="T27" i="8"/>
  <c r="L63" i="10"/>
  <c r="L64" i="10" s="1"/>
  <c r="T32" i="8"/>
  <c r="Q12" i="10"/>
  <c r="Q11" i="10"/>
  <c r="S11" i="10" s="1"/>
  <c r="S12" i="10" l="1"/>
  <c r="X12" i="10"/>
  <c r="X30" i="8"/>
  <c r="X29" i="8"/>
  <c r="X23" i="8"/>
  <c r="X25" i="8"/>
  <c r="Q32" i="8"/>
  <c r="Q27" i="8"/>
  <c r="Q23" i="8"/>
  <c r="Q26" i="8"/>
  <c r="Q30" i="8"/>
  <c r="Q29" i="8"/>
  <c r="Q24" i="8"/>
  <c r="K63" i="10"/>
  <c r="K64" i="10" s="1"/>
  <c r="Q25" i="8"/>
  <c r="Q28" i="8"/>
  <c r="X24" i="8"/>
  <c r="X28" i="8"/>
  <c r="X27" i="8"/>
  <c r="X26" i="8"/>
  <c r="X31" i="8"/>
  <c r="X3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tc={BABC3B74-CCCE-4D91-981A-CCD29D01C8CE}</author>
  </authors>
  <commentList>
    <comment ref="A1" authorId="0" shapeId="0" xr:uid="{BABC3B74-CCCE-4D91-981A-CCD29D01C8CE}">
      <text>
        <t>[Threaded comment]
Your version of Excel allows you to read this threaded comment; however, any edits to it will get removed if the file is opened in a newer version of Excel. Learn more: https://go.microsoft.com/fwlink/?linkid=870924
Comment:
    This Scorecard uses drop down boxes to allow users to select a specific local authority and select primary or secondary to see the relevant data. If you can't use the drop down boxes go to the Primary Summary Data tab and the Secondary Summary Data tab to find the relevant information.</t>
      </text>
    </comment>
  </commentList>
</comments>
</file>

<file path=xl/sharedStrings.xml><?xml version="1.0" encoding="utf-8"?>
<sst xmlns="http://schemas.openxmlformats.org/spreadsheetml/2006/main" count="3683" uniqueCount="841">
  <si>
    <t>LANumber</t>
  </si>
  <si>
    <t>Barking and Dagenham</t>
  </si>
  <si>
    <t>Bristol City of</t>
  </si>
  <si>
    <t>Secondary</t>
  </si>
  <si>
    <t>Barnet</t>
  </si>
  <si>
    <t>Barnsley</t>
  </si>
  <si>
    <t>Bath and North East Somerset</t>
  </si>
  <si>
    <t>Bedford Borough</t>
  </si>
  <si>
    <t>Bexley</t>
  </si>
  <si>
    <t>Birmingham</t>
  </si>
  <si>
    <t>Blackburn with Darwen</t>
  </si>
  <si>
    <t>Blackpool</t>
  </si>
  <si>
    <t>Primary</t>
  </si>
  <si>
    <t>Bolton</t>
  </si>
  <si>
    <t>Bracknell Forest</t>
  </si>
  <si>
    <t>Bradford</t>
  </si>
  <si>
    <t>Brent</t>
  </si>
  <si>
    <t>Brighton and Hove</t>
  </si>
  <si>
    <t>Bromley</t>
  </si>
  <si>
    <t>Buckinghamshire</t>
  </si>
  <si>
    <t>Bury</t>
  </si>
  <si>
    <t>Calderdale</t>
  </si>
  <si>
    <t>Cambridgeshire</t>
  </si>
  <si>
    <t>Camden</t>
  </si>
  <si>
    <t>Central Bedfordshire</t>
  </si>
  <si>
    <t>Cheshire East</t>
  </si>
  <si>
    <t>Cheshire West and Chester</t>
  </si>
  <si>
    <t>City of London</t>
  </si>
  <si>
    <t>Cornwall</t>
  </si>
  <si>
    <t>Coventry</t>
  </si>
  <si>
    <t>Croydon</t>
  </si>
  <si>
    <t>Cumbria</t>
  </si>
  <si>
    <t>Darlington</t>
  </si>
  <si>
    <t>Derby</t>
  </si>
  <si>
    <t>Derbyshire</t>
  </si>
  <si>
    <t>Devon</t>
  </si>
  <si>
    <t>Doncaster</t>
  </si>
  <si>
    <t>Dudley</t>
  </si>
  <si>
    <t>Durham</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</si>
  <si>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</si>
  <si>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</si>
  <si>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</si>
  <si>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</si>
  <si>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</si>
  <si>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</si>
  <si>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</si>
  <si>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</si>
  <si>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</si>
  <si>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</si>
  <si>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</si>
  <si>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</si>
  <si>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</si>
  <si>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</si>
  <si>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</si>
  <si>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</si>
  <si>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Herefordshire</t>
  </si>
  <si>
    <t>Hertfordshire</t>
  </si>
  <si>
    <t>Hillingdon</t>
  </si>
  <si>
    <t>Hounslow</t>
  </si>
  <si>
    <t>Isle of Wight</t>
  </si>
  <si>
    <t>Isles Of Scilly</t>
  </si>
  <si>
    <t>Islington</t>
  </si>
  <si>
    <t>Kensington and Chelsea</t>
  </si>
  <si>
    <t>Kent</t>
  </si>
  <si>
    <t>Kingston upon Hull City of</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</si>
  <si>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</si>
  <si>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</si>
  <si>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</si>
  <si>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</si>
  <si>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</si>
  <si>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</si>
  <si>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</si>
  <si>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</si>
  <si>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</si>
  <si>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</si>
  <si>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</si>
  <si>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</si>
  <si>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</si>
  <si>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</si>
  <si>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</si>
  <si>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</si>
  <si>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</si>
  <si>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</si>
  <si>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</si>
  <si>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</si>
  <si>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</si>
  <si>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</si>
  <si>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</si>
  <si>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</si>
  <si>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</si>
  <si>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</si>
  <si>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</si>
  <si>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</si>
  <si>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</si>
  <si>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</si>
  <si>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</si>
  <si>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</si>
  <si>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</si>
  <si>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</si>
  <si>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</si>
  <si>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</si>
  <si>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</si>
  <si>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</si>
  <si>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</si>
  <si>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</si>
  <si>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</si>
  <si>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</si>
  <si>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</si>
  <si>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</si>
  <si>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</si>
  <si>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</si>
  <si>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</si>
  <si>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</si>
  <si>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</si>
  <si>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</si>
  <si>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</si>
  <si>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</si>
  <si>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Southend-on-Sea</t>
  </si>
  <si>
    <t>Southwark</t>
  </si>
  <si>
    <t>St Helens</t>
  </si>
  <si>
    <t>Staffordshire</t>
  </si>
  <si>
    <t>Stockport</t>
  </si>
  <si>
    <t>Stockton-on-Tees</t>
  </si>
  <si>
    <t>Stoke-on-Trent</t>
  </si>
  <si>
    <t>Suffolk</t>
  </si>
  <si>
    <t>Sunderland</t>
  </si>
  <si>
    <t>Surrey</t>
  </si>
  <si>
    <t>Sutton</t>
  </si>
  <si>
    <t>Swindon</t>
  </si>
  <si>
    <t>Tameside</t>
  </si>
  <si>
    <t>Telford and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</si>
  <si>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</si>
  <si>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</si>
  <si>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</si>
  <si>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</si>
  <si>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</si>
  <si>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</si>
  <si>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</si>
  <si>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</si>
  <si>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</si>
  <si>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</si>
  <si>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</si>
  <si>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</si>
  <si>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</si>
  <si>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</si>
  <si>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</si>
  <si>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</si>
  <si>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</si>
  <si>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</si>
  <si>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</si>
  <si>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</si>
  <si>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</si>
  <si>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t>QUALITY</t>
  </si>
  <si>
    <t>COST</t>
  </si>
  <si>
    <t>N/A</t>
  </si>
  <si>
    <t>X</t>
  </si>
  <si>
    <t>Y</t>
  </si>
  <si>
    <t>Description</t>
  </si>
  <si>
    <t>EP</t>
  </si>
  <si>
    <t>ET</t>
  </si>
  <si>
    <t>NS</t>
  </si>
  <si>
    <t>LAName</t>
  </si>
  <si>
    <t>Phases</t>
  </si>
  <si>
    <t>Chosen_LA</t>
  </si>
  <si>
    <t>Chosen_Phase</t>
  </si>
  <si>
    <t>URI</t>
  </si>
  <si>
    <t>QUANTITY</t>
  </si>
  <si>
    <t>FORECAST ACCURACY</t>
  </si>
  <si>
    <t>One-year-ahead</t>
  </si>
  <si>
    <t>A: LA Accu</t>
  </si>
  <si>
    <t>B: Greatest over_under_forecast - LA Accu</t>
  </si>
  <si>
    <t>A/(A+B)=C</t>
  </si>
  <si>
    <t>B/(A+B)=D</t>
  </si>
  <si>
    <t>C Scaled</t>
  </si>
  <si>
    <t>D Scaled</t>
  </si>
  <si>
    <t>Positive</t>
  </si>
  <si>
    <t>Spacer</t>
  </si>
  <si>
    <t>Sign</t>
  </si>
  <si>
    <t>Value</t>
  </si>
  <si>
    <t>Round*100</t>
  </si>
  <si>
    <t>Three-year-ahead</t>
  </si>
  <si>
    <t>Labels</t>
  </si>
  <si>
    <t>Numbers of Projects</t>
  </si>
  <si>
    <t>Chart co-ord</t>
  </si>
  <si>
    <t>Percentiles</t>
  </si>
  <si>
    <t>LA Cost Per Place</t>
  </si>
  <si>
    <t>Position in quintile</t>
  </si>
  <si>
    <t>Y co-ordinates</t>
  </si>
  <si>
    <t>X_2</t>
  </si>
  <si>
    <t>Forecast accuracy</t>
  </si>
  <si>
    <t>one year</t>
  </si>
  <si>
    <t>ahead</t>
  </si>
  <si>
    <t>three years</t>
  </si>
  <si>
    <t>England</t>
  </si>
  <si>
    <t>New places</t>
  </si>
  <si>
    <t>Existing places</t>
  </si>
  <si>
    <t>Qual_P_Prop</t>
  </si>
  <si>
    <t>Qual_S_Prop</t>
  </si>
  <si>
    <t>Quality metric</t>
  </si>
  <si>
    <t>Chosen_Qual</t>
  </si>
  <si>
    <t>Ofsted Rating</t>
  </si>
  <si>
    <t>Proportions</t>
  </si>
  <si>
    <t>Rank</t>
  </si>
  <si>
    <t>Qual_KS4_Prop</t>
  </si>
  <si>
    <t>For_3_P</t>
  </si>
  <si>
    <t>For_1_P</t>
  </si>
  <si>
    <t>For_3_S</t>
  </si>
  <si>
    <t>For_1_S</t>
  </si>
  <si>
    <t>Quantity data columns</t>
  </si>
  <si>
    <t>Forecast Accuracy data columns</t>
  </si>
  <si>
    <t>Cost data columns</t>
  </si>
  <si>
    <t>The following colour coding is applied to the summary data columns</t>
  </si>
  <si>
    <t>Negative</t>
  </si>
  <si>
    <t>Cost_P_EP</t>
  </si>
  <si>
    <t>Cost_P_ET</t>
  </si>
  <si>
    <t>Cost_P_NS</t>
  </si>
  <si>
    <t>Cost_S_EP</t>
  </si>
  <si>
    <t>Cost_S_ET</t>
  </si>
  <si>
    <t>Cost_S_NS</t>
  </si>
  <si>
    <t>Obscurer</t>
  </si>
  <si>
    <t>&gt;=GOOD</t>
  </si>
  <si>
    <t>ALL</t>
  </si>
  <si>
    <t>Existing places UK</t>
  </si>
  <si>
    <t>For information:</t>
  </si>
  <si>
    <t>%(&gt;=GOOD)</t>
  </si>
  <si>
    <t>Banner</t>
  </si>
  <si>
    <t>Funding</t>
  </si>
  <si>
    <t>Pupil Growth</t>
  </si>
  <si>
    <t>Min</t>
  </si>
  <si>
    <t>Version number</t>
  </si>
  <si>
    <t>Version Control</t>
  </si>
  <si>
    <t>Data for Banner (growth and funding)</t>
  </si>
  <si>
    <t>Ban_P_gro</t>
  </si>
  <si>
    <t>Ban_S_gro</t>
  </si>
  <si>
    <t>PREFERENCE</t>
  </si>
  <si>
    <t>Preference</t>
  </si>
  <si>
    <t>Pref_P_1</t>
  </si>
  <si>
    <t>Pref_P_2</t>
  </si>
  <si>
    <t>Pref_P_3</t>
  </si>
  <si>
    <t>Pref_S_1</t>
  </si>
  <si>
    <t>Pref_S_2</t>
  </si>
  <si>
    <t>Pref_S_3</t>
  </si>
  <si>
    <t>Pref_P_T3</t>
  </si>
  <si>
    <t>Pref_S_T3</t>
  </si>
  <si>
    <t>Proportion top three</t>
  </si>
  <si>
    <r>
      <t>1</t>
    </r>
    <r>
      <rPr>
        <vertAlign val="superscript"/>
        <sz val="11"/>
        <color theme="1"/>
        <rFont val="Calibri"/>
        <family val="2"/>
        <scheme val="minor"/>
      </rPr>
      <t>st</t>
    </r>
  </si>
  <si>
    <r>
      <t>2</t>
    </r>
    <r>
      <rPr>
        <vertAlign val="superscript"/>
        <sz val="11"/>
        <color theme="1"/>
        <rFont val="Calibri"/>
        <family val="2"/>
        <scheme val="minor"/>
      </rPr>
      <t>nd</t>
    </r>
  </si>
  <si>
    <r>
      <t>3</t>
    </r>
    <r>
      <rPr>
        <vertAlign val="superscript"/>
        <sz val="11"/>
        <color theme="1"/>
        <rFont val="Calibri"/>
        <family val="2"/>
        <scheme val="minor"/>
      </rPr>
      <t>rd</t>
    </r>
  </si>
  <si>
    <t>School Places Scorecard</t>
  </si>
  <si>
    <t>How to use the School Places Scorecard</t>
  </si>
  <si>
    <t>Preference data columns</t>
  </si>
  <si>
    <t>Quality data columns</t>
  </si>
  <si>
    <t>Government Office Region</t>
  </si>
  <si>
    <t>Quantity</t>
  </si>
  <si>
    <t>Capacity at May 2010</t>
  </si>
  <si>
    <t>Contextual</t>
  </si>
  <si>
    <t>Actual pupil numbers 2009/10</t>
  </si>
  <si>
    <t>Forecast Accuracy</t>
  </si>
  <si>
    <t>Percentage of offers made to applicants of first preference</t>
  </si>
  <si>
    <t>Percentage of offers made to applicants of third preference</t>
  </si>
  <si>
    <t>Quality (Using Ofsted Ratings)</t>
  </si>
  <si>
    <t>New places in 'Outstanding' schools</t>
  </si>
  <si>
    <t>New places in 'Requires Improvement' schools</t>
  </si>
  <si>
    <t>New places in 'Inadequate' schools</t>
  </si>
  <si>
    <t>Existing places in 'Outstanding' schools</t>
  </si>
  <si>
    <t>Existing places in 'Requires Improvement' schools</t>
  </si>
  <si>
    <t>Existing places in 'Inadequate' schools</t>
  </si>
  <si>
    <t>Existing Places in schools possessing no current Ofsted judgement</t>
  </si>
  <si>
    <t>Cost</t>
  </si>
  <si>
    <t>Places created in temporary expansions</t>
  </si>
  <si>
    <t>Places created in new schools</t>
  </si>
  <si>
    <t>Total spend on permanent expansions</t>
  </si>
  <si>
    <t>Total spend on temporary expansions</t>
  </si>
  <si>
    <t>Total spend on new schools</t>
  </si>
  <si>
    <t>Percentage of offers made to applicants of second preference</t>
  </si>
  <si>
    <t>Percentage of offers made to applicants of one of top three preferences</t>
  </si>
  <si>
    <t>New places in 'Good' schools</t>
  </si>
  <si>
    <t>New places in schools with no current Ofsted judgement</t>
  </si>
  <si>
    <t>Existing places in 'Good' schools</t>
  </si>
  <si>
    <t>Notes</t>
  </si>
  <si>
    <t>(1)</t>
  </si>
  <si>
    <t>(2)</t>
  </si>
  <si>
    <t>(3)</t>
  </si>
  <si>
    <t>LA Number</t>
  </si>
  <si>
    <t>LA Name</t>
  </si>
  <si>
    <t>Indicator in scorecard</t>
  </si>
  <si>
    <t>What does this measure do?</t>
  </si>
  <si>
    <t>Further information/breakdown</t>
  </si>
  <si>
    <t>Where can I find this data?</t>
  </si>
  <si>
    <t>DfE centrally held information, published in summary tables.</t>
  </si>
  <si>
    <t>DfE centrally held information, published in summary tables</t>
  </si>
  <si>
    <t>1. Capacity at May 2010</t>
  </si>
  <si>
    <t>DfE centrally held information.</t>
  </si>
  <si>
    <t>Published in summary tables.</t>
  </si>
  <si>
    <t>Ofsted judgements</t>
  </si>
  <si>
    <t>Ofsted online</t>
  </si>
  <si>
    <t>Performance tables</t>
  </si>
  <si>
    <t>1. Of all the new places created in the local authority in schools with Ofsted ratings, the percentage of them which are categorised as 'good' or 'outstanding' by Ofsted.</t>
  </si>
  <si>
    <t>Graphical representation</t>
  </si>
  <si>
    <t>1. The quality rating of new places created in all local authorities aggregated to the national (England) level.
2. The quality ratings of existing places in all local authorities aggregated to the national (England) level.</t>
  </si>
  <si>
    <t>Quintiles (vertical squares)</t>
  </si>
  <si>
    <t>Preference (4)</t>
  </si>
  <si>
    <t>(4)</t>
  </si>
  <si>
    <t>Cost per place in LA</t>
  </si>
  <si>
    <t>Pri Forecast accuacy 3yr</t>
  </si>
  <si>
    <t>Pri Forecast accuacy 1yr</t>
  </si>
  <si>
    <t>Sec Forecast accuacy 3yr</t>
  </si>
  <si>
    <t>Sec Forecast accuacy 1yr</t>
  </si>
  <si>
    <t>Pri Preference 1st choice</t>
  </si>
  <si>
    <t>Pri Preference 2nd choice</t>
  </si>
  <si>
    <t>Pri Preference 3rd choice</t>
  </si>
  <si>
    <t>Sec Preference 1st choice</t>
  </si>
  <si>
    <t>Sec Preference 3rd choice</t>
  </si>
  <si>
    <t>Sec Preference 2nd choice</t>
  </si>
  <si>
    <t>BN funding total</t>
  </si>
  <si>
    <t>Pri Forecast growth</t>
  </si>
  <si>
    <t>Sec Forecast growth</t>
  </si>
  <si>
    <t>Pri Future capacity</t>
  </si>
  <si>
    <t>Sec Future capacity</t>
  </si>
  <si>
    <t>Pri Perm Expansion cost per place</t>
  </si>
  <si>
    <t>Pri Temp Expansion cost per place</t>
  </si>
  <si>
    <t>Pri New School cost per place</t>
  </si>
  <si>
    <t>Sec Perm Expansion cost per place</t>
  </si>
  <si>
    <t>Sec Temp Expansion cost per place</t>
  </si>
  <si>
    <t>Sec New School cost per place</t>
  </si>
  <si>
    <t>Pri Number of Perm Expansion</t>
  </si>
  <si>
    <t>Pri Number of Temp Expansion</t>
  </si>
  <si>
    <t>Pri Number of New Schools</t>
  </si>
  <si>
    <t>Sec Number of Perm Expansion</t>
  </si>
  <si>
    <t>Sec Number of Temp Expansion</t>
  </si>
  <si>
    <t>Sec Number of New Schools</t>
  </si>
  <si>
    <t>Pri places added in Good schools</t>
  </si>
  <si>
    <t>Pri places added in RI schools</t>
  </si>
  <si>
    <t>Pri places added in inadequate schools</t>
  </si>
  <si>
    <t>Pri places added in schools with no rating</t>
  </si>
  <si>
    <t>Sec places added in Good schools</t>
  </si>
  <si>
    <t>Sec places added in Outstanding schools</t>
  </si>
  <si>
    <t>Pri places added in Outstanding schools</t>
  </si>
  <si>
    <t>Sec places added in RI schools</t>
  </si>
  <si>
    <t>Sec places added in inadequate schools</t>
  </si>
  <si>
    <t>Sec places added in schools with no rating</t>
  </si>
  <si>
    <t>Pri existing places in Outstanding schools</t>
  </si>
  <si>
    <t>Pri existing places in Good schools</t>
  </si>
  <si>
    <t>Pri existing places in RI schools</t>
  </si>
  <si>
    <t>Pri existing places in inadequate schools</t>
  </si>
  <si>
    <t>Pri existing places in schools with no rating</t>
  </si>
  <si>
    <t>Sec existing places in Outstanding schools</t>
  </si>
  <si>
    <t>Sec existing places in Good schools</t>
  </si>
  <si>
    <t>Sec existing places in RI schools</t>
  </si>
  <si>
    <t>Sec existing places in inadequate schools</t>
  </si>
  <si>
    <t>Sec existing places in schools with no rating</t>
  </si>
  <si>
    <t>Pri percentage places added in Outstanding/good schools</t>
  </si>
  <si>
    <t>Pri percentage places added in Outstanding/good schools ranking</t>
  </si>
  <si>
    <t>Sec percentage places added in Outstanding/good schools ranking</t>
  </si>
  <si>
    <t>Sec places added in Above Average Schools</t>
  </si>
  <si>
    <t>Sec existing places in Above Average Schools</t>
  </si>
  <si>
    <t>Sec existing places in Average Schools</t>
  </si>
  <si>
    <t>Sec existing places in below average schools</t>
  </si>
  <si>
    <t>Sec exisitng places in schools with no rating</t>
  </si>
  <si>
    <t>Quan_P_In</t>
  </si>
  <si>
    <t>Quan_S_In</t>
  </si>
  <si>
    <t>Quan_P_RP</t>
  </si>
  <si>
    <t>Quan_S_RP</t>
  </si>
  <si>
    <t>Quan_P_PP</t>
  </si>
  <si>
    <t>Quan_S_PP</t>
  </si>
  <si>
    <t>Qual_P_1_N</t>
  </si>
  <si>
    <t>Qual_P_2_N</t>
  </si>
  <si>
    <t>Qual_P_3_N</t>
  </si>
  <si>
    <t>Qual_P_4_N</t>
  </si>
  <si>
    <t>Qual_P_0_N</t>
  </si>
  <si>
    <t>Qual_P_1_E</t>
  </si>
  <si>
    <t>Qual_P_2_E</t>
  </si>
  <si>
    <t>Qual_P_3_E</t>
  </si>
  <si>
    <t>Qual_P_4_E</t>
  </si>
  <si>
    <t>Qual_P_0_E</t>
  </si>
  <si>
    <t>Qual_S_1_N</t>
  </si>
  <si>
    <t>Qual_S_0_N</t>
  </si>
  <si>
    <t>Qual_S_4_N</t>
  </si>
  <si>
    <t>Qual_S_2_N</t>
  </si>
  <si>
    <t>Qual_S_3_N</t>
  </si>
  <si>
    <t>Qual_S_2_E</t>
  </si>
  <si>
    <t>Qual_S_1_E</t>
  </si>
  <si>
    <t>Qual_S_3_E</t>
  </si>
  <si>
    <t>Qual_S_4_E</t>
  </si>
  <si>
    <t>Qual_S_0_E</t>
  </si>
  <si>
    <t>Progress</t>
  </si>
  <si>
    <t>Progress 8 Score</t>
  </si>
  <si>
    <t>No Rating</t>
  </si>
  <si>
    <t xml:space="preserve">1. Pupil Numbers for the 2009/10 academic year taken as at the pupil census in May 2010
</t>
  </si>
  <si>
    <t>Sec places added in Well Above Average Schools</t>
  </si>
  <si>
    <t>Sec places added in Average schools</t>
  </si>
  <si>
    <t>Sec places added in Below Average schools</t>
  </si>
  <si>
    <t>Sec places added in Well Below Average schools</t>
  </si>
  <si>
    <t>Sec percentage places added in Well Above and Above Average Schools ranking</t>
  </si>
  <si>
    <t>Sec percentage places added in Well Above and Above Average Schools</t>
  </si>
  <si>
    <t xml:space="preserve">Sec percentage places added in Outstanding/good schools </t>
  </si>
  <si>
    <t>Sec existing places in Well Above Average Schools</t>
  </si>
  <si>
    <t>Sec existing places in Well Below Average schools</t>
  </si>
  <si>
    <t>Auth_num</t>
  </si>
  <si>
    <t>=Calculations!$A$2:$A$153</t>
  </si>
  <si>
    <t>Authorities</t>
  </si>
  <si>
    <t>=Calculations!$B$2:$B$153</t>
  </si>
  <si>
    <t>BNfunding</t>
  </si>
  <si>
    <t>=Calculations!$M$70</t>
  </si>
  <si>
    <t>chosen_LA</t>
  </si>
  <si>
    <t>=Calculations!$E$2</t>
  </si>
  <si>
    <t>Chosen_laNUM</t>
  </si>
  <si>
    <t>=Calculations!$E$3</t>
  </si>
  <si>
    <t>chosen_phase</t>
  </si>
  <si>
    <t>=Calculations!$F$2</t>
  </si>
  <si>
    <t>=Calculations!$G$2</t>
  </si>
  <si>
    <t>cost_lab1</t>
  </si>
  <si>
    <t>=Calculations!$L$29</t>
  </si>
  <si>
    <t>cost_lab2</t>
  </si>
  <si>
    <t>=Calculations!$L$30</t>
  </si>
  <si>
    <t>cost_lab3</t>
  </si>
  <si>
    <t>=Calculations!$L$31</t>
  </si>
  <si>
    <t>ct_key1</t>
  </si>
  <si>
    <t>=Calculations!$K$33</t>
  </si>
  <si>
    <t>ct_lab5</t>
  </si>
  <si>
    <t>=Calculations!$P$29</t>
  </si>
  <si>
    <t>ct_lab6</t>
  </si>
  <si>
    <t>=Calculations!$Q$29</t>
  </si>
  <si>
    <t>Existing</t>
  </si>
  <si>
    <t>=Calculations!$L$19</t>
  </si>
  <si>
    <t>for_1_value</t>
  </si>
  <si>
    <t>=Calculations!$L$10</t>
  </si>
  <si>
    <t>for_3_value</t>
  </si>
  <si>
    <t>=Calculations!$L$11</t>
  </si>
  <si>
    <t>for_lab1</t>
  </si>
  <si>
    <t>=Calculations!$K$14</t>
  </si>
  <si>
    <t>for_lab2</t>
  </si>
  <si>
    <t>=Calculations!$L$14</t>
  </si>
  <si>
    <t>for_lab3</t>
  </si>
  <si>
    <t>=Calculations!$M$14</t>
  </si>
  <si>
    <t>for_lab4</t>
  </si>
  <si>
    <t>=Calculations!$N$14</t>
  </si>
  <si>
    <t>For_lab5</t>
  </si>
  <si>
    <t>=Calculations!$O$14</t>
  </si>
  <si>
    <t>For_LAranking</t>
  </si>
  <si>
    <t>=Calculations!$O$15</t>
  </si>
  <si>
    <t>for_lavb3</t>
  </si>
  <si>
    <t>Funding_lab1</t>
  </si>
  <si>
    <t>=Calculations!$K$69</t>
  </si>
  <si>
    <t>New</t>
  </si>
  <si>
    <t>=Calculations!$L$20</t>
  </si>
  <si>
    <t>obscurer</t>
  </si>
  <si>
    <t>=Calculations!$I$2</t>
  </si>
  <si>
    <t>PG_lab</t>
  </si>
  <si>
    <t>=Calculations!$K$72</t>
  </si>
  <si>
    <t>=Calculations!$C$2:$C$3</t>
  </si>
  <si>
    <t>Pref_eng</t>
  </si>
  <si>
    <t>=Calculations!$P$83</t>
  </si>
  <si>
    <t>Pref_lab1</t>
  </si>
  <si>
    <t>=Calculations!$K$79</t>
  </si>
  <si>
    <t>Pref_Lab2</t>
  </si>
  <si>
    <t>=Calculations!$K$80</t>
  </si>
  <si>
    <t>Pref_lab3</t>
  </si>
  <si>
    <t>=Calculations!$K$81</t>
  </si>
  <si>
    <t>Pref_T3</t>
  </si>
  <si>
    <t>=Calculations!$O$83</t>
  </si>
  <si>
    <t>Pupil_Growth</t>
  </si>
  <si>
    <t>=Calculations!$L$75</t>
  </si>
  <si>
    <t>ql_key1</t>
  </si>
  <si>
    <t>=Calculations!$K$24</t>
  </si>
  <si>
    <t>ql_key2</t>
  </si>
  <si>
    <t>=Calculations!$L$24</t>
  </si>
  <si>
    <t>ql_lab8</t>
  </si>
  <si>
    <t>=Calculations!$P$24</t>
  </si>
  <si>
    <t>ql_lab9</t>
  </si>
  <si>
    <t>=Calculations!$Q$24</t>
  </si>
  <si>
    <t>Qn_axis2</t>
  </si>
  <si>
    <t>=Calculations!$K$2</t>
  </si>
  <si>
    <t>Qn_key1</t>
  </si>
  <si>
    <t>=Calculations!$L$4</t>
  </si>
  <si>
    <t>Qn_key2</t>
  </si>
  <si>
    <t>=Calculations!$L$5</t>
  </si>
  <si>
    <t>Qn_key3</t>
  </si>
  <si>
    <t>=Calculations!$L$6</t>
  </si>
  <si>
    <t>Qn_key4</t>
  </si>
  <si>
    <t>=Calculations!$L$3</t>
  </si>
  <si>
    <t>qn_lab2</t>
  </si>
  <si>
    <t>=Calculations!$S$4</t>
  </si>
  <si>
    <t>qual_key_6</t>
  </si>
  <si>
    <t>=Calculations!$Y$22</t>
  </si>
  <si>
    <t>qual_key3</t>
  </si>
  <si>
    <t>=Calculations!$Y$19</t>
  </si>
  <si>
    <t>Qual_key4</t>
  </si>
  <si>
    <t>=Calculations!$Y$21</t>
  </si>
  <si>
    <t>Qual_key5</t>
  </si>
  <si>
    <t>=Calculations!$Y$23</t>
  </si>
  <si>
    <t>Qual_mets</t>
  </si>
  <si>
    <t>=Calculations!$D$2:$D$3</t>
  </si>
  <si>
    <t>Quan_lab1</t>
  </si>
  <si>
    <t>=Calculations!$Q$6</t>
  </si>
  <si>
    <t>=Calculations!$H$2</t>
  </si>
  <si>
    <t>Range</t>
  </si>
  <si>
    <t>Field Name (Named range) - Data</t>
  </si>
  <si>
    <t>Field name (named range) - Calculations tab</t>
  </si>
  <si>
    <t>Date</t>
  </si>
  <si>
    <t>Qual_P_Propranks</t>
  </si>
  <si>
    <t>Qual_S_Propranks</t>
  </si>
  <si>
    <t>KS4_WAA_N</t>
  </si>
  <si>
    <t>KS4_AA_N</t>
  </si>
  <si>
    <t>KS4_A_N</t>
  </si>
  <si>
    <t>KS4_BA_N</t>
  </si>
  <si>
    <t>KS4_WBA_N</t>
  </si>
  <si>
    <t>KS4_NR_N</t>
  </si>
  <si>
    <t>Qual_KS4_Propranks</t>
  </si>
  <si>
    <t>KS4_WAA_E</t>
  </si>
  <si>
    <t>KS4_AA_E</t>
  </si>
  <si>
    <t>KS4_A_E</t>
  </si>
  <si>
    <t>KS4_BA_E</t>
  </si>
  <si>
    <t>KS4_WBA_E</t>
  </si>
  <si>
    <t>KS4_NR_E</t>
  </si>
  <si>
    <r>
      <t xml:space="preserve">One year ahead forecast accuracy </t>
    </r>
    <r>
      <rPr>
        <b/>
        <sz val="11"/>
        <color theme="1"/>
        <rFont val="Calibri"/>
        <family val="2"/>
        <scheme val="minor"/>
      </rPr>
      <t>(3)</t>
    </r>
  </si>
  <si>
    <r>
      <t xml:space="preserve">Three year ahead forecast accuracy </t>
    </r>
    <r>
      <rPr>
        <b/>
        <sz val="11"/>
        <color theme="1"/>
        <rFont val="Calibri"/>
        <family val="2"/>
        <scheme val="minor"/>
      </rPr>
      <t>(3)</t>
    </r>
  </si>
  <si>
    <t>Quality (Using Progress 8)</t>
  </si>
  <si>
    <t>New places in 'well above average' schools</t>
  </si>
  <si>
    <t>New places in 'above average' schools</t>
  </si>
  <si>
    <t>New places in 'average' schools</t>
  </si>
  <si>
    <t>New places in 'below average' schools</t>
  </si>
  <si>
    <t>New places in 'well below average' schools</t>
  </si>
  <si>
    <t>Existing places in 'well above average' schools</t>
  </si>
  <si>
    <t>Existing places in 'above average' schools</t>
  </si>
  <si>
    <t>Existing places in 'average' schools</t>
  </si>
  <si>
    <t>Existing places in 'below average' schools</t>
  </si>
  <si>
    <t>Existing places in 'well below average' schools</t>
  </si>
  <si>
    <t>(5)</t>
  </si>
  <si>
    <t>Negative percentages denote an underforecast.</t>
  </si>
  <si>
    <t>Ofsted</t>
  </si>
  <si>
    <t>(6)</t>
  </si>
  <si>
    <t>Positive percentages denote an overforecast.</t>
  </si>
  <si>
    <t>Secondary Data for City of London are not applicable (apart from preference).</t>
  </si>
  <si>
    <t>Total includes targeted basic need allocations 2013-2015.</t>
  </si>
  <si>
    <t>Pri Preference 1-3 choice total</t>
  </si>
  <si>
    <t>Sec Preference 1-3 choice total</t>
  </si>
  <si>
    <t xml:space="preserve">Pri 10-17 created places </t>
  </si>
  <si>
    <t xml:space="preserve">Sec 10-17 created places </t>
  </si>
  <si>
    <t>Cost per place all England</t>
  </si>
  <si>
    <t>Quan_P_Su</t>
  </si>
  <si>
    <t>Quan_S_Su</t>
  </si>
  <si>
    <t>Quan_lab2</t>
  </si>
  <si>
    <t>=Calculations!$Q$7</t>
  </si>
  <si>
    <t>Pri residual pressure (shortfall)</t>
  </si>
  <si>
    <t>Sec residual pressure (shortfall)</t>
  </si>
  <si>
    <t>Max</t>
  </si>
  <si>
    <t>England average</t>
  </si>
  <si>
    <t>Number of permanent expansion projects</t>
  </si>
  <si>
    <t>Number of temporary expansion projects</t>
  </si>
  <si>
    <t>Number of new school projects</t>
  </si>
  <si>
    <t>CPP_P_EP</t>
  </si>
  <si>
    <t>CPP_P_ET</t>
  </si>
  <si>
    <t>CPP_P_NS</t>
  </si>
  <si>
    <t>CPP_S_EP</t>
  </si>
  <si>
    <t>CPP_S_ET</t>
  </si>
  <si>
    <t>CPP_S_NS</t>
  </si>
  <si>
    <t>Places_P_EP</t>
  </si>
  <si>
    <t>Places_P_ET</t>
  </si>
  <si>
    <t>Places_P_NS</t>
  </si>
  <si>
    <t>Places_S_ET</t>
  </si>
  <si>
    <t>Places_S_EP</t>
  </si>
  <si>
    <t>Places_S_NS</t>
  </si>
  <si>
    <t>No new school projects reported</t>
  </si>
  <si>
    <t>OUTER LONDON</t>
  </si>
  <si>
    <t xml:space="preserve">YORKSHIRE AND THE HUMBER                          </t>
  </si>
  <si>
    <t xml:space="preserve">SOUTH WEST                                        </t>
  </si>
  <si>
    <t xml:space="preserve">EAST OF ENGLAND                                   </t>
  </si>
  <si>
    <t xml:space="preserve">WEST MIDLANDS                                     </t>
  </si>
  <si>
    <t xml:space="preserve">NORTH WEST                                        </t>
  </si>
  <si>
    <t xml:space="preserve">SOUTH EAST                                        </t>
  </si>
  <si>
    <t>INNER LONDON</t>
  </si>
  <si>
    <t xml:space="preserve">NORTH EAST                                        </t>
  </si>
  <si>
    <t xml:space="preserve">EAST MIDLANDS                                     </t>
  </si>
  <si>
    <t>Pri place pressure surplus (spare capacity)</t>
  </si>
  <si>
    <t>Sec place pressure surplus (spare capacity)</t>
  </si>
  <si>
    <t>Pri Perm Expansion total costs</t>
  </si>
  <si>
    <t>Pri Temp Expansion total costs</t>
  </si>
  <si>
    <t>Pri New School total costs</t>
  </si>
  <si>
    <t>Pri Perm Expansion places created</t>
  </si>
  <si>
    <t>Pri Temp Expansion places created</t>
  </si>
  <si>
    <t>Pri New Schools places created</t>
  </si>
  <si>
    <t>Sec Perm Expansion total costs</t>
  </si>
  <si>
    <t>Sec Perm Expansion places created</t>
  </si>
  <si>
    <t>Sec Temp Expansion total costs</t>
  </si>
  <si>
    <t>Sec Temp Expansion places created</t>
  </si>
  <si>
    <t>Sec New School total costs</t>
  </si>
  <si>
    <t>Sec New Schools places created</t>
  </si>
  <si>
    <t>This measure shows the proportion of applicants who received an offer of a place in one of their top three preference schools</t>
  </si>
  <si>
    <t>Local authority data, provided through School Capacity collection 2018</t>
  </si>
  <si>
    <t>ENGLAND</t>
  </si>
  <si>
    <t>Creator</t>
  </si>
  <si>
    <t>Reading progress</t>
  </si>
  <si>
    <t>Maths progress</t>
  </si>
  <si>
    <t>KS2Mat_WAA_N</t>
  </si>
  <si>
    <t>KS2Mat_AA_N</t>
  </si>
  <si>
    <t>KS2Mat_A_N</t>
  </si>
  <si>
    <t>KS2Mat_BA_N</t>
  </si>
  <si>
    <t>KS2Mat_WBA_N</t>
  </si>
  <si>
    <t>KS2Mat_NR_N</t>
  </si>
  <si>
    <t>Qual_KS2Mat_Prop</t>
  </si>
  <si>
    <t>Qual_KS2Mat_Propranks</t>
  </si>
  <si>
    <t>KS2Mat_WAA_E</t>
  </si>
  <si>
    <t>KS2Mat_AA_E</t>
  </si>
  <si>
    <t>KS2Mat_A_E</t>
  </si>
  <si>
    <t>KS2Mat_BA_E</t>
  </si>
  <si>
    <t>KS2Mat_WBA_E</t>
  </si>
  <si>
    <t>KS2Mat_NR_E</t>
  </si>
  <si>
    <t>KS2Read_WAA_N</t>
  </si>
  <si>
    <t>KS2Read_AA_N</t>
  </si>
  <si>
    <t>KS2Read_A_N</t>
  </si>
  <si>
    <t>KS2Read_BA_N</t>
  </si>
  <si>
    <t>KS2Read_WBA_N</t>
  </si>
  <si>
    <t>KS2Read_NR_N</t>
  </si>
  <si>
    <t>Qual_KS2Read_Prop</t>
  </si>
  <si>
    <t>Qual_KS2Read_Propranks</t>
  </si>
  <si>
    <t>KS2Read_WAA_E</t>
  </si>
  <si>
    <t>KS2Read_AA_E</t>
  </si>
  <si>
    <t>KS2Read_A_E</t>
  </si>
  <si>
    <t>KS2Read_BA_E</t>
  </si>
  <si>
    <t>KS2Read_WBA_E</t>
  </si>
  <si>
    <t>KS2Read_NR_E</t>
  </si>
  <si>
    <t>SCAP 2018</t>
  </si>
  <si>
    <t>Quality (Using Reading Progress)</t>
  </si>
  <si>
    <t>New places in schools with no progress score</t>
  </si>
  <si>
    <t>Existing places in schools with no progress score</t>
  </si>
  <si>
    <t>Quality (Using Maths Progress)</t>
  </si>
  <si>
    <t>Existing places in schools with no progress 8 score</t>
  </si>
  <si>
    <t>New places in schools with no progress 8 score</t>
  </si>
  <si>
    <t xml:space="preserve">1. For the Ofsted measure, those schools that have yet to be inspected so do not have an Ofsted judgment.
2. For the key stage 2 reading or maths progress measures, schools do not have key stage 2 results if no pupils have taken key stage 2 tests at the school (or did not do so this year). 
2. For the key stage 4 progress 8 score, schools do not have key stage 4 results if no pupils have taken key stage 4 exams at the school (or did not do so this year). 
</t>
  </si>
  <si>
    <t>Key stage 2 progress measures</t>
  </si>
  <si>
    <t>Worked Example (Barking and Dagenham - Primary)</t>
  </si>
  <si>
    <t>1. Of all the new places created in the local authority in schools with a valid key stage 2 reading or maths measure, the percentage which are categorised as 'well above' or 'above' the national average by a statistically significant margin as defined by the DfE performance data team.</t>
  </si>
  <si>
    <t>1. Of all the new places created in the local authority in schools with a valid key stage 4 progress 8 score, the percentage which are categorised as 'well above' or 'above' the national average by a statistically significant margin as defined by the DfE performance data team.</t>
  </si>
  <si>
    <t>This measure shows the average cost per place of permanent expansion projects delivered by the selected local authority;</t>
  </si>
  <si>
    <t>the average cost per place of temporary expansion projects delivered by the selected local authority;</t>
  </si>
  <si>
    <t>and the average cost per place of new school projects delivered by the selected local authority;</t>
  </si>
  <si>
    <t>Estimated number of places rounded to nearest whole ten.</t>
  </si>
  <si>
    <t>Places created in permanent expansions</t>
  </si>
  <si>
    <r>
      <t xml:space="preserve">Isles Of Scilly </t>
    </r>
    <r>
      <rPr>
        <b/>
        <sz val="11"/>
        <color theme="1"/>
        <rFont val="Calibri"/>
        <family val="2"/>
        <scheme val="minor"/>
      </rPr>
      <t>(5)</t>
    </r>
  </si>
  <si>
    <t>(7)</t>
  </si>
  <si>
    <t>Total primary and secondary basic need funding 2011-22</t>
  </si>
  <si>
    <t>Places created since 2009/10, places planned to 2021/22 and estimated place pressure in 2021/22</t>
  </si>
  <si>
    <t>Estimated percentage of spare places in 2021/22</t>
  </si>
  <si>
    <t>Total places created between 2009/10 and 2018/19</t>
  </si>
  <si>
    <t>New places planned for delivery 2019/20 to 2021/22</t>
  </si>
  <si>
    <t>Proportion of applicants who received an offer of one of their top three preferences for September 2019 entry</t>
  </si>
  <si>
    <t>Quality of places created between 2017/18 and 2018/19</t>
  </si>
  <si>
    <r>
      <t xml:space="preserve">Total basic need allocation 2011-22 </t>
    </r>
    <r>
      <rPr>
        <b/>
        <sz val="11"/>
        <color theme="1"/>
        <rFont val="Calibri"/>
        <family val="2"/>
        <scheme val="minor"/>
      </rPr>
      <t>(1)</t>
    </r>
  </si>
  <si>
    <t>Forecast pupil numbers 2021/22</t>
  </si>
  <si>
    <t>% Increase in pupil numbers May '10 to Sept '21</t>
  </si>
  <si>
    <t>Capacity at May 2019</t>
  </si>
  <si>
    <t>Number of new places planned for delivery 2019/20 to 2021/22</t>
  </si>
  <si>
    <r>
      <t xml:space="preserve">Estimated number of additional places needed to meet demand in 2021/22 </t>
    </r>
    <r>
      <rPr>
        <b/>
        <sz val="11"/>
        <color theme="1"/>
        <rFont val="Calibri"/>
        <family val="2"/>
        <scheme val="minor"/>
      </rPr>
      <t>(2)</t>
    </r>
  </si>
  <si>
    <r>
      <t xml:space="preserve">Estimated number of spare places in 2021/22 </t>
    </r>
    <r>
      <rPr>
        <b/>
        <sz val="11"/>
        <color theme="1"/>
        <rFont val="Calibri"/>
        <family val="2"/>
        <scheme val="minor"/>
      </rPr>
      <t>(2)</t>
    </r>
  </si>
  <si>
    <t>Actual pupil numbers 2018/19</t>
  </si>
  <si>
    <t>SCAP16 Forecast pupil numbers on roll 2018/19</t>
  </si>
  <si>
    <t>SCAP18 Forecast pupil number on roll 2018/19</t>
  </si>
  <si>
    <t>School Place Scorecard 2019</t>
  </si>
  <si>
    <t>SM</t>
  </si>
  <si>
    <t>Total basic need funding 2011-22</t>
  </si>
  <si>
    <t>This is the total amount of basic need capital funding allocated to each local authority to create new places from 2011 to 2022. This covers places needed at both primary and secondary phases.</t>
  </si>
  <si>
    <t xml:space="preserve">1. This refers to the amount of basic need capital funding that the Department for Education (DfE) has allocated to each local authority to create new places from 2011 to 2022.
2. The figure includes formula-based funding allocations and funding provided through the Targeted Basic Need Programme. Basic Need funding is not ring-fenced, but Targeted Basic Need funding must be spent by agreed deadlines and on specific projects.
3. The figure only includes funding allocated to local authorities, and so does not include centrally funded capital programmes such as free schools. </t>
  </si>
  <si>
    <t>This is the anticipated percentage increase in pupil numbers in primary or secondary provision between the 2009/10 and 2021/22 academic years.</t>
  </si>
  <si>
    <t>2. Forecast pupil numbers for the 2021/22 academic year</t>
  </si>
  <si>
    <t>2.Capacity at May 2019</t>
  </si>
  <si>
    <t>the estimated number of additional places needed to meet demand in 2021/22;</t>
  </si>
  <si>
    <t>and the estimated percentage of spare places in 2021/22.</t>
  </si>
  <si>
    <t>3. Places from free schools opened in September 2019 and to be opened in September 2020.</t>
  </si>
  <si>
    <t>5. Total number of planned places (sum of 1, 2, 3 and 4 above) September 2019 to August 2022</t>
  </si>
  <si>
    <t>Local authority data provided through the School Capacity (SCAP) Collection 2019</t>
  </si>
  <si>
    <t>Local authority data provided through the School Capacity (SCAP) Collection 2016</t>
  </si>
  <si>
    <t>1. The proportion of applicants who received an offer of a place in one of their top three preferences for entry in September 2019 in the selected local authority and in England.
2. Graphic represents the proportions of applicants who received an offer of a place in their first, second and third preferences.
3. The blank section represents the proportion made an offer of a lower preference (where a local authority allows 4 or more preferences) and the proportion not made a preferred offer (including applicants who were made an alternative offer and those who, on national offer day, were not made any offer).</t>
  </si>
  <si>
    <t>Capacity of each school in May 2018</t>
  </si>
  <si>
    <t>Capacity for each school in May 2019</t>
  </si>
  <si>
    <t>Local authority data, provided through School Capacity collection 2019</t>
  </si>
  <si>
    <t>1. The quality rating of the places created is either the Ofsted judgment, the key stage 2 reading or maths progress measures (primary only) or the key stage 4 progress 8 score category (secondary only).
2. The quality of new places amongst the relevant quality categories for the selected authority is presented.
3. The quality rating of the places present in the school capacity collection 2019 that were also present in the school capacity collection 2018 is presented as the existing places.</t>
  </si>
  <si>
    <t>Copy of 2018 published scorecard. Updated Version Control, cleared data tab, rolled forward years on Scorecard and Technical Notes, cleared relevent fields in Primary/Secondary Summary Data. Removed Dorset, Poole and Bournemuth from Data, Calculation, Primary &amp; Secondary Summary Data tabs. No changes made to Information or Meta Data. 
In the technical notes some of the worked examples need updating - the 2010 calculations are all left in but the other values have been removed. The places where values need updating have been marked with UPDATE. All dates have been updated except in the notes in cost section as I don't know whether the BCIS or TPI date remain the same or are rolled forward too.</t>
  </si>
  <si>
    <t>Added BN funding</t>
  </si>
  <si>
    <t>JB</t>
  </si>
  <si>
    <t>Added Pupil Growth Data</t>
  </si>
  <si>
    <t>MA</t>
  </si>
  <si>
    <t>Ammended England BN figure to inlcude Bournemouth, Dorset etc</t>
  </si>
  <si>
    <t>Added Forecast Accuracy Data</t>
  </si>
  <si>
    <t>Added Preference Data</t>
  </si>
  <si>
    <t>Added Bournemouth, Dorset and Poole LAs Pre and Post 2019 in primary and secondary summary data tabs</t>
  </si>
  <si>
    <t>LA Code</t>
  </si>
  <si>
    <t>z</t>
  </si>
  <si>
    <t>Average cost per additional mainstream place from local authority reported projects between 2015/16 and 2017/18, adjusted for inflation and regional variation</t>
  </si>
  <si>
    <t>Added Quantity Data</t>
  </si>
  <si>
    <t>Projects_P_EP</t>
  </si>
  <si>
    <t>Projects_P_Et</t>
  </si>
  <si>
    <t>Projects_P_NSn</t>
  </si>
  <si>
    <t>Projects_S_EP</t>
  </si>
  <si>
    <t>Projects_S_ET</t>
  </si>
  <si>
    <t>Projects_S_NS</t>
  </si>
  <si>
    <t>Projects_P_ET</t>
  </si>
  <si>
    <t>Projects_P_NS</t>
  </si>
  <si>
    <t>Added Cost data to 'Data' and 'Primary/Secondary Summary' tabs</t>
  </si>
  <si>
    <t>EC</t>
  </si>
  <si>
    <t>0.4</t>
  </si>
  <si>
    <t>Updated Pupil Growth Data England figures and Added Preference Summary tabs</t>
  </si>
  <si>
    <t>Added Surplus Data</t>
  </si>
  <si>
    <t>Updated Preference data for Isles Of Scilly</t>
  </si>
  <si>
    <t>Added Quantity Summary Tabs</t>
  </si>
  <si>
    <t>Added Forecast Accuracy Summary Tabs</t>
  </si>
  <si>
    <t>Updated Cost Per Place in 'Data' tab to replace zeroes with 'N/A'</t>
  </si>
  <si>
    <t>Updated colours for the quantity chart and updated the preference % boxes so that it is no longer hard coded for England</t>
  </si>
  <si>
    <t>NW</t>
  </si>
  <si>
    <t>NULL</t>
  </si>
  <si>
    <t>n/a</t>
  </si>
  <si>
    <t>:</t>
  </si>
  <si>
    <t>Indicates data is not applicable</t>
  </si>
  <si>
    <t>Indicates data is not available</t>
  </si>
  <si>
    <t>Accuracy figures for City of London and Isles Of Scilly not presented in the Scorecard due to their small relative size.</t>
  </si>
  <si>
    <t xml:space="preserve">Accuracy figures for Isles Of Scilly not presented in the Scorecard due to its small relative size.
</t>
  </si>
  <si>
    <t xml:space="preserve">Note that Dorset (838) is not directly comparable to pre-LGR 2019 Dorset (835). </t>
  </si>
  <si>
    <t>Preference data for the Isles Of Scilly are not applicable. Preference data for Dorset (838) and Bournemouth, Christchurch and Poole (839) are not available as latest data was relevant to Pre-LGR 2019 local authorities</t>
  </si>
  <si>
    <t>Isles of Scilly capacity data based on single school classified as a primary school in 2010 but an all-through school in 2019. The capacity of all-through schools is included in the secondary phase.</t>
  </si>
  <si>
    <t>Isle of Scilly quality data not available as no Ofsted inspection data available for one sponsor led academy school.</t>
  </si>
  <si>
    <r>
      <t xml:space="preserve">City of London </t>
    </r>
    <r>
      <rPr>
        <b/>
        <sz val="11"/>
        <color theme="1"/>
        <rFont val="Calibri"/>
        <family val="2"/>
        <scheme val="minor"/>
      </rPr>
      <t>(5)</t>
    </r>
  </si>
  <si>
    <r>
      <t>Isles Of Scilly</t>
    </r>
    <r>
      <rPr>
        <b/>
        <sz val="11"/>
        <color theme="1"/>
        <rFont val="Calibri"/>
        <family val="2"/>
        <scheme val="minor"/>
      </rPr>
      <t xml:space="preserve"> (6)</t>
    </r>
  </si>
  <si>
    <r>
      <t>Pre-LGR 2019 Bournemouth</t>
    </r>
    <r>
      <rPr>
        <b/>
        <sz val="11"/>
        <color theme="1"/>
        <rFont val="Calibri"/>
        <family val="2"/>
        <scheme val="minor"/>
      </rPr>
      <t xml:space="preserve"> (7)</t>
    </r>
  </si>
  <si>
    <r>
      <t>Bournemouth, Christchurch and Poole</t>
    </r>
    <r>
      <rPr>
        <b/>
        <sz val="11"/>
        <color theme="1"/>
        <rFont val="Calibri"/>
        <family val="2"/>
        <scheme val="minor"/>
      </rPr>
      <t xml:space="preserve"> (7)</t>
    </r>
  </si>
  <si>
    <r>
      <t xml:space="preserve">Pre-LGR 2019 Dorset </t>
    </r>
    <r>
      <rPr>
        <b/>
        <sz val="11"/>
        <color theme="1"/>
        <rFont val="Calibri"/>
        <family val="2"/>
        <scheme val="minor"/>
      </rPr>
      <t>(7)</t>
    </r>
  </si>
  <si>
    <r>
      <t>Pre-LGR 2019 Poole</t>
    </r>
    <r>
      <rPr>
        <b/>
        <sz val="11"/>
        <color theme="1"/>
        <rFont val="Calibri"/>
        <family val="2"/>
        <scheme val="minor"/>
      </rPr>
      <t xml:space="preserve"> (7)</t>
    </r>
  </si>
  <si>
    <t xml:space="preserve">Dorset (838) and Bournemouth, Christchurch and Poole (839) are new local authorities following changes to LA boundaries in this region in April 2019. </t>
  </si>
  <si>
    <r>
      <t xml:space="preserve">Dorset </t>
    </r>
    <r>
      <rPr>
        <b/>
        <sz val="11"/>
        <color theme="1"/>
        <rFont val="Calibri"/>
        <family val="2"/>
        <scheme val="minor"/>
      </rPr>
      <t>(7)</t>
    </r>
  </si>
  <si>
    <t>Formula for England quality updated</t>
  </si>
  <si>
    <t>Cost per place for permanent expansions</t>
  </si>
  <si>
    <t>Cost per place for  temporary expansions</t>
  </si>
  <si>
    <t>Cost per place for new schools</t>
  </si>
  <si>
    <t>Cost per place for temporary expansions</t>
  </si>
  <si>
    <t>Cost per place data added into summary tabs</t>
  </si>
  <si>
    <r>
      <rPr>
        <b/>
        <sz val="11"/>
        <rFont val="Calibri"/>
        <family val="2"/>
        <scheme val="minor"/>
      </rPr>
      <t>Cost:</t>
    </r>
    <r>
      <rPr>
        <sz val="11"/>
        <rFont val="Calibri"/>
        <family val="2"/>
        <scheme val="minor"/>
      </rPr>
      <t xml:space="preserve">
Average cost per additional mainstream place from local authority reported projects for 2015/16, 2016/17 and 2017/18, adjusted for inflation and regional variation</t>
    </r>
  </si>
  <si>
    <t>Estimated number of additional places needed to meet demand in 2021/22</t>
  </si>
  <si>
    <t>Local authority data provided through School Capacity (SCAP) Survey 2010</t>
  </si>
  <si>
    <t>Local authority data provided through the School Capacity (SCAP) Survey 2019</t>
  </si>
  <si>
    <t>Local authority data provided through the School Capacity (SCAP) Survey 2019.</t>
  </si>
  <si>
    <t>Updated Quantity technical note apart from Forecast Accuracy. Checked cells in blue, significant changes in red.</t>
  </si>
  <si>
    <t>Updated screenshot on information page and updated dates</t>
  </si>
  <si>
    <t>Added quality data into data tab and summary data tabs</t>
  </si>
  <si>
    <t>Changed Isle of Scilly preference note on scorepage to 'See Summary Data Notes' rather than 'See Summary Data'</t>
  </si>
  <si>
    <r>
      <t>Pre-LGR 2019 Bournemouth</t>
    </r>
    <r>
      <rPr>
        <b/>
        <sz val="11"/>
        <color theme="1"/>
        <rFont val="Calibri"/>
        <family val="2"/>
        <scheme val="minor"/>
      </rPr>
      <t xml:space="preserve"> (6)</t>
    </r>
  </si>
  <si>
    <r>
      <t>Bournemouth, Christchurch and Poole</t>
    </r>
    <r>
      <rPr>
        <b/>
        <sz val="11"/>
        <color theme="1"/>
        <rFont val="Calibri"/>
        <family val="2"/>
        <scheme val="minor"/>
      </rPr>
      <t xml:space="preserve"> (6)</t>
    </r>
  </si>
  <si>
    <r>
      <t>Pre-LGR 2019 Poole</t>
    </r>
    <r>
      <rPr>
        <b/>
        <sz val="11"/>
        <color theme="1"/>
        <rFont val="Calibri"/>
        <family val="2"/>
        <scheme val="minor"/>
      </rPr>
      <t xml:space="preserve"> (6)</t>
    </r>
  </si>
  <si>
    <r>
      <t>Dorset</t>
    </r>
    <r>
      <rPr>
        <b/>
        <sz val="11"/>
        <color theme="1"/>
        <rFont val="Calibri"/>
        <family val="2"/>
        <scheme val="minor"/>
      </rPr>
      <t xml:space="preserve"> (6)</t>
    </r>
  </si>
  <si>
    <r>
      <t>Pre-LGR 2019 Dorset</t>
    </r>
    <r>
      <rPr>
        <b/>
        <sz val="11"/>
        <color theme="1"/>
        <rFont val="Calibri"/>
        <family val="2"/>
        <scheme val="minor"/>
      </rPr>
      <t xml:space="preserve"> (6)</t>
    </r>
  </si>
  <si>
    <t>Local Authority Information</t>
  </si>
  <si>
    <t>Quality data is available for Dorset (838) and Bournemouth, Christchurch and Poole (839) and compares the schools in these local authorities to the comparable schools which were under the Pre-LGR local authorities to work out existing/new school places. The new places do NOT reflect places in schools new to the local authority due to the 2019 boundary changes.</t>
  </si>
  <si>
    <t>Data is shown where available for these new local authorities i.e. 2019 capacity. Where data is not available i.e. 2010 capacity, the data for Pre-LGR 2019 Bournemouth, Pre-LGR 2019 Poole and Pre-LGR 2019 Dorset, if available is shown for information, although the data is not directly comparable with the new local authorities.</t>
  </si>
  <si>
    <t>Data is shown where available for these new local authorities i.e. 2019 capacity. Where data is not available i.e. 2010 capacity, the data for Pre-LGR 2019 Bournemouth, Pre-LGR 2019 Poole and Pre-LGR 2019 Dorset, if available is shown for information although the data is not directly comparable.</t>
  </si>
  <si>
    <t xml:space="preserve">Local authority data provided through the School Capacity (SCAP) Collection 2018 </t>
  </si>
  <si>
    <t>2018/19 school place planning published tables</t>
  </si>
  <si>
    <t>Local authority data provided through the  School Capacity (SCAP) Collection 2019</t>
  </si>
  <si>
    <t>Added text into quality section for Ofsted drop down and amended text colour in drop down. Added note in Cost heading</t>
  </si>
  <si>
    <t>Side bars
For LA (blue)
For all-England (orange)</t>
  </si>
  <si>
    <r>
      <t xml:space="preserve">Additional primary places needed to meet demand by 2021/22:  </t>
    </r>
    <r>
      <rPr>
        <b/>
        <sz val="11"/>
        <rFont val="Calibri"/>
        <family val="2"/>
        <scheme val="minor"/>
      </rPr>
      <t>420</t>
    </r>
    <r>
      <rPr>
        <sz val="11"/>
        <rFont val="Calibri"/>
        <family val="2"/>
        <scheme val="minor"/>
      </rPr>
      <t xml:space="preserve">
Percentage of spare primary places in 2021/22: </t>
    </r>
    <r>
      <rPr>
        <b/>
        <sz val="11"/>
        <rFont val="Calibri"/>
        <family val="2"/>
        <scheme val="minor"/>
      </rPr>
      <t>13.5%</t>
    </r>
  </si>
  <si>
    <t>N/A for primary</t>
  </si>
  <si>
    <t>Places created Ofsted: 0 'good'</t>
  </si>
  <si>
    <t>Existing places Ofsted: 2,876 'outstanding', 23,626 'good', 1,740 'requires improvement', 0 'inadequate'</t>
  </si>
  <si>
    <t xml:space="preserve">England new primary places Ofsted: 7,123 'outstanding'; 25,883 'good'; 2,961 'requires improvement'; 313 'inadequate' 
England existing primary places Ofsted: 884,730 'outstanding'; 3,353,249 'good'; 474,787 'requires improvement'; 65,767 'inadequate' </t>
  </si>
  <si>
    <t>Cost per place in permanent expansions of £20,275 in the top quintile of the data, from 6 projects.
Cost per place in temporary expansions of £9,331 in the second quintile of the data, from 2 projects.</t>
  </si>
  <si>
    <t>Updated cost data pasted in (three zero cost projects removed). Technical notes updated accordingly.</t>
  </si>
  <si>
    <t>Local authority cost per place in permanent expansions of £20,275 at the bottom of the top quintile of the data.
Average cost per place for permanent expansions in all England £17,268 at the top of the middle quintile of the data.</t>
  </si>
  <si>
    <t>Growth in pupil numbers
2009/10 - 2021/22</t>
  </si>
  <si>
    <t>Places created since 2009/10 shows the total places created between 2009/10 and 2018/19 for both primary and secondary;</t>
  </si>
  <si>
    <r>
      <t xml:space="preserve">Notes for individual indicators in scorecard are below. </t>
    </r>
    <r>
      <rPr>
        <sz val="12"/>
        <color rgb="FFE87D1E"/>
        <rFont val="Calibri"/>
        <family val="2"/>
        <scheme val="minor"/>
      </rPr>
      <t>Please note there is no scorecard for Dorset (838) and Bournemouth, Christchurch and Poole (839) as they are new local authorities, following changes to LA boundaries in this region in April 2019.</t>
    </r>
  </si>
  <si>
    <r>
      <t xml:space="preserve">£194,835,735 
Rounded to </t>
    </r>
    <r>
      <rPr>
        <b/>
        <sz val="11"/>
        <rFont val="Calibri"/>
        <family val="2"/>
        <scheme val="minor"/>
      </rPr>
      <t>£195m</t>
    </r>
  </si>
  <si>
    <t xml:space="preserve">1. This is the total number of pupils registered at each school in May 2010 of academic year 2009/10, covering years reception to year 6 (R-6) for primary, and year 7 to year 11 (7-11) for secondary.
</t>
  </si>
  <si>
    <r>
      <t xml:space="preserve">17,772 primary school pupils in 2009/10
 26,403 primary school pupils forecast in 2021/22
Calculation: (26,403 - 17,772)/17,772 = </t>
    </r>
    <r>
      <rPr>
        <b/>
        <sz val="11"/>
        <rFont val="Calibri"/>
        <family val="2"/>
        <scheme val="minor"/>
      </rPr>
      <t>49%</t>
    </r>
  </si>
  <si>
    <t>1. This is the local authority's forecast of pupil numbers for the academic year 2021/22 as provided in the School Capacity Survey (SCAP) that was carried out Summer 2019.
2. These forecasts cover pupils that local authorities anticipate will attend primary schools (or primary provision in middle or all-through schools i.e. years R-6) and secondary schools (or secondary provision in middle or all-through schools i.e. years 7-11)
3. These forecasts focus on local authorities expectations about new school places and do not include pupils who are expected to attend independent schools or special/non-mainstream provision.</t>
  </si>
  <si>
    <r>
      <rPr>
        <b/>
        <sz val="11"/>
        <rFont val="Calibri"/>
        <family val="2"/>
        <scheme val="minor"/>
      </rPr>
      <t>Quantity:</t>
    </r>
    <r>
      <rPr>
        <sz val="11"/>
        <rFont val="Calibri"/>
        <family val="2"/>
        <scheme val="minor"/>
      </rPr>
      <t xml:space="preserve">
Places created since 2009/10; places planned to 2021/22; spare places and additional places needed in 2021/22; and pupil number forecast accuracy.</t>
    </r>
  </si>
  <si>
    <t>1. The number of places that have been created since May 2010 in each local authority is taken as the difference between capacity as reported by local authorities, via SCAP, at May 2010 and capacity at May 2019.
2. The measure includes all primary and middle deemed primary school capacity in the primary phase, and all secondary, middle deemed secondary and all-through school capacity in the secondary phase.
3. The measure reports net increase in places only, so if phase capacity in a local authority has reduced between May 2010 and May 2019, this is recorded as zero places created. This means that the sum of the local authority-level figures will not equal the overall increase in places at national level.</t>
  </si>
  <si>
    <r>
      <t xml:space="preserve">Capacity at May 2010:  18,107
Capacity at May 2019: 26,896
Calculation: 26,896 - 18,107 = </t>
    </r>
    <r>
      <rPr>
        <b/>
        <sz val="11"/>
        <rFont val="Calibri"/>
        <family val="2"/>
        <scheme val="minor"/>
      </rPr>
      <t>8,789</t>
    </r>
  </si>
  <si>
    <t>the total number of new places planned for delivery from 2019/20 to 2021/22;
The number of places planned for delivery contains four elements: 
1) local authority firm plans for  new permanent additional places and new temporary bulge places’,
2) capacity changes through the Condition Improvement Fund (CIF), Priority School Building Programme (PSBP), and the Selective Schools Expansion Fund (SSEF)
3) places from free schools opened in September 2019 and planned to open in September 2020, and
4) reduction in places from free school and academy closures.</t>
  </si>
  <si>
    <t>1. Local authority plans for places to be created between May 2019 and before the start of the 2021/22 academic year.</t>
  </si>
  <si>
    <t xml:space="preserve">1. Local authority data about new permanent additional places and new temporary bulge places (to accommodate large cohorts as they move through the school) available for the start of the academic years 2019/20, 2020/21 and 2021/22 is aggregated to local authority level.
2. The data was provided by local authorities in Summer 2019, and include only projects that local authorities were confident would proceed. Local authorities were asked to include the total capacity of any new provision. 
3. Local authorities were asked not to include places created through free schools unless they were providing the funding for additional places themselves. </t>
  </si>
  <si>
    <r>
      <t xml:space="preserve">Total primary places planned = </t>
    </r>
    <r>
      <rPr>
        <b/>
        <sz val="11"/>
        <rFont val="Calibri"/>
        <family val="2"/>
        <scheme val="minor"/>
      </rPr>
      <t>840</t>
    </r>
  </si>
  <si>
    <t>2. Capacity changes through the CIF, PSBP and SSEF.</t>
  </si>
  <si>
    <t xml:space="preserve">1. Changes to school capacity (both increases and decreases) as a consequence of works delivered through the CIF, PSBP and SSEF between 2019-20 and 2021-22 inclusive, aggregated to local authority level. </t>
  </si>
  <si>
    <t xml:space="preserve">1. The calculation mirrors the approach taken for basic need funding allocations published in April 2020. It includes mainstream primary and secondary free schools which opened in September 2019 and those with a high degree of certainty of opening in September 2020, and counts the total number of places which will be in use by September 2021.
2. The data does not include free schools which opened before September 2019, as they will be included in the School Capacity collection 2019. It does not include free schools which are planned to open in academic year 2020/21 where it is likely the opening will be delayed, or those planned to open in the academic year 2021/22 and beyond. </t>
  </si>
  <si>
    <t>4. Reduction in places from free school and academy closures between May 2019 and February 2020, or identified to close before August 2022.</t>
  </si>
  <si>
    <t>1. Where an academy or free school closed after 1 May 2019 its capacity, as reported in the School Capacity data, is now no longer available. Their capacity has therefore been removed from the planned delivery total.</t>
  </si>
  <si>
    <t xml:space="preserve">1. This measure reports planned increases in capacity only. If there is a total net planned reduction in capacity (e.g. due to a free school closure), this is shown as zero places planned. This means that the sum of local authority-level figures will not equal the national planned places figure.
2. Note that most local authorities will have further developed their plans since this data was reported in Summer 2019, and so although it allows for comparisons between local authorities, the figure is likely to be an understatement of the current position. </t>
  </si>
  <si>
    <r>
      <t xml:space="preserve">These estimates are created by comparing a) the number of </t>
    </r>
    <r>
      <rPr>
        <u/>
        <sz val="11"/>
        <rFont val="Calibri"/>
        <family val="2"/>
        <scheme val="minor"/>
      </rPr>
      <t>places needed</t>
    </r>
    <r>
      <rPr>
        <sz val="11"/>
        <rFont val="Calibri"/>
        <family val="2"/>
        <scheme val="minor"/>
      </rPr>
      <t xml:space="preserve"> in each year group and planning area, to b) to the </t>
    </r>
    <r>
      <rPr>
        <u/>
        <sz val="11"/>
        <rFont val="Calibri"/>
        <family val="2"/>
        <scheme val="minor"/>
      </rPr>
      <t>current capacity</t>
    </r>
    <r>
      <rPr>
        <sz val="11"/>
        <rFont val="Calibri"/>
        <family val="2"/>
        <scheme val="minor"/>
      </rPr>
      <t xml:space="preserve"> and </t>
    </r>
    <r>
      <rPr>
        <u/>
        <sz val="11"/>
        <rFont val="Calibri"/>
        <family val="2"/>
        <scheme val="minor"/>
      </rPr>
      <t>number of planned places</t>
    </r>
    <r>
      <rPr>
        <sz val="11"/>
        <rFont val="Calibri"/>
        <family val="2"/>
        <scheme val="minor"/>
      </rPr>
      <t xml:space="preserve"> as described above.</t>
    </r>
  </si>
  <si>
    <r>
      <t xml:space="preserve">1. Estimated demand for places relates to the academic year 2021/22 and is the difference between local authority pupil forecasts and future capacity, taking account of planned future additions.
   </t>
    </r>
    <r>
      <rPr>
        <i/>
        <sz val="11"/>
        <rFont val="Calibri"/>
        <family val="2"/>
        <scheme val="minor"/>
      </rPr>
      <t xml:space="preserve">  places needed = forecast demand - (existing capacity + additional capacity).  
</t>
    </r>
    <r>
      <rPr>
        <sz val="11"/>
        <rFont val="Calibri"/>
        <family val="2"/>
        <scheme val="minor"/>
      </rPr>
      <t>For further information on the methodology used, see the School Place Planning Tables 2019: technical note (https://assets.publishing.service.gov.uk/government/uploads/system/uploads/attachment_data/file/874771/School_place_planning_2019_Technical_Guidance.pdf)
2. Where demand is greater than capacity a need for additional places results; where capacity is greater than demand spare places result. 
3. Local authority pupil forecasts for 2021/22 are collected through the School Capacity (SCAP) Survey 2019 and include pupils who will attend places created by housing developer contributions (HDC).
4. Additional capacity as at 2021/22 includes places that the local authority plans to add between May 2019 and before the start of the 2021/22 academic year and places from programmes centrally funded by the department, as described above. 
5. The comparison of demand and capacity takes place for each national curriculum year group within each planning area to estimate places needed in each. The estimates in the scorecard do not allow for spare capacity in one year group or planning area to be off-set against need in another, or vice-versa. This avoids the risk of spare places in one or more planning areas masking areas of need for additional places in planning areas elsewhere in the local authority. For further information see the School Place Planning Tables 2019: technical note.
6. The estimated need for additional places is aggregated to planning area level and then to local authority level. Similarly spare place estimates are aggregated to planning area and then local authority level. It is common for a local authority to have both a need for additional places and spare places, reflecting pockets of localised need for places or pockets of localised spare places.
7. Estimates for need are rounded to the nearest 10.
8. Estimates for spare places are presented as a percentage of total future capacity.</t>
    </r>
  </si>
  <si>
    <t>This measure also shows the one year ahead local authority forecast accuracy (compares actual numbers on roll in 2018/19 with forecasts of pupil numbers for 2018/19 made one year previously by local authority);</t>
  </si>
  <si>
    <t>1. Forecasts of academic year 2018/19 pupil numbers made in academic year 2017/18.</t>
  </si>
  <si>
    <t>1. Forecasts, submitted by local authorities as part of the school capacity (SCAP) collection 2018, of 2018/19 pupil numbers are made for each year group at the planning area level and aggregated to the local authority level. Forecasts include pupils expected to be educated in new schools (or expanded schools) funded through HDC agreements.
2. Actual pupil numbers on roll for academic year 2018/19 are taken from the May school census.
3. Forecast accuracy is calculated by  subtracting the years R-6 actual numbers from the years R-6 forecasts to give the absolute inaccuracy. Absolute inaccuracy is then divided by the R-6 actual number to give the relative percentage inaccuracy. The same is done for secondary but using years 7-11. 
4.  Scorecard figures may differ to those published in SCAP due to the exclusion of years 12 to 14 in the pupil numbers and forecasts used in the scorecard.</t>
  </si>
  <si>
    <r>
      <t xml:space="preserve">2018/19 actual pupil numbers on roll:  25,049
SCAP18 forecast of 2018/19 numbers: 25,759
Calculation: (25,759 - 25,049)/25,049 = </t>
    </r>
    <r>
      <rPr>
        <b/>
        <sz val="11"/>
        <rFont val="Calibri"/>
        <family val="2"/>
        <scheme val="minor"/>
      </rPr>
      <t>2.8%</t>
    </r>
  </si>
  <si>
    <t xml:space="preserve">2. Actual pupil numbers on roll in academic year 2018/19.
</t>
  </si>
  <si>
    <t>and the three year ahead forecast accuracy (compares forecasts of pupil numbers on roll for 2018/19 made three years previously by local authority).</t>
  </si>
  <si>
    <t xml:space="preserve">1. Forecasts of academic year 2018/19 pupil numbers made in academic year 2015/16.
</t>
  </si>
  <si>
    <r>
      <t>1. Forecasts, submitted by local authorities</t>
    </r>
    <r>
      <rPr>
        <b/>
        <sz val="11"/>
        <rFont val="Calibri"/>
        <family val="2"/>
        <scheme val="minor"/>
      </rPr>
      <t xml:space="preserve"> </t>
    </r>
    <r>
      <rPr>
        <sz val="11"/>
        <rFont val="Calibri"/>
        <family val="2"/>
        <scheme val="minor"/>
      </rPr>
      <t>as part of the school capacity (SCAP) collection 2016, of 2018/19 pupil numbers are made for each year group at the planning area level and aggregated to the local authority level. Forecasts include pupils expected to be educated in new schools (or expanded schools) funded through HDC agreements.
2. Actual pupil numbers on roll for academic year 2018/19 are taken from the May school census.
3. Forecast accuracy is calculated by  subtracting the years R-6 actual numbers from the years R-6 forecasts to give the absolute inaccuracy. Absolute inaccuracy is then divided by the R-6 actual number to give the relative percentage inaccuracy. The same is done for secondary but using years 7-11. 
4.  Scorecard figures may differ to those published in SCAP due to the exclusion of years 12 to 14 in the pupil numbers and forecasts used in the scorecard.</t>
    </r>
  </si>
  <si>
    <r>
      <t xml:space="preserve">2018/19 actual pupil numbers on roll: 25,049
SCAP16 forecast of 2018/19 numbers: 27,557
Calculation: (27,557 - 25,049)/25,049 = </t>
    </r>
    <r>
      <rPr>
        <b/>
        <sz val="11"/>
        <rFont val="Calibri"/>
        <family val="2"/>
        <scheme val="minor"/>
      </rPr>
      <t>10%</t>
    </r>
  </si>
  <si>
    <t>2. Actual pupil numbers on roll in academic year 2018/19.</t>
  </si>
  <si>
    <r>
      <t xml:space="preserve">Proportion of applicants receiving an offer of a place in their first preference: 94.9%
Proportion of applicants receiving an offer of a place in their second preference: 3.3%
Proportion of applicants receiving an offer of a place in their third preference: 0.7%
Proportion of applicants receiving an offer in one of their top three preferences: </t>
    </r>
    <r>
      <rPr>
        <b/>
        <sz val="11"/>
        <rFont val="Calibri"/>
        <family val="2"/>
        <scheme val="minor"/>
      </rPr>
      <t>98.9%</t>
    </r>
  </si>
  <si>
    <r>
      <rPr>
        <b/>
        <sz val="11"/>
        <rFont val="Calibri"/>
        <family val="2"/>
        <scheme val="minor"/>
      </rPr>
      <t>Quality:</t>
    </r>
    <r>
      <rPr>
        <sz val="11"/>
        <rFont val="Calibri"/>
        <family val="2"/>
        <scheme val="minor"/>
      </rPr>
      <t xml:space="preserve"> 
Quality of new school places created between academic year 2017/18 and academic year 2018/19; and quality of existing school places in academic year 2018/19 </t>
    </r>
  </si>
  <si>
    <t>This measure shows the number of new places created between academic year 2017/18 and academic year 2018/19</t>
  </si>
  <si>
    <t>1. The following school types, identified using Get Information About Schools (https://get-information-schools.service.gov.uk), have been excluded:
- former independent schools which have not had an inspection since opening;
- sponsored academies which have not had an Ofsted inspection since opening as an academy.
- schools that have amalgamated and have not been inspected since amalgamation.
2. We then compare the capacity of schools present in May 2019 with their May 2018 capacity.
3. New places are identified as an increase in capacity between May 2018 and May 2019 at each school. For mergers and academy conversions where 2018 capacity is not available, the capacities of the ‘parent’ schools in 2018 have been used.
4. We define a school expansion to be an increase of 15 places or more. Schools where fewer than 15 places have been created between May 2018 and May 2019 have all of their capacity counted as existing places.
5. Existing places are the number of places present in May 2019 after subtracting the new places since May 2018 (if 15 or more) from the May 2019 capacity.
6. Places at schools which operate in both education phases have been assigned to years primary or secondary as notified in school capacity data in May 2018, or May 2019. 
7. New places in schools which had not had an Ofsted judgment or key stage 2 or 4 result by August 2019 have been excluded from the relevant version of the measure. These places are included in the figure beneath the chart.
8. This approach, and because any decreases in capacity are not factored in, means that the number of places added for use in the quality measure may not be the same as the number of places added in the quantity measure.
9. From June 2018 the Ofsted grades of academy predecessor schools were factored into their data, even though it may have been some time since those schools converted and/or were inspected. 
10. The quality measures represent the window in time when places were added and this is not necessarily the same quality outcome as when the decision to add places was taken.</t>
  </si>
  <si>
    <r>
      <rPr>
        <b/>
        <sz val="11"/>
        <rFont val="Calibri"/>
        <family val="2"/>
        <scheme val="minor"/>
      </rPr>
      <t xml:space="preserve">124 qualifying new primary </t>
    </r>
    <r>
      <rPr>
        <sz val="11"/>
        <rFont val="Calibri"/>
        <family val="2"/>
        <scheme val="minor"/>
      </rPr>
      <t>places created in schools between 2017/18 and 2018/19.</t>
    </r>
  </si>
  <si>
    <t>and the quality of school places created between academic year 2017/18 and academic year 2018/19, and the quality of existing school places.</t>
  </si>
  <si>
    <t>1. Each school has been matched with the Ofsted judgement of 'Overall effectiveness: how good is the school." as at 31 August 2019 (published November 2019).
2. There are four Ofsted categories: 'Outstanding', 'Good', 'Requires improvement' and 'Inadequate'.
3. The calculation counts the number of new places that have been created in schools of each Ofsted category; and the number of existing school places in each category.
4. Note that many schools will have been inspected some time before August 2019, and some will have been inspected since this date.</t>
  </si>
  <si>
    <r>
      <rPr>
        <b/>
        <sz val="11"/>
        <rFont val="Calibri"/>
        <family val="2"/>
        <scheme val="minor"/>
      </rPr>
      <t>124</t>
    </r>
    <r>
      <rPr>
        <sz val="11"/>
        <rFont val="Calibri"/>
        <family val="2"/>
        <scheme val="minor"/>
      </rPr>
      <t xml:space="preserve"> of the places created identified with schools judged as 'Outstanding' by Ofsted.
</t>
    </r>
    <r>
      <rPr>
        <b/>
        <sz val="11"/>
        <rFont val="Calibri"/>
        <family val="2"/>
        <scheme val="minor"/>
      </rPr>
      <t>0</t>
    </r>
    <r>
      <rPr>
        <sz val="11"/>
        <rFont val="Calibri"/>
        <family val="2"/>
        <scheme val="minor"/>
      </rPr>
      <t xml:space="preserve"> of the places created identified with schools judged as 'Good' by Ofsted.</t>
    </r>
  </si>
  <si>
    <t xml:space="preserve">1. Each school has been matched with the key stage 2 progress measure for reading and maths, for academic year ending July 2019 (published December 2019).
2. This measure judges schools’ performance as 'well above average', 'above average', 'average', 'below average' or 'well below average'.
3. The calculation counts the number of new school places that have been created in schools of each category; and the number of existing school places in each category.
4. Middle schools may not have a key stage 2 measure and if they do, due to the age range of pupils at middle schools, pupils will have only attended a middle school for a short time before they take their key stage 2 tests and will still have a number of years left at the school. This should be taken into account when comparing their results to schools which start educating their pupils from the beginning of key stage 1.  New schools may not have a key stage 2 measure until the first cohort of pupils reaches year 6.
5. For further information on key stage 2 progress measures please use the following url: https://www.gov.uk/government/collections/school-performance-tables-about-the-data </t>
  </si>
  <si>
    <r>
      <rPr>
        <b/>
        <sz val="11"/>
        <rFont val="Calibri"/>
        <family val="2"/>
        <scheme val="minor"/>
      </rPr>
      <t xml:space="preserve">124 </t>
    </r>
    <r>
      <rPr>
        <sz val="11"/>
        <rFont val="Calibri"/>
        <family val="2"/>
        <scheme val="minor"/>
      </rPr>
      <t xml:space="preserve">of the places created identified with schools judged 'well above average' or 'above average' in the KS2 reading progress measure.
</t>
    </r>
    <r>
      <rPr>
        <b/>
        <sz val="11"/>
        <rFont val="Calibri"/>
        <family val="2"/>
        <scheme val="minor"/>
      </rPr>
      <t xml:space="preserve">124 </t>
    </r>
    <r>
      <rPr>
        <sz val="11"/>
        <rFont val="Calibri"/>
        <family val="2"/>
        <scheme val="minor"/>
      </rPr>
      <t>of the places created identified with schools judged 'well above average' or 'above average' in the KS2 maths progress measure.</t>
    </r>
  </si>
  <si>
    <t>Key stage 4 progress 8 measure</t>
  </si>
  <si>
    <t xml:space="preserve">1. Each school has been matched with the key stage 4 progress 8 measure across 8 key subjects, for academic year ending July 2019 (published January 2020).
2. This measure judges schools’ performance as 'well above average', 'above average', 'average', 'below average' or 'well below average'.
3. The calculation counts the number of new school places that have been created in schools of each category; and the number of existing school places in each category.
4. Note that middle schools will not have a key stage 4 measure, and that new schools may not have a key stage 4 measure until the first cohort of pupils reaches year 11.
5. Note that this progress 8 measure is not a strict measure of the effectiveness of the entire school as a school may add value before pupils take the key stage tests. 
6. For further information on progress 8 measure please use the following url: https://www.gov.uk/government/collections/school-performance-tables-about-the-data 
</t>
  </si>
  <si>
    <t>Banner indicator (Ofsted):
Proportion of new school places which are in good and outstanding schools</t>
  </si>
  <si>
    <t>1. Number of new school places created
2. Quality of new places created as judged by Ofsted</t>
  </si>
  <si>
    <r>
      <t xml:space="preserve">Places created in outstanding or good schools: 124
Total number of new places created:  124
Calculation: 124/124 = </t>
    </r>
    <r>
      <rPr>
        <b/>
        <sz val="11"/>
        <rFont val="Calibri"/>
        <family val="2"/>
        <scheme val="minor"/>
      </rPr>
      <t>100%</t>
    </r>
  </si>
  <si>
    <t>Banner ranking (Ofsted): 
Ranks local authorities on their proportion of new school places which are in good and outstanding schools</t>
  </si>
  <si>
    <t>1. Ranking of proportions of new places created in 'good' or 'outstanding' schools for each local authority, amongst all local authorities with new places. Local authorities with the same proportion are given an equal ranking. Ranking is only applied to local authorities where new places have been created.
2. The higher the rank the higher the proportion of new school places in good and outstanding schools compared to other local authorities.</t>
  </si>
  <si>
    <r>
      <t xml:space="preserve">100% is the maximum possible value. Barking and Dagenham are therefore ranked equal first among the local authorities for which there is data.
Ranking: = </t>
    </r>
    <r>
      <rPr>
        <b/>
        <sz val="11"/>
        <rFont val="Calibri"/>
        <family val="2"/>
        <scheme val="minor"/>
      </rPr>
      <t>1/120</t>
    </r>
  </si>
  <si>
    <t xml:space="preserve">Banner indicator (key stage 2):
Percentage of new school places created in well above- and above-average schools in local authority </t>
  </si>
  <si>
    <t>1. Number of new school places created
2. Quality of places created by either key stage 2 reading progress measure or key stage 2 maths progress measure</t>
  </si>
  <si>
    <r>
      <rPr>
        <b/>
        <sz val="11"/>
        <rFont val="Calibri"/>
        <family val="2"/>
        <scheme val="minor"/>
      </rPr>
      <t>100%</t>
    </r>
    <r>
      <rPr>
        <sz val="11"/>
        <rFont val="Calibri"/>
        <family val="2"/>
        <scheme val="minor"/>
      </rPr>
      <t xml:space="preserve"> for key stage 2 reading progress measure
</t>
    </r>
    <r>
      <rPr>
        <b/>
        <sz val="11"/>
        <rFont val="Calibri"/>
        <family val="2"/>
        <scheme val="minor"/>
      </rPr>
      <t>100%</t>
    </r>
    <r>
      <rPr>
        <sz val="11"/>
        <rFont val="Calibri"/>
        <family val="2"/>
        <scheme val="minor"/>
      </rPr>
      <t xml:space="preserve"> for key stage 2 maths progress measure</t>
    </r>
  </si>
  <si>
    <t xml:space="preserve">Banner indicator (key stage 4):
Percentage of new school places created in well above- and above-average schools in local authority </t>
  </si>
  <si>
    <t>1. Number of new school places created
2. Quality of places created by key stage 4 progress 8 score</t>
  </si>
  <si>
    <t>Banner ranking (key stage 2):
Ranks local authorities on their proportion of new school places in well above and above-average schools</t>
  </si>
  <si>
    <t>1. Ranking of proportions of new places created in 'well above average' and 'above average' schools for each local authority, amongst all local authorities with new places. Local authorities with the same proportion are given an equal ranking. Ranking is only applied to local authorities where new places have been created.
2. The higher the rank the higher the proportion of new school places in well above and above average schools compared to other local authorities.</t>
  </si>
  <si>
    <r>
      <t xml:space="preserve">100% of places for key stage 2 reading progress measure
Ranking: </t>
    </r>
    <r>
      <rPr>
        <b/>
        <sz val="11"/>
        <rFont val="Calibri"/>
        <family val="2"/>
        <scheme val="minor"/>
      </rPr>
      <t>1/116</t>
    </r>
    <r>
      <rPr>
        <sz val="11"/>
        <rFont val="Calibri"/>
        <family val="2"/>
        <scheme val="minor"/>
      </rPr>
      <t xml:space="preserve">
100% of places for key stage 2 maths progress measure
Ranking:</t>
    </r>
    <r>
      <rPr>
        <b/>
        <sz val="11"/>
        <rFont val="Calibri"/>
        <family val="2"/>
        <scheme val="minor"/>
      </rPr>
      <t xml:space="preserve"> 1/116</t>
    </r>
    <r>
      <rPr>
        <sz val="11"/>
        <rFont val="Calibri"/>
        <family val="2"/>
        <scheme val="minor"/>
      </rPr>
      <t xml:space="preserve">
</t>
    </r>
  </si>
  <si>
    <t>Banner ranking (key stage 4):
Ranks local authorities on their proportion of new school places in well above and above-average schools</t>
  </si>
  <si>
    <t>1. Ranking of proportions of new places created in 'well above average' and 'above average' schools for each local authority, amongst all local authorities with new places. Local authorities with the same proportion are given an equal ranking. Ranking is only applied to local authorities where new places have been created. 
2. The higher the rank the higher the proportion of new school places in well above and above average schools compared to other local authorities.</t>
  </si>
  <si>
    <t>Number of new school places  in the local authority, by quality rating</t>
  </si>
  <si>
    <t>Number of existing school places in the local authority, by quality rating</t>
  </si>
  <si>
    <t xml:space="preserve">Number of new school places created in England, by quality rating
</t>
  </si>
  <si>
    <t>Number of existing school places in England, by quality rating</t>
  </si>
  <si>
    <t>School Places with no rating</t>
  </si>
  <si>
    <r>
      <rPr>
        <b/>
        <sz val="11"/>
        <rFont val="Calibri"/>
        <family val="2"/>
        <scheme val="minor"/>
      </rPr>
      <t xml:space="preserve">0 </t>
    </r>
    <r>
      <rPr>
        <sz val="11"/>
        <rFont val="Calibri"/>
        <family val="2"/>
        <scheme val="minor"/>
      </rPr>
      <t>places without ratings</t>
    </r>
  </si>
  <si>
    <t>Local authority data provided through the 2018 Capital Spend return 
See Scorecard underlying data</t>
  </si>
  <si>
    <r>
      <t xml:space="preserve">Total spend on permanent expansions: £27,330,072
Places created through permanent expansion projects: 1,348
Calculation: £27,330,072/1,348 = </t>
    </r>
    <r>
      <rPr>
        <b/>
        <sz val="11"/>
        <rFont val="Calibri"/>
        <family val="2"/>
        <scheme val="minor"/>
      </rPr>
      <t>£20,275</t>
    </r>
    <r>
      <rPr>
        <sz val="11"/>
        <rFont val="Calibri"/>
        <family val="2"/>
        <scheme val="minor"/>
      </rPr>
      <t xml:space="preserve">
(from 6 projects)</t>
    </r>
  </si>
  <si>
    <r>
      <t xml:space="preserve">Total spend on temporary expansions: £559,869
Places created through temporary expansion projects: 60
Calculations: £559,869/60 = </t>
    </r>
    <r>
      <rPr>
        <b/>
        <sz val="11"/>
        <rFont val="Calibri"/>
        <family val="2"/>
        <scheme val="minor"/>
      </rPr>
      <t>£9,331</t>
    </r>
    <r>
      <rPr>
        <sz val="11"/>
        <rFont val="Calibri"/>
        <family val="2"/>
        <scheme val="minor"/>
      </rPr>
      <t xml:space="preserve">
(from 2 projects)</t>
    </r>
  </si>
  <si>
    <t>1. The blue side bar represents the selected local authority's average (mean) cost per place. The orange side bar represents the average (mean) cost per place values for all projects of each phase and type in England.
2. Each bar indicates the position of its value within the quintile in which it falls. For example a blue bar in the middle of the 5th quintile (top square) tells you that the local authority's cost per place was at the mid point of the top 20% of most expensive local authorities.
3. The average cost per place for all projects of each phase and type in England is not always in the middle of the middle quintile as each quintile does not represent an even spread of monetary values.</t>
  </si>
  <si>
    <t>1. Each square represents one fifth of local authorities (a quintile) that created new places in this type of provision. Local authorities that did not create new places in this type of provision are not included. The bottom square represents the local authorities with the lowest average cost per place and the top square represents the local authorities with the highest average cost per place.
2. The blue square shows which quintile the selected local authority falls in. This allows you to compare the selected local authority’s average cost per place to the average cost per place of other local authorities. 
3. The quoted financial figure states the average cost per place for this local authority for each type of build, calculated as a mean (as set out above).
4. The number of projects on which the calculated average cost per place is based is given at the base of the graphic.</t>
  </si>
  <si>
    <r>
      <t xml:space="preserve">1. No cost data was collected in 2019 as the Capital Spend data collection was removed from the SCAP survey pending the introduction of the Capital Spend Survey. The most recent cost data available is the 2018 Capital Spend data as used in the 2018 Scorecard. For the 2019 Scorecard, this data has been adjusted for inflation (rebased to 1st Quarter 2020 prices). </t>
    </r>
    <r>
      <rPr>
        <u/>
        <sz val="11"/>
        <rFont val="Calibri"/>
        <family val="2"/>
        <scheme val="minor"/>
      </rPr>
      <t xml:space="preserve">You can use this data to establish developer contributions per school place by adjusting the national average (for a chosen project type/phase) for region, and adjusting for further inflation if needed </t>
    </r>
    <r>
      <rPr>
        <sz val="11"/>
        <rFont val="Calibri"/>
        <family val="2"/>
        <scheme val="minor"/>
      </rPr>
      <t xml:space="preserve">(see examples below).
2. Projects which do not create additional mainstream places or where the project's additional place funding is zero are removed. After further investigation, three projects were removed from the 2018 Scorecards cost data for use in the 2019 Scorecards as the projects' additional place funding was zero.
3. Projects were identified as primary phase or secondary phase based on additional mainstream place year group breakdown. Where a project created places across the primary and secondary phases, the project was assigned a phase corresponding to the phase of the school it affected (i.e. if its school was middle-deemed primary - the project was assigned to primary).
4. Average cost per place figures for all-through, middle-deemed primary and middle-deemed secondary schools have not been calculated separately due to low sample sizes for these project types. </t>
    </r>
    <r>
      <rPr>
        <u/>
        <sz val="11"/>
        <rFont val="Calibri"/>
        <family val="2"/>
        <scheme val="minor"/>
      </rPr>
      <t>To estimate average cost per place for middle-deemed primary schools, we recommend using primary average cost per place</t>
    </r>
    <r>
      <rPr>
        <sz val="11"/>
        <rFont val="Calibri"/>
        <family val="2"/>
        <scheme val="minor"/>
      </rPr>
      <t xml:space="preserve"> as the middle school provides education equivalent to the education a primary school provides for all year groups. </t>
    </r>
    <r>
      <rPr>
        <u/>
        <sz val="11"/>
        <rFont val="Calibri"/>
        <family val="2"/>
        <scheme val="minor"/>
      </rPr>
      <t>To estimate average cost per place for middle-deemed secondary schools, we recommend using secondary average cost per place</t>
    </r>
    <r>
      <rPr>
        <sz val="11"/>
        <rFont val="Calibri"/>
        <family val="2"/>
        <scheme val="minor"/>
      </rPr>
      <t xml:space="preserve"> for the same reason. </t>
    </r>
    <r>
      <rPr>
        <u/>
        <sz val="11"/>
        <rFont val="Calibri"/>
        <family val="2"/>
        <scheme val="minor"/>
      </rPr>
      <t>For new middle schools or whole school expansions for middle schools not ‘deemed’ primary or secondary, we recommend taking a mid-point of the primary and secondary costs if the project covers both primary- and secondary-equivalent year groups equally</t>
    </r>
    <r>
      <rPr>
        <sz val="11"/>
        <rFont val="Calibri"/>
        <family val="2"/>
        <scheme val="minor"/>
      </rPr>
      <t xml:space="preserve"> (e.g. 2 classes per Year 5 &amp; 6 and 2 classes per Year 7 &amp; 8). </t>
    </r>
    <r>
      <rPr>
        <u/>
        <sz val="11"/>
        <rFont val="Calibri"/>
        <family val="2"/>
        <scheme val="minor"/>
      </rPr>
      <t>If the project only covers certain year groups, we recommend using primary cost data if only primary-equivalent years groups are expanding</t>
    </r>
    <r>
      <rPr>
        <sz val="11"/>
        <rFont val="Calibri"/>
        <family val="2"/>
        <scheme val="minor"/>
      </rPr>
      <t xml:space="preserve"> (e.g. Years 5 &amp; 6) and </t>
    </r>
    <r>
      <rPr>
        <u/>
        <sz val="11"/>
        <rFont val="Calibri"/>
        <family val="2"/>
        <scheme val="minor"/>
      </rPr>
      <t>secondary data if only secondary-equivalent year groups are expanding</t>
    </r>
    <r>
      <rPr>
        <sz val="11"/>
        <rFont val="Calibri"/>
        <family val="2"/>
        <scheme val="minor"/>
      </rPr>
      <t xml:space="preserve"> (e.g. Years 7 &amp; 8).
5. The average cost does not include costs associated with land acquisition.
6. The average cost includes costs associated with maintenance and building condition or enhancement works.
7. The measure does not include places in special schools or units attached to mainstream schools, or new places which were funded through central programmes (including free schools). Where a project creates additional mainstream places and also creates SEN places or re-provides places, an adjustment has been applied to apportion out those costs. 
8. All costs have been normalised to a common UK average price level using regional location factors published by Building Cost Information Service (BCIS), December 2015, 1 is the base weight.
9. All costs have been adjusted for inflation using the latest Building Cost Information Service (BCIS) All-In Tender Price of Index (TPI), published March 2020.  Costs have been rebased from the start of construction (or time of place provision if construction start date unavailable) to 1st Quarter (Jan – Mar) 2020 prices using this index (Q1 2020 index value = 335).
10. </t>
    </r>
    <r>
      <rPr>
        <u/>
        <sz val="11"/>
        <rFont val="Calibri"/>
        <family val="2"/>
        <scheme val="minor"/>
      </rPr>
      <t>To adjust the national average to the region of interest, divide the national average cost by the weight for the region, given in the Scorecard underlying data</t>
    </r>
    <r>
      <rPr>
        <sz val="11"/>
        <rFont val="Calibri"/>
        <family val="2"/>
        <scheme val="minor"/>
      </rPr>
      <t xml:space="preserve"> (the regional weight has been calculated using the regional location factors mentioned above).
</t>
    </r>
    <r>
      <rPr>
        <i/>
        <sz val="11"/>
        <rFont val="Calibri"/>
        <family val="2"/>
        <scheme val="minor"/>
      </rPr>
      <t xml:space="preserve">Example: New primary school in Outer London.  
National average for primary new schools = £20,508
Outer London weight = 0.820 (Base weight of 1.00/Outer London location factor of 1.22).
Average primary New School cost that applies to Outer London in Q1 2020 prices =  £20,508 ÷ 0.820 = £25,000 (rounded to nearest £100).
</t>
    </r>
    <r>
      <rPr>
        <sz val="11"/>
        <rFont val="Calibri"/>
        <family val="2"/>
        <scheme val="minor"/>
      </rPr>
      <t xml:space="preserve">
11. </t>
    </r>
    <r>
      <rPr>
        <u/>
        <sz val="11"/>
        <rFont val="Calibri"/>
        <family val="2"/>
        <scheme val="minor"/>
      </rPr>
      <t>To adjust the national average to current or future prices, you need to uprate or downrate the prices in this scorecard relative to the change that has happened since Q1 2020</t>
    </r>
    <r>
      <rPr>
        <sz val="11"/>
        <rFont val="Calibri"/>
        <family val="2"/>
        <scheme val="minor"/>
      </rPr>
      <t xml:space="preserve">.  If you have access to the BCIS indices via a subscription to BCIS Online (https://www.rics.org/uk/products/data-products/bcis-construction/bcis-online/) you can use the latest inflation index to re-base (weight to apply = latest index/335).  If not, you can apply a known change to the published cost (e.g. up or down x%).
</t>
    </r>
    <r>
      <rPr>
        <i/>
        <sz val="11"/>
        <rFont val="Calibri"/>
        <family val="2"/>
        <scheme val="minor"/>
      </rPr>
      <t xml:space="preserve">
Example: New primary school in Outer London Q3 (Jul - Sep) 2021.  
National average for primary new schools = £20,508.  
Outer London weight = 0.820.  
Inflation weight = 342/335 = 1.021 (taken from BCIS All-In TPI published March 2020). 
Average primary New School cost that applies to Outer London in Q3 2021 prices = £20,508 ÷ 0.820 x 1.021 = £25,500 (rounded to nearest £100).  </t>
    </r>
    <r>
      <rPr>
        <sz val="11"/>
        <rFont val="Calibri"/>
        <family val="2"/>
        <scheme val="minor"/>
      </rPr>
      <t xml:space="preserve">
If you do not have access the BCIS index, but sources say TPI inflation is set to increase by 4% per annum, then approximate inflation weight = 6% (18 months’ worth of inflation) = 1.06.
12. Some additional but limited benchmark information for similar capital programme schemes carried out by the DfE is available in the National School Delivery Cost Benchmarking study (https://ebdog.org.uk/wp-content/uploads/2019/06/F07125-National-School-Delivery-Cost-Benchmarking-Primary-Secondary-and--SEN-Schools-Final-June-2019-v6.7a.pdf).</t>
    </r>
  </si>
  <si>
    <t>Quality (Ofsted Ratings)</t>
  </si>
  <si>
    <t>Quality (Reading Progress)</t>
  </si>
  <si>
    <t>Quality (Maths Progress)</t>
  </si>
  <si>
    <t>Quality (Progress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</si>
</sst>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164" formatCode="&quot;£&quot;#,###"/>
    <numFmt numFmtId="165" formatCode="0.0"/>
    <numFmt numFmtId="166" formatCode="0.0%"/>
    <numFmt numFmtId="167" formatCode="&quot;£&quot;#,##0"/>
    <numFmt numFmtId="168" formatCode="&quot; &quot;#,##0.00&quot; &quot;;&quot;-&quot;#,##0.00&quot; &quot;;&quot; -&quot;00&quot; &quot;;&quot; &quot;@&quot; &quot;"/>
    <numFmt numFmtId="169" formatCode="#,##0.0"/>
  </numFmts>
  <fonts count="59" x14ac:knownFonts="1">
    <font>
      <sz val="11"/>
      <color theme="1"/>
      <name val="Calibri"/>
      <family val="2"/>
      <scheme val="minor"/>
    </font>
    <font>
      <sz val="12"/>
      <color theme="1"/>
      <name val="Arial"/>
      <family val="2"/>
    </font>
    <font>
      <i/>
      <sz val="11"/>
      <color rgb="FF3378CE"/>
      <name val="Calibri"/>
      <family val="2"/>
      <scheme val="minor"/>
    </font>
    <font>
      <i/>
      <sz val="18"/>
      <color theme="0"/>
      <name val="Calibri"/>
      <family val="2"/>
      <scheme val="minor"/>
    </font>
    <font>
      <sz val="11"/>
      <color theme="1"/>
      <name val="Calibri"/>
      <family val="2"/>
      <scheme val="minor"/>
    </font>
    <font>
      <i/>
      <sz val="10"/>
      <color rgb="FF3378CE"/>
      <name val="Century Gothic"/>
      <family val="2"/>
    </font>
    <font>
      <sz val="11"/>
      <color theme="0"/>
      <name val="Century Gothic"/>
      <family val="2"/>
    </font>
    <font>
      <b/>
      <sz val="26"/>
      <color theme="1"/>
      <name val="Century Gothic"/>
      <family val="2"/>
    </font>
    <font>
      <sz val="11"/>
      <color rgb="FF3378CE"/>
      <name val="Calibri"/>
      <family val="2"/>
      <scheme val="minor"/>
    </font>
    <font>
      <b/>
      <sz val="28"/>
      <color theme="1"/>
      <name val="Century Gothic"/>
      <family val="2"/>
    </font>
    <font>
      <sz val="9"/>
      <color rgb="FF3378CE"/>
      <name val="Century Gothic"/>
      <family val="2"/>
    </font>
    <font>
      <sz val="11.5"/>
      <color theme="0"/>
      <name val="Century Gothic"/>
      <family val="2"/>
    </font>
    <font>
      <b/>
      <sz val="8"/>
      <color theme="1"/>
      <name val="Century Gothic"/>
      <family val="2"/>
    </font>
    <font>
      <sz val="11"/>
      <color rgb="FF3378CE"/>
      <name val="Century Gothic"/>
      <family val="2"/>
    </font>
    <font>
      <sz val="8"/>
      <color rgb="FF3378CE"/>
      <name val="Century Gothic"/>
      <family val="2"/>
    </font>
    <font>
      <b/>
      <sz val="11"/>
      <name val="Century Gothic"/>
      <family val="2"/>
    </font>
    <font>
      <b/>
      <sz val="11"/>
      <color theme="1"/>
      <name val="Calibri"/>
      <family val="2"/>
      <scheme val="minor"/>
    </font>
    <font>
      <b/>
      <i/>
      <sz val="12"/>
      <color theme="0"/>
      <name val="Century Gothic"/>
      <family val="2"/>
    </font>
    <font>
      <sz val="8"/>
      <color theme="0"/>
      <name val="Century Gothic"/>
      <family val="2"/>
    </font>
    <font>
      <b/>
      <sz val="16"/>
      <color theme="0"/>
      <name val="Calibri"/>
      <family val="2"/>
      <scheme val="minor"/>
    </font>
    <font>
      <b/>
      <sz val="11"/>
      <color rgb="FF3378CE"/>
      <name val="Century Gothic"/>
      <family val="2"/>
    </font>
    <font>
      <sz val="10"/>
      <color rgb="FF3378CE"/>
      <name val="Century Gothic"/>
      <family val="2"/>
    </font>
    <font>
      <sz val="48"/>
      <color rgb="FF3378CE"/>
      <name val="Century Gothic"/>
      <family val="2"/>
    </font>
    <font>
      <b/>
      <sz val="10"/>
      <color rgb="FF3378CE"/>
      <name val="Century Gothic"/>
      <family val="2"/>
    </font>
    <font>
      <b/>
      <sz val="28"/>
      <name val="Century Gothic"/>
      <family val="2"/>
    </font>
    <font>
      <b/>
      <sz val="16"/>
      <name val="Century Gothic"/>
      <family val="2"/>
    </font>
    <font>
      <sz val="7"/>
      <name val="Century Gothic"/>
      <family val="2"/>
    </font>
    <font>
      <b/>
      <sz val="16"/>
      <color rgb="FF3378CE"/>
      <name val="Century Gothic"/>
      <family val="2"/>
    </font>
    <font>
      <b/>
      <sz val="11"/>
      <color theme="0"/>
      <name val="Calibri"/>
      <family val="2"/>
      <scheme val="minor"/>
    </font>
    <font>
      <b/>
      <sz val="12"/>
      <color theme="0"/>
      <name val="Calibri"/>
      <family val="2"/>
      <scheme val="minor"/>
    </font>
    <font>
      <b/>
      <sz val="10"/>
      <color rgb="FF104F75"/>
      <name val="Calibri"/>
      <family val="2"/>
      <scheme val="minor"/>
    </font>
    <font>
      <b/>
      <sz val="8"/>
      <color theme="0"/>
      <name val="Calibri"/>
      <family val="2"/>
      <scheme val="minor"/>
    </font>
    <font>
      <sz val="9"/>
      <color rgb="FF104F75"/>
      <name val="Calibri"/>
      <family val="2"/>
      <scheme val="minor"/>
    </font>
    <font>
      <sz val="8"/>
      <color rgb="FF104F75"/>
      <name val="Calibri"/>
      <family val="2"/>
      <scheme val="minor"/>
    </font>
    <font>
      <b/>
      <sz val="14"/>
      <name val="Calibri"/>
      <family val="2"/>
      <scheme val="minor"/>
    </font>
    <font>
      <sz val="11"/>
      <color theme="1"/>
      <name val="Calibri"/>
      <family val="2"/>
    </font>
    <font>
      <b/>
      <sz val="8"/>
      <color rgb="FF8A2529"/>
      <name val="Century Gothic"/>
      <family val="2"/>
    </font>
    <font>
      <sz val="10"/>
      <color rgb="FF104F75"/>
      <name val="Calibri"/>
      <family val="2"/>
      <scheme val="minor"/>
    </font>
    <font>
      <sz val="11"/>
      <color theme="1"/>
      <name val="Webdings"/>
      <family val="1"/>
      <charset val="2"/>
    </font>
    <font>
      <b/>
      <sz val="11"/>
      <color theme="1"/>
      <name val="Webdings"/>
      <family val="1"/>
      <charset val="2"/>
    </font>
    <font>
      <b/>
      <u/>
      <sz val="14"/>
      <color theme="1"/>
      <name val="Calibri"/>
      <family val="2"/>
      <scheme val="minor"/>
    </font>
    <font>
      <vertAlign val="superscript"/>
      <sz val="11"/>
      <color theme="1"/>
      <name val="Calibri"/>
      <family val="2"/>
      <scheme val="minor"/>
    </font>
    <font>
      <sz val="10"/>
      <color theme="0"/>
      <name val="Calibri"/>
      <family val="2"/>
      <scheme val="minor"/>
    </font>
    <font>
      <b/>
      <sz val="12"/>
      <color theme="1"/>
      <name val="Calibri"/>
      <family val="2"/>
      <scheme val="minor"/>
    </font>
    <font>
      <sz val="14"/>
      <color theme="0"/>
      <name val="Calibri"/>
      <family val="2"/>
      <scheme val="minor"/>
    </font>
    <font>
      <sz val="11"/>
      <name val="Calibri"/>
      <family val="2"/>
      <scheme val="minor"/>
    </font>
    <font>
      <u/>
      <sz val="11"/>
      <color theme="10"/>
      <name val="Calibri"/>
      <family val="2"/>
      <scheme val="minor"/>
    </font>
    <font>
      <sz val="11"/>
      <color rgb="FF00B050"/>
      <name val="Calibri"/>
      <family val="2"/>
      <scheme val="minor"/>
    </font>
    <font>
      <sz val="14"/>
      <name val="Calibri"/>
      <family val="2"/>
      <scheme val="minor"/>
    </font>
    <font>
      <sz val="11"/>
      <color rgb="FF000000"/>
      <name val="Calibri"/>
      <family val="2"/>
    </font>
    <font>
      <b/>
      <sz val="11"/>
      <name val="Calibri"/>
      <family val="2"/>
      <scheme val="minor"/>
    </font>
    <font>
      <sz val="12"/>
      <color rgb="FF000000"/>
      <name val="Arial"/>
      <family val="2"/>
    </font>
    <font>
      <u/>
      <sz val="11"/>
      <name val="Calibri"/>
      <family val="2"/>
      <scheme val="minor"/>
    </font>
    <font>
      <sz val="10"/>
      <color rgb="FF000000"/>
      <name val="Arial"/>
      <family val="2"/>
    </font>
    <font>
      <sz val="8"/>
      <name val="Calibri"/>
      <family val="2"/>
      <scheme val="minor"/>
    </font>
    <font>
      <sz val="11"/>
      <color rgb="FFFF0000"/>
      <name val="Calibri"/>
      <family val="2"/>
      <scheme val="minor"/>
    </font>
    <font>
      <sz val="12"/>
      <color theme="0"/>
      <name val="Calibri"/>
      <family val="2"/>
      <scheme val="minor"/>
    </font>
    <font>
      <sz val="12"/>
      <color rgb="FFE87D1E"/>
      <name val="Calibri"/>
      <family val="2"/>
      <scheme val="minor"/>
    </font>
    <font>
      <i/>
      <sz val="1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104F7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79998168889431442"/>
        <bgColor indexed="64"/>
      </patternFill>
    </fill>
  </fills>
  <borders count="75">
    <border>
      <left/>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medium">
        <color rgb="FF104F75"/>
      </left>
      <right/>
      <top style="medium">
        <color rgb="FF104F75"/>
      </top>
      <bottom/>
      <diagonal/>
    </border>
    <border>
      <left/>
      <right/>
      <top style="medium">
        <color rgb="FF104F75"/>
      </top>
      <bottom/>
      <diagonal/>
    </border>
    <border>
      <left/>
      <right style="medium">
        <color rgb="FF104F75"/>
      </right>
      <top style="medium">
        <color rgb="FF104F75"/>
      </top>
      <bottom/>
      <diagonal/>
    </border>
    <border>
      <left style="medium">
        <color rgb="FF104F75"/>
      </left>
      <right/>
      <top/>
      <bottom/>
      <diagonal/>
    </border>
    <border>
      <left/>
      <right style="medium">
        <color rgb="FF104F75"/>
      </right>
      <top/>
      <bottom/>
      <diagonal/>
    </border>
    <border>
      <left style="medium">
        <color rgb="FF104F75"/>
      </left>
      <right/>
      <top/>
      <bottom style="medium">
        <color rgb="FF104F75"/>
      </bottom>
      <diagonal/>
    </border>
    <border>
      <left/>
      <right/>
      <top/>
      <bottom style="medium">
        <color rgb="FF104F75"/>
      </bottom>
      <diagonal/>
    </border>
    <border>
      <left/>
      <right style="medium">
        <color rgb="FF104F75"/>
      </right>
      <top/>
      <bottom style="medium">
        <color rgb="FF104F75"/>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rgb="FF104F75"/>
      </left>
      <right style="medium">
        <color rgb="FF104F75"/>
      </right>
      <top/>
      <bottom/>
      <diagonal/>
    </border>
    <border>
      <left style="medium">
        <color rgb="FF104F75"/>
      </left>
      <right style="medium">
        <color rgb="FF104F75"/>
      </right>
      <top/>
      <bottom style="medium">
        <color rgb="FF104F7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104F75"/>
      </left>
      <right style="dotted">
        <color auto="1"/>
      </right>
      <top style="medium">
        <color rgb="FF104F75"/>
      </top>
      <bottom style="medium">
        <color rgb="FF104F75"/>
      </bottom>
      <diagonal/>
    </border>
    <border>
      <left style="dotted">
        <color auto="1"/>
      </left>
      <right style="dotted">
        <color auto="1"/>
      </right>
      <top style="medium">
        <color rgb="FF104F75"/>
      </top>
      <bottom style="medium">
        <color rgb="FF104F75"/>
      </bottom>
      <diagonal/>
    </border>
    <border>
      <left style="medium">
        <color rgb="FF104F75"/>
      </left>
      <right style="dotted">
        <color auto="1"/>
      </right>
      <top style="medium">
        <color rgb="FF104F75"/>
      </top>
      <bottom style="dotted">
        <color auto="1"/>
      </bottom>
      <diagonal/>
    </border>
    <border>
      <left style="dotted">
        <color auto="1"/>
      </left>
      <right style="dotted">
        <color auto="1"/>
      </right>
      <top style="medium">
        <color rgb="FF104F75"/>
      </top>
      <bottom style="dotted">
        <color auto="1"/>
      </bottom>
      <diagonal/>
    </border>
    <border>
      <left style="dotted">
        <color auto="1"/>
      </left>
      <right style="medium">
        <color rgb="FF104F75"/>
      </right>
      <top style="medium">
        <color rgb="FF104F75"/>
      </top>
      <bottom style="dotted">
        <color auto="1"/>
      </bottom>
      <diagonal/>
    </border>
    <border>
      <left style="medium">
        <color rgb="FF104F75"/>
      </left>
      <right style="dotted">
        <color auto="1"/>
      </right>
      <top style="dotted">
        <color auto="1"/>
      </top>
      <bottom style="medium">
        <color rgb="FF104F75"/>
      </bottom>
      <diagonal/>
    </border>
    <border>
      <left style="dotted">
        <color auto="1"/>
      </left>
      <right style="dotted">
        <color auto="1"/>
      </right>
      <top style="dotted">
        <color auto="1"/>
      </top>
      <bottom style="medium">
        <color rgb="FF104F75"/>
      </bottom>
      <diagonal/>
    </border>
    <border>
      <left style="dotted">
        <color auto="1"/>
      </left>
      <right style="medium">
        <color rgb="FF104F75"/>
      </right>
      <top style="dotted">
        <color auto="1"/>
      </top>
      <bottom style="medium">
        <color rgb="FF104F75"/>
      </bottom>
      <diagonal/>
    </border>
    <border>
      <left style="medium">
        <color rgb="FF104F75"/>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right style="medium">
        <color theme="0"/>
      </right>
      <top style="medium">
        <color rgb="FF104F75"/>
      </top>
      <bottom/>
      <diagonal/>
    </border>
    <border>
      <left/>
      <right style="medium">
        <color theme="0"/>
      </right>
      <top/>
      <bottom/>
      <diagonal/>
    </border>
    <border>
      <left style="medium">
        <color rgb="FF104F75"/>
      </left>
      <right/>
      <top/>
      <bottom style="medium">
        <color theme="0"/>
      </bottom>
      <diagonal/>
    </border>
    <border>
      <left/>
      <right/>
      <top/>
      <bottom style="medium">
        <color theme="0"/>
      </bottom>
      <diagonal/>
    </border>
    <border>
      <left/>
      <right style="medium">
        <color rgb="FF104F75"/>
      </right>
      <top/>
      <bottom style="medium">
        <color theme="0"/>
      </bottom>
      <diagonal/>
    </border>
    <border>
      <left style="dotted">
        <color auto="1"/>
      </left>
      <right style="dotted">
        <color auto="1"/>
      </right>
      <top style="dotted">
        <color auto="1"/>
      </top>
      <bottom/>
      <diagonal/>
    </border>
    <border>
      <left style="dotted">
        <color auto="1"/>
      </left>
      <right style="dotted">
        <color auto="1"/>
      </right>
      <top/>
      <bottom style="dotted">
        <color auto="1"/>
      </bottom>
      <diagonal/>
    </border>
    <border>
      <left style="dotted">
        <color auto="1"/>
      </left>
      <right style="medium">
        <color rgb="FF104F75"/>
      </right>
      <top style="dotted">
        <color auto="1"/>
      </top>
      <bottom/>
      <diagonal/>
    </border>
    <border>
      <left style="dotted">
        <color auto="1"/>
      </left>
      <right style="medium">
        <color rgb="FF104F75"/>
      </right>
      <top/>
      <bottom style="dotted">
        <color auto="1"/>
      </bottom>
      <diagonal/>
    </border>
    <border>
      <left style="medium">
        <color rgb="FF104F75"/>
      </left>
      <right style="medium">
        <color theme="0"/>
      </right>
      <top/>
      <bottom/>
      <diagonal/>
    </border>
    <border>
      <left style="medium">
        <color theme="0"/>
      </left>
      <right/>
      <top style="medium">
        <color rgb="FF104F75"/>
      </top>
      <bottom/>
      <diagonal/>
    </border>
    <border>
      <left style="medium">
        <color theme="0"/>
      </left>
      <right/>
      <top/>
      <bottom/>
      <diagonal/>
    </border>
    <border>
      <left style="dotted">
        <color auto="1"/>
      </left>
      <right style="medium">
        <color auto="1"/>
      </right>
      <top style="dotted">
        <color auto="1"/>
      </top>
      <bottom style="dotted">
        <color auto="1"/>
      </bottom>
      <diagonal/>
    </border>
    <border>
      <left style="hair">
        <color auto="1"/>
      </left>
      <right style="medium">
        <color auto="1"/>
      </right>
      <top style="medium">
        <color auto="1"/>
      </top>
      <bottom style="medium">
        <color auto="1"/>
      </bottom>
      <diagonal/>
    </border>
    <border>
      <left style="dotted">
        <color auto="1"/>
      </left>
      <right style="medium">
        <color auto="1"/>
      </right>
      <top style="hair">
        <color auto="1"/>
      </top>
      <bottom style="hair">
        <color auto="1"/>
      </bottom>
      <diagonal/>
    </border>
    <border>
      <left style="dotted">
        <color auto="1"/>
      </left>
      <right style="medium">
        <color auto="1"/>
      </right>
      <top style="dotted">
        <color auto="1"/>
      </top>
      <bottom/>
      <diagonal/>
    </border>
    <border>
      <left style="dotted">
        <color auto="1"/>
      </left>
      <right style="medium">
        <color auto="1"/>
      </right>
      <top/>
      <bottom/>
      <diagonal/>
    </border>
    <border>
      <left style="dotted">
        <color auto="1"/>
      </left>
      <right style="medium">
        <color auto="1"/>
      </right>
      <top style="dotted">
        <color auto="1"/>
      </top>
      <bottom style="medium">
        <color auto="1"/>
      </bottom>
      <diagonal/>
    </border>
    <border>
      <left style="dotted">
        <color auto="1"/>
      </left>
      <right style="medium">
        <color auto="1"/>
      </right>
      <top style="medium">
        <color auto="1"/>
      </top>
      <bottom style="hair">
        <color auto="1"/>
      </bottom>
      <diagonal/>
    </border>
    <border>
      <left style="dotted">
        <color auto="1"/>
      </left>
      <right style="medium">
        <color auto="1"/>
      </right>
      <top/>
      <bottom style="dotted">
        <color auto="1"/>
      </bottom>
      <diagonal/>
    </border>
    <border>
      <left style="dotted">
        <color auto="1"/>
      </left>
      <right style="dotted">
        <color auto="1"/>
      </right>
      <top/>
      <bottom/>
      <diagonal/>
    </border>
    <border>
      <left style="dotted">
        <color auto="1"/>
      </left>
      <right style="medium">
        <color rgb="FF104F75"/>
      </right>
      <top/>
      <bottom/>
      <diagonal/>
    </border>
    <border>
      <left style="dotted">
        <color auto="1"/>
      </left>
      <right style="medium">
        <color rgb="FF104F75"/>
      </right>
      <top style="medium">
        <color rgb="FF104F75"/>
      </top>
      <bottom/>
      <diagonal/>
    </border>
    <border>
      <left style="dotted">
        <color auto="1"/>
      </left>
      <right style="dotted">
        <color auto="1"/>
      </right>
      <top style="medium">
        <color rgb="FF104F75"/>
      </top>
      <bottom/>
      <diagonal/>
    </border>
    <border>
      <left style="medium">
        <color rgb="FF104F75"/>
      </left>
      <right style="dotted">
        <color auto="1"/>
      </right>
      <top style="medium">
        <color rgb="FF104F75"/>
      </top>
      <bottom/>
      <diagonal/>
    </border>
    <border>
      <left style="medium">
        <color rgb="FF104F75"/>
      </left>
      <right style="dotted">
        <color auto="1"/>
      </right>
      <top/>
      <bottom/>
      <diagonal/>
    </border>
    <border>
      <left style="medium">
        <color rgb="FF104F75"/>
      </left>
      <right style="dotted">
        <color auto="1"/>
      </right>
      <top/>
      <bottom style="medium">
        <color rgb="FF104F75"/>
      </bottom>
      <diagonal/>
    </border>
    <border>
      <left style="dotted">
        <color auto="1"/>
      </left>
      <right style="medium">
        <color auto="1"/>
      </right>
      <top/>
      <bottom style="medium">
        <color rgb="FF104F75"/>
      </bottom>
      <diagonal/>
    </border>
    <border>
      <left style="dotted">
        <color auto="1"/>
      </left>
      <right style="dotted">
        <color auto="1"/>
      </right>
      <top/>
      <bottom style="medium">
        <color rgb="FF104F75"/>
      </bottom>
      <diagonal/>
    </border>
    <border>
      <left style="thin">
        <color theme="0"/>
      </left>
      <right style="thin">
        <color theme="0"/>
      </right>
      <top style="thin">
        <color theme="0"/>
      </top>
      <bottom style="thin">
        <color theme="0"/>
      </bottom>
      <diagonal/>
    </border>
    <border>
      <left style="dotted">
        <color auto="1"/>
      </left>
      <right/>
      <top style="thin">
        <color theme="0"/>
      </top>
      <bottom style="medium">
        <color rgb="FF104F75"/>
      </bottom>
      <diagonal/>
    </border>
    <border>
      <left style="medium">
        <color rgb="FF104F75"/>
      </left>
      <right style="dotted">
        <color auto="1"/>
      </right>
      <top style="dotted">
        <color auto="1"/>
      </top>
      <bottom/>
      <diagonal/>
    </border>
    <border>
      <left style="dotted">
        <color auto="1"/>
      </left>
      <right style="medium">
        <color auto="1"/>
      </right>
      <top style="hair">
        <color auto="1"/>
      </top>
      <bottom/>
      <diagonal/>
    </border>
  </borders>
  <cellStyleXfs count="10">
    <xf numFmtId="0" fontId="0" fillId="0" borderId="0"/>
    <xf numFmtId="0" fontId="1" fillId="0" borderId="0"/>
    <xf numFmtId="9" fontId="1" fillId="0" borderId="0" applyFont="0" applyFill="0" applyBorder="0" applyAlignment="0" applyProtection="0"/>
    <xf numFmtId="9" fontId="4" fillId="0" borderId="0" applyFont="0" applyFill="0" applyBorder="0" applyAlignment="0" applyProtection="0"/>
    <xf numFmtId="0" fontId="46" fillId="0" borderId="0" applyNumberFormat="0" applyFill="0" applyBorder="0" applyAlignment="0" applyProtection="0"/>
    <xf numFmtId="0" fontId="49" fillId="0" borderId="0"/>
    <xf numFmtId="0" fontId="49" fillId="0" borderId="0" applyNumberFormat="0" applyFont="0" applyBorder="0" applyProtection="0"/>
    <xf numFmtId="168" fontId="49" fillId="0" borderId="0" applyFont="0" applyFill="0" applyBorder="0" applyAlignment="0" applyProtection="0"/>
    <xf numFmtId="0" fontId="51" fillId="0" borderId="0" applyNumberFormat="0" applyFont="0" applyBorder="0" applyProtection="0"/>
    <xf numFmtId="0" fontId="4" fillId="0" borderId="0"/>
  </cellStyleXfs>
  <cellXfs count="43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4" borderId="0" xfId="0" applyFill="1" applyAlignment="1">
      <alignment vertical="top" wrapText="1"/>
    </xf>
    <xf numFmtId="0" fontId="9" fillId="4" borderId="0" xfId="0" applyFont="1" applyFill="1"/>
    <xf numFmtId="0" fontId="8" fillId="4" borderId="0" xfId="0" applyFont="1" applyFill="1" applyAlignment="1">
      <alignment vertical="top" wrapText="1"/>
    </xf>
    <xf numFmtId="0" fontId="3" fillId="2" borderId="0" xfId="0" applyFont="1" applyFill="1" applyAlignment="1">
      <alignment vertical="center" wrapText="1"/>
    </xf>
    <xf numFmtId="0" fontId="6" fillId="2" borderId="0" xfId="0" applyFont="1" applyFill="1" applyAlignment="1">
      <alignment vertical="center" wrapText="1"/>
    </xf>
    <xf numFmtId="0" fontId="21" fillId="4" borderId="0" xfId="0" applyFont="1" applyFill="1" applyAlignment="1">
      <alignment horizontal="right"/>
    </xf>
    <xf numFmtId="164" fontId="15" fillId="4" borderId="0" xfId="0" applyNumberFormat="1" applyFont="1" applyFill="1" applyAlignment="1">
      <alignment vertical="center"/>
    </xf>
    <xf numFmtId="0" fontId="0" fillId="2" borderId="2" xfId="0" applyFill="1" applyBorder="1"/>
    <xf numFmtId="0" fontId="0" fillId="0" borderId="1" xfId="0" applyBorder="1"/>
    <xf numFmtId="0" fontId="16" fillId="0" borderId="0" xfId="0" applyFont="1"/>
    <xf numFmtId="0" fontId="14" fillId="4" borderId="0" xfId="0" applyFont="1" applyFill="1" applyAlignment="1">
      <alignment vertical="center" wrapText="1"/>
    </xf>
    <xf numFmtId="0" fontId="23" fillId="4" borderId="0" xfId="0" applyFont="1" applyFill="1" applyAlignment="1">
      <alignment horizontal="left"/>
    </xf>
    <xf numFmtId="0" fontId="22" fillId="4" borderId="0" xfId="0" applyFont="1" applyFill="1" applyAlignment="1">
      <alignment vertical="top"/>
    </xf>
    <xf numFmtId="0" fontId="27" fillId="4" borderId="0" xfId="0" applyFont="1" applyFill="1" applyAlignment="1">
      <alignment vertical="top"/>
    </xf>
    <xf numFmtId="0" fontId="14" fillId="4" borderId="0" xfId="0" applyFont="1" applyFill="1" applyAlignment="1">
      <alignment horizontal="left"/>
    </xf>
    <xf numFmtId="0" fontId="7" fillId="4" borderId="0" xfId="0" applyFont="1" applyFill="1"/>
    <xf numFmtId="0" fontId="17" fillId="7" borderId="0" xfId="0" applyFont="1" applyFill="1" applyAlignment="1">
      <alignment vertical="center" wrapText="1"/>
    </xf>
    <xf numFmtId="0" fontId="0" fillId="7" borderId="0" xfId="0" applyFill="1"/>
    <xf numFmtId="0" fontId="2" fillId="7" borderId="0" xfId="0" applyFont="1" applyFill="1"/>
    <xf numFmtId="0" fontId="28" fillId="7" borderId="0" xfId="0" applyFont="1" applyFill="1" applyAlignment="1">
      <alignment vertical="center" wrapText="1"/>
    </xf>
    <xf numFmtId="0" fontId="20" fillId="4" borderId="4" xfId="0" applyFont="1" applyFill="1" applyBorder="1"/>
    <xf numFmtId="0" fontId="0" fillId="4" borderId="7" xfId="0" applyFill="1" applyBorder="1"/>
    <xf numFmtId="0" fontId="0" fillId="4" borderId="6" xfId="0" applyFill="1" applyBorder="1"/>
    <xf numFmtId="0" fontId="0" fillId="4" borderId="8" xfId="0" applyFill="1" applyBorder="1"/>
    <xf numFmtId="0" fontId="0" fillId="4" borderId="9" xfId="0" applyFill="1" applyBorder="1"/>
    <xf numFmtId="0" fontId="5" fillId="4" borderId="9" xfId="0" applyFont="1" applyFill="1" applyBorder="1" applyAlignment="1">
      <alignment horizontal="right"/>
    </xf>
    <xf numFmtId="0" fontId="0" fillId="4" borderId="10" xfId="0" applyFill="1" applyBorder="1"/>
    <xf numFmtId="0" fontId="19" fillId="7" borderId="4" xfId="0" applyFont="1" applyFill="1" applyBorder="1" applyAlignment="1">
      <alignment vertical="center" wrapText="1"/>
    </xf>
    <xf numFmtId="0" fontId="0" fillId="7" borderId="6" xfId="0" applyFill="1" applyBorder="1"/>
    <xf numFmtId="0" fontId="30" fillId="4" borderId="0" xfId="0" applyFont="1" applyFill="1" applyAlignment="1">
      <alignment horizontal="left"/>
    </xf>
    <xf numFmtId="0" fontId="30" fillId="4" borderId="4" xfId="0" applyFont="1" applyFill="1" applyBorder="1" applyAlignment="1">
      <alignment horizontal="left"/>
    </xf>
    <xf numFmtId="0" fontId="30" fillId="4" borderId="0" xfId="0" applyFont="1" applyFill="1" applyAlignment="1">
      <alignment horizontal="left" vertical="center"/>
    </xf>
    <xf numFmtId="0" fontId="31" fillId="7" borderId="4" xfId="0" applyFont="1" applyFill="1" applyBorder="1" applyAlignment="1">
      <alignment vertical="center" wrapText="1"/>
    </xf>
    <xf numFmtId="0" fontId="19" fillId="7" borderId="3" xfId="0" applyFont="1" applyFill="1" applyBorder="1" applyAlignment="1">
      <alignment horizontal="left" vertical="center"/>
    </xf>
    <xf numFmtId="0" fontId="0" fillId="7" borderId="4" xfId="0" applyFill="1" applyBorder="1"/>
    <xf numFmtId="0" fontId="31" fillId="7" borderId="0" xfId="0" applyFont="1" applyFill="1" applyAlignment="1">
      <alignment vertical="center" wrapText="1"/>
    </xf>
    <xf numFmtId="0" fontId="11" fillId="4" borderId="6" xfId="0" applyFont="1" applyFill="1" applyBorder="1" applyAlignment="1">
      <alignment vertical="top"/>
    </xf>
    <xf numFmtId="0" fontId="11" fillId="4" borderId="8" xfId="0" applyFont="1" applyFill="1" applyBorder="1" applyAlignment="1">
      <alignment horizontal="left" vertical="top"/>
    </xf>
    <xf numFmtId="0" fontId="11" fillId="4" borderId="9" xfId="0" applyFont="1" applyFill="1" applyBorder="1" applyAlignment="1">
      <alignment horizontal="left" vertical="top"/>
    </xf>
    <xf numFmtId="0" fontId="10" fillId="4" borderId="9" xfId="0" applyFont="1" applyFill="1" applyBorder="1" applyAlignment="1">
      <alignment horizontal="right" wrapText="1"/>
    </xf>
    <xf numFmtId="0" fontId="13" fillId="7" borderId="4" xfId="0" applyFont="1" applyFill="1" applyBorder="1" applyAlignment="1">
      <alignment horizontal="right" vertical="center"/>
    </xf>
    <xf numFmtId="0" fontId="12" fillId="7" borderId="4" xfId="0" applyFont="1" applyFill="1" applyBorder="1"/>
    <xf numFmtId="0" fontId="7" fillId="7" borderId="0" xfId="0" applyFont="1" applyFill="1"/>
    <xf numFmtId="0" fontId="8" fillId="7" borderId="0" xfId="0" applyFont="1" applyFill="1" applyAlignment="1">
      <alignment vertical="top" wrapText="1"/>
    </xf>
    <xf numFmtId="0" fontId="9" fillId="7" borderId="0" xfId="0" applyFont="1" applyFill="1"/>
    <xf numFmtId="0" fontId="19" fillId="7" borderId="3" xfId="0" applyFont="1" applyFill="1" applyBorder="1" applyAlignment="1">
      <alignment vertical="center"/>
    </xf>
    <xf numFmtId="0" fontId="20" fillId="7" borderId="4" xfId="0" applyFont="1" applyFill="1" applyBorder="1" applyAlignment="1">
      <alignment horizontal="left" vertical="center"/>
    </xf>
    <xf numFmtId="0" fontId="26" fillId="4" borderId="6" xfId="0" applyFont="1" applyFill="1" applyBorder="1" applyAlignment="1">
      <alignment horizontal="center" textRotation="90"/>
    </xf>
    <xf numFmtId="164" fontId="15" fillId="4" borderId="6" xfId="0" applyNumberFormat="1" applyFont="1" applyFill="1" applyBorder="1" applyAlignment="1">
      <alignment vertical="center"/>
    </xf>
    <xf numFmtId="164" fontId="25" fillId="4" borderId="0" xfId="0" applyNumberFormat="1" applyFont="1" applyFill="1" applyAlignment="1">
      <alignment vertical="center"/>
    </xf>
    <xf numFmtId="164" fontId="25" fillId="4" borderId="7" xfId="0" applyNumberFormat="1" applyFont="1" applyFill="1" applyBorder="1" applyAlignment="1">
      <alignment vertical="center"/>
    </xf>
    <xf numFmtId="0" fontId="14" fillId="4" borderId="7" xfId="0" applyFont="1" applyFill="1" applyBorder="1" applyAlignment="1">
      <alignment horizontal="right"/>
    </xf>
    <xf numFmtId="0" fontId="32" fillId="4" borderId="0" xfId="0" applyFont="1" applyFill="1" applyAlignment="1">
      <alignment vertical="center" wrapText="1"/>
    </xf>
    <xf numFmtId="0" fontId="24" fillId="4" borderId="0" xfId="0" applyFont="1" applyFill="1" applyAlignment="1">
      <alignment vertical="center"/>
    </xf>
    <xf numFmtId="0" fontId="24" fillId="4" borderId="7" xfId="0" applyFont="1" applyFill="1" applyBorder="1" applyAlignment="1">
      <alignment vertical="center"/>
    </xf>
    <xf numFmtId="0" fontId="0" fillId="7" borderId="5" xfId="0" applyFill="1" applyBorder="1"/>
    <xf numFmtId="0" fontId="0" fillId="7" borderId="7" xfId="0" applyFill="1" applyBorder="1"/>
    <xf numFmtId="0" fontId="0" fillId="2" borderId="18" xfId="0" applyFill="1" applyBorder="1"/>
    <xf numFmtId="0" fontId="35" fillId="4" borderId="4" xfId="0" applyFont="1" applyFill="1" applyBorder="1"/>
    <xf numFmtId="0" fontId="0" fillId="3" borderId="11" xfId="0" applyFill="1" applyBorder="1"/>
    <xf numFmtId="0" fontId="0" fillId="3" borderId="12" xfId="0" applyFill="1" applyBorder="1"/>
    <xf numFmtId="0" fontId="0" fillId="3" borderId="13" xfId="0" applyFill="1" applyBorder="1"/>
    <xf numFmtId="0" fontId="0" fillId="3" borderId="1" xfId="0" applyFill="1" applyBorder="1"/>
    <xf numFmtId="0" fontId="0" fillId="3" borderId="14" xfId="0" applyFill="1" applyBorder="1"/>
    <xf numFmtId="0" fontId="0" fillId="3" borderId="15" xfId="0" applyFill="1" applyBorder="1"/>
    <xf numFmtId="0" fontId="0" fillId="3" borderId="16" xfId="0" applyFill="1" applyBorder="1"/>
    <xf numFmtId="0" fontId="0" fillId="3" borderId="17" xfId="0" applyFill="1" applyBorder="1"/>
    <xf numFmtId="0" fontId="0" fillId="2" borderId="11" xfId="0" applyFill="1" applyBorder="1"/>
    <xf numFmtId="0" fontId="0" fillId="2" borderId="12" xfId="0" applyFill="1" applyBorder="1"/>
    <xf numFmtId="0" fontId="0" fillId="2" borderId="13" xfId="0" applyFill="1" applyBorder="1"/>
    <xf numFmtId="0" fontId="0" fillId="2" borderId="1" xfId="0" applyFill="1" applyBorder="1"/>
    <xf numFmtId="0" fontId="0" fillId="2" borderId="0" xfId="0" applyFill="1" applyAlignment="1">
      <alignment horizontal="right"/>
    </xf>
    <xf numFmtId="0" fontId="0" fillId="2" borderId="14" xfId="0" applyFill="1" applyBorder="1"/>
    <xf numFmtId="0" fontId="0" fillId="2" borderId="1" xfId="0" applyFill="1" applyBorder="1" applyAlignment="1">
      <alignment horizontal="left"/>
    </xf>
    <xf numFmtId="0" fontId="0" fillId="2" borderId="15" xfId="0" applyFill="1" applyBorder="1"/>
    <xf numFmtId="0" fontId="0" fillId="2" borderId="16" xfId="0" applyFill="1" applyBorder="1"/>
    <xf numFmtId="0" fontId="0" fillId="2" borderId="17" xfId="0" applyFill="1" applyBorder="1"/>
    <xf numFmtId="0" fontId="0" fillId="5" borderId="11" xfId="0" applyFill="1" applyBorder="1"/>
    <xf numFmtId="0" fontId="0" fillId="5" borderId="12" xfId="0" applyFill="1" applyBorder="1" applyAlignment="1">
      <alignment wrapText="1"/>
    </xf>
    <xf numFmtId="0" fontId="0" fillId="5" borderId="12" xfId="0" applyFill="1" applyBorder="1"/>
    <xf numFmtId="0" fontId="0" fillId="5" borderId="13" xfId="0" applyFill="1" applyBorder="1"/>
    <xf numFmtId="0" fontId="0" fillId="5" borderId="1"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0" fillId="3" borderId="0" xfId="0" applyFill="1" applyAlignment="1">
      <alignment horizontal="left"/>
    </xf>
    <xf numFmtId="0" fontId="0" fillId="3" borderId="16" xfId="0" applyFill="1" applyBorder="1" applyAlignment="1">
      <alignment horizontal="left"/>
    </xf>
    <xf numFmtId="0" fontId="0" fillId="6" borderId="11" xfId="0" applyFill="1" applyBorder="1"/>
    <xf numFmtId="0" fontId="0" fillId="6" borderId="12" xfId="0" applyFill="1" applyBorder="1"/>
    <xf numFmtId="0" fontId="0" fillId="6" borderId="13" xfId="0" applyFill="1" applyBorder="1"/>
    <xf numFmtId="0" fontId="0" fillId="6" borderId="1" xfId="0" applyFill="1" applyBorder="1"/>
    <xf numFmtId="0" fontId="0" fillId="6" borderId="14" xfId="0" applyFill="1" applyBorder="1"/>
    <xf numFmtId="0" fontId="0" fillId="6" borderId="15" xfId="0" applyFill="1" applyBorder="1"/>
    <xf numFmtId="0" fontId="0" fillId="6" borderId="16" xfId="0" applyFill="1" applyBorder="1"/>
    <xf numFmtId="0" fontId="38" fillId="0" borderId="0" xfId="0" applyFont="1"/>
    <xf numFmtId="0" fontId="39" fillId="0" borderId="0" xfId="0" applyFont="1"/>
    <xf numFmtId="9" fontId="0" fillId="0" borderId="0" xfId="3" applyFont="1"/>
    <xf numFmtId="165" fontId="0" fillId="2" borderId="0" xfId="0" applyNumberFormat="1" applyFill="1"/>
    <xf numFmtId="0" fontId="0" fillId="0" borderId="0" xfId="0" applyAlignment="1">
      <alignment wrapText="1"/>
    </xf>
    <xf numFmtId="0" fontId="22" fillId="4" borderId="4" xfId="0" applyFont="1" applyFill="1" applyBorder="1" applyAlignment="1">
      <alignment vertical="top"/>
    </xf>
    <xf numFmtId="0" fontId="20" fillId="2" borderId="19" xfId="0" applyFont="1" applyFill="1" applyBorder="1"/>
    <xf numFmtId="0" fontId="21" fillId="2" borderId="19" xfId="0" applyFont="1" applyFill="1" applyBorder="1" applyAlignment="1">
      <alignment horizontal="right"/>
    </xf>
    <xf numFmtId="0" fontId="0" fillId="2" borderId="19" xfId="0" applyFill="1" applyBorder="1"/>
    <xf numFmtId="0" fontId="20" fillId="7" borderId="4" xfId="0" applyFont="1" applyFill="1" applyBorder="1"/>
    <xf numFmtId="0" fontId="20" fillId="7" borderId="5" xfId="0" applyFont="1" applyFill="1" applyBorder="1"/>
    <xf numFmtId="0" fontId="33" fillId="4" borderId="0" xfId="0" applyFont="1" applyFill="1" applyAlignment="1">
      <alignment vertical="top"/>
    </xf>
    <xf numFmtId="0" fontId="33" fillId="4" borderId="0" xfId="0" applyFont="1" applyFill="1" applyAlignment="1">
      <alignment horizontal="left" vertical="top" indent="3"/>
    </xf>
    <xf numFmtId="0" fontId="0" fillId="8" borderId="11" xfId="0" applyFill="1" applyBorder="1"/>
    <xf numFmtId="0" fontId="0" fillId="8" borderId="12" xfId="0" applyFill="1" applyBorder="1"/>
    <xf numFmtId="0" fontId="0" fillId="8" borderId="13" xfId="0" applyFill="1" applyBorder="1"/>
    <xf numFmtId="0" fontId="0" fillId="8" borderId="1" xfId="0" applyFill="1" applyBorder="1"/>
    <xf numFmtId="0" fontId="0" fillId="8" borderId="0" xfId="0" applyFill="1"/>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9" borderId="0" xfId="0" applyFill="1"/>
    <xf numFmtId="0" fontId="0" fillId="9" borderId="11" xfId="0" applyFill="1" applyBorder="1"/>
    <xf numFmtId="0" fontId="0" fillId="9" borderId="12" xfId="0" applyFill="1" applyBorder="1"/>
    <xf numFmtId="0" fontId="0" fillId="9" borderId="13" xfId="0" applyFill="1" applyBorder="1"/>
    <xf numFmtId="0" fontId="0" fillId="9" borderId="1" xfId="0" applyFill="1" applyBorder="1"/>
    <xf numFmtId="0" fontId="0" fillId="9" borderId="14" xfId="0" applyFill="1" applyBorder="1"/>
    <xf numFmtId="0" fontId="0" fillId="9" borderId="15" xfId="0" applyFill="1" applyBorder="1"/>
    <xf numFmtId="0" fontId="0" fillId="9" borderId="16" xfId="0" applyFill="1" applyBorder="1"/>
    <xf numFmtId="0" fontId="0" fillId="9" borderId="17" xfId="0" applyFill="1" applyBorder="1"/>
    <xf numFmtId="0" fontId="16" fillId="0" borderId="0" xfId="0" quotePrefix="1" applyFont="1" applyAlignment="1">
      <alignment horizontal="right"/>
    </xf>
    <xf numFmtId="0" fontId="16" fillId="0" borderId="0" xfId="0" quotePrefix="1" applyFont="1" applyAlignment="1">
      <alignment horizontal="right" vertical="top"/>
    </xf>
    <xf numFmtId="0" fontId="44" fillId="7" borderId="0" xfId="0" applyFont="1" applyFill="1" applyAlignment="1">
      <alignment vertical="center"/>
    </xf>
    <xf numFmtId="0" fontId="0" fillId="0" borderId="0" xfId="0" applyAlignment="1">
      <alignment horizontal="left" vertical="top"/>
    </xf>
    <xf numFmtId="0" fontId="16" fillId="0" borderId="0" xfId="0" applyFont="1" applyProtection="1">
      <protection locked="0"/>
    </xf>
    <xf numFmtId="0" fontId="16" fillId="0" borderId="21" xfId="0" applyFont="1" applyBorder="1" applyAlignment="1">
      <alignment vertical="center" wrapText="1"/>
    </xf>
    <xf numFmtId="0" fontId="16" fillId="0" borderId="22" xfId="0" applyFont="1" applyBorder="1" applyAlignment="1">
      <alignment vertical="center" wrapText="1"/>
    </xf>
    <xf numFmtId="0" fontId="16" fillId="0" borderId="23" xfId="0" applyFont="1" applyBorder="1" applyAlignment="1">
      <alignment vertical="center" wrapText="1"/>
    </xf>
    <xf numFmtId="0" fontId="40" fillId="4" borderId="0" xfId="0" applyFont="1" applyFill="1"/>
    <xf numFmtId="0" fontId="43" fillId="4" borderId="0" xfId="0" applyFont="1" applyFill="1"/>
    <xf numFmtId="0" fontId="47" fillId="9" borderId="0" xfId="0" applyFont="1" applyFill="1"/>
    <xf numFmtId="0" fontId="47" fillId="8" borderId="0" xfId="0" applyFont="1" applyFill="1"/>
    <xf numFmtId="0" fontId="47" fillId="2" borderId="0" xfId="0" applyFont="1" applyFill="1"/>
    <xf numFmtId="0" fontId="47" fillId="5" borderId="0" xfId="0" applyFont="1" applyFill="1"/>
    <xf numFmtId="0" fontId="47" fillId="3" borderId="0" xfId="0" applyFont="1" applyFill="1"/>
    <xf numFmtId="0" fontId="47" fillId="6" borderId="0" xfId="0" applyFont="1" applyFill="1"/>
    <xf numFmtId="14" fontId="0" fillId="0" borderId="0" xfId="0" applyNumberFormat="1"/>
    <xf numFmtId="0" fontId="0" fillId="7" borderId="42" xfId="0" applyFill="1" applyBorder="1"/>
    <xf numFmtId="0" fontId="8" fillId="7" borderId="43" xfId="0" applyFont="1" applyFill="1" applyBorder="1" applyAlignment="1">
      <alignment vertical="top" wrapText="1"/>
    </xf>
    <xf numFmtId="0" fontId="0" fillId="7" borderId="44" xfId="0" applyFill="1" applyBorder="1"/>
    <xf numFmtId="0" fontId="0" fillId="7" borderId="45" xfId="0" applyFill="1" applyBorder="1"/>
    <xf numFmtId="0" fontId="0" fillId="7" borderId="46" xfId="0" applyFill="1" applyBorder="1"/>
    <xf numFmtId="9" fontId="0" fillId="5" borderId="0" xfId="3" applyFont="1" applyFill="1"/>
    <xf numFmtId="0" fontId="0" fillId="0" borderId="21" xfId="0" applyBorder="1" applyAlignment="1">
      <alignment horizontal="right" vertical="center" wrapText="1" indent="3"/>
    </xf>
    <xf numFmtId="0" fontId="0" fillId="0" borderId="22" xfId="0" applyBorder="1" applyAlignment="1">
      <alignment horizontal="right" vertical="center" wrapText="1" indent="3"/>
    </xf>
    <xf numFmtId="0" fontId="0" fillId="0" borderId="23" xfId="0" applyBorder="1" applyAlignment="1">
      <alignment horizontal="right" vertical="center" wrapText="1" indent="3"/>
    </xf>
    <xf numFmtId="3" fontId="0" fillId="0" borderId="25" xfId="0" applyNumberFormat="1" applyBorder="1" applyAlignment="1">
      <alignment horizontal="right" indent="3"/>
    </xf>
    <xf numFmtId="3" fontId="0" fillId="0" borderId="0" xfId="0" applyNumberFormat="1" applyAlignment="1">
      <alignment horizontal="right" indent="3"/>
    </xf>
    <xf numFmtId="3" fontId="0" fillId="0" borderId="27" xfId="0" applyNumberFormat="1" applyBorder="1" applyAlignment="1">
      <alignment horizontal="right" indent="3"/>
    </xf>
    <xf numFmtId="3" fontId="0" fillId="0" borderId="28" xfId="0" applyNumberFormat="1" applyBorder="1" applyAlignment="1">
      <alignment horizontal="right" indent="3"/>
    </xf>
    <xf numFmtId="167" fontId="0" fillId="0" borderId="27" xfId="0" applyNumberFormat="1" applyBorder="1" applyAlignment="1">
      <alignment horizontal="right" indent="3"/>
    </xf>
    <xf numFmtId="3" fontId="0" fillId="0" borderId="30" xfId="0" applyNumberFormat="1" applyBorder="1" applyAlignment="1">
      <alignment horizontal="right" indent="3"/>
    </xf>
    <xf numFmtId="3" fontId="0" fillId="0" borderId="29" xfId="0" applyNumberFormat="1" applyBorder="1" applyAlignment="1">
      <alignment horizontal="right" indent="3"/>
    </xf>
    <xf numFmtId="3" fontId="0" fillId="0" borderId="31" xfId="0" applyNumberFormat="1" applyBorder="1" applyAlignment="1">
      <alignment horizontal="right" indent="3"/>
    </xf>
    <xf numFmtId="167" fontId="0" fillId="0" borderId="29" xfId="0" applyNumberFormat="1" applyBorder="1" applyAlignment="1">
      <alignment horizontal="right" indent="3"/>
    </xf>
    <xf numFmtId="167" fontId="0" fillId="0" borderId="30" xfId="0" applyNumberFormat="1" applyBorder="1" applyAlignment="1">
      <alignment horizontal="right" indent="3"/>
    </xf>
    <xf numFmtId="0" fontId="0" fillId="0" borderId="0" xfId="0" applyAlignment="1">
      <alignment vertical="top"/>
    </xf>
    <xf numFmtId="0" fontId="0" fillId="0" borderId="0" xfId="0" applyAlignment="1">
      <alignment horizontal="right"/>
    </xf>
    <xf numFmtId="166" fontId="0" fillId="0" borderId="0" xfId="0" applyNumberFormat="1" applyAlignment="1">
      <alignment horizontal="right" indent="3"/>
    </xf>
    <xf numFmtId="166" fontId="0" fillId="0" borderId="28" xfId="0" applyNumberFormat="1" applyBorder="1" applyAlignment="1">
      <alignment horizontal="right" indent="3"/>
    </xf>
    <xf numFmtId="166" fontId="0" fillId="0" borderId="30" xfId="0" applyNumberFormat="1" applyBorder="1" applyAlignment="1">
      <alignment horizontal="right" indent="3"/>
    </xf>
    <xf numFmtId="166" fontId="0" fillId="0" borderId="31" xfId="0" applyNumberFormat="1" applyBorder="1" applyAlignment="1">
      <alignment horizontal="right" indent="3"/>
    </xf>
    <xf numFmtId="165" fontId="0" fillId="9" borderId="0" xfId="0" applyNumberFormat="1" applyFill="1"/>
    <xf numFmtId="0" fontId="0" fillId="9" borderId="0" xfId="0" applyFill="1" applyAlignment="1">
      <alignment horizontal="right"/>
    </xf>
    <xf numFmtId="164" fontId="34" fillId="4" borderId="0" xfId="0" applyNumberFormat="1" applyFont="1" applyFill="1" applyAlignment="1">
      <alignment vertical="center"/>
    </xf>
    <xf numFmtId="0" fontId="31" fillId="7" borderId="4" xfId="0" applyFont="1" applyFill="1" applyBorder="1" applyAlignment="1">
      <alignment vertical="top" wrapText="1"/>
    </xf>
    <xf numFmtId="0" fontId="31" fillId="7" borderId="0" xfId="0" applyFont="1" applyFill="1" applyAlignment="1">
      <alignment vertical="top" wrapText="1"/>
    </xf>
    <xf numFmtId="0" fontId="31" fillId="7" borderId="42" xfId="0" applyFont="1" applyFill="1" applyBorder="1" applyAlignment="1">
      <alignment vertical="top" wrapText="1"/>
    </xf>
    <xf numFmtId="0" fontId="31" fillId="7" borderId="43" xfId="0" applyFont="1" applyFill="1" applyBorder="1" applyAlignment="1">
      <alignment vertical="top" wrapText="1"/>
    </xf>
    <xf numFmtId="0" fontId="0" fillId="7" borderId="51" xfId="0" applyFill="1" applyBorder="1"/>
    <xf numFmtId="0" fontId="31" fillId="7" borderId="52" xfId="0" applyFont="1" applyFill="1" applyBorder="1" applyAlignment="1">
      <alignment vertical="top" wrapText="1"/>
    </xf>
    <xf numFmtId="0" fontId="31" fillId="7" borderId="42" xfId="0" applyFont="1" applyFill="1" applyBorder="1" applyAlignment="1">
      <alignment vertical="center" wrapText="1"/>
    </xf>
    <xf numFmtId="0" fontId="31" fillId="7" borderId="53" xfId="0" applyFont="1" applyFill="1" applyBorder="1" applyAlignment="1">
      <alignment vertical="top" wrapText="1"/>
    </xf>
    <xf numFmtId="0" fontId="31" fillId="7" borderId="43" xfId="0" applyFont="1" applyFill="1" applyBorder="1" applyAlignment="1">
      <alignment vertical="center" wrapText="1"/>
    </xf>
    <xf numFmtId="0" fontId="0" fillId="7" borderId="53" xfId="0" applyFill="1" applyBorder="1"/>
    <xf numFmtId="49" fontId="0" fillId="0" borderId="0" xfId="0" applyNumberFormat="1" applyAlignment="1">
      <alignment horizontal="right"/>
    </xf>
    <xf numFmtId="0" fontId="0" fillId="0" borderId="30" xfId="0" applyBorder="1"/>
    <xf numFmtId="166" fontId="0" fillId="3" borderId="0" xfId="0" applyNumberFormat="1" applyFill="1"/>
    <xf numFmtId="166" fontId="0" fillId="3" borderId="15" xfId="0" applyNumberFormat="1" applyFill="1" applyBorder="1"/>
    <xf numFmtId="0" fontId="45" fillId="2" borderId="0" xfId="0" applyFont="1" applyFill="1"/>
    <xf numFmtId="0" fontId="45" fillId="3" borderId="0" xfId="0" applyFont="1" applyFill="1"/>
    <xf numFmtId="0" fontId="45" fillId="5" borderId="0" xfId="0" applyFont="1" applyFill="1"/>
    <xf numFmtId="0" fontId="45" fillId="6" borderId="0" xfId="0" applyFont="1" applyFill="1"/>
    <xf numFmtId="0" fontId="45" fillId="8" borderId="0" xfId="0" applyFont="1" applyFill="1"/>
    <xf numFmtId="0" fontId="45" fillId="9" borderId="0" xfId="0" applyFont="1" applyFill="1"/>
    <xf numFmtId="0" fontId="0" fillId="0" borderId="0" xfId="0" applyAlignment="1">
      <alignment horizontal="right" wrapText="1"/>
    </xf>
    <xf numFmtId="0" fontId="16" fillId="0" borderId="0" xfId="0" quotePrefix="1" applyFont="1"/>
    <xf numFmtId="0" fontId="0" fillId="0" borderId="24" xfId="0" applyBorder="1" applyAlignment="1">
      <alignment horizontal="right" vertical="center" wrapText="1" indent="3"/>
    </xf>
    <xf numFmtId="0" fontId="0" fillId="0" borderId="25" xfId="0" applyBorder="1" applyAlignment="1">
      <alignment horizontal="right" vertical="center" wrapText="1" indent="3"/>
    </xf>
    <xf numFmtId="0" fontId="0" fillId="0" borderId="26" xfId="0" applyBorder="1" applyAlignment="1">
      <alignment horizontal="right" vertical="center" wrapText="1" indent="3"/>
    </xf>
    <xf numFmtId="0" fontId="45" fillId="0" borderId="0" xfId="0" applyFont="1"/>
    <xf numFmtId="3" fontId="0" fillId="0" borderId="0" xfId="0" applyNumberFormat="1" applyBorder="1" applyAlignment="1">
      <alignment horizontal="right" indent="3"/>
    </xf>
    <xf numFmtId="166" fontId="0" fillId="3" borderId="0" xfId="0" applyNumberFormat="1" applyFill="1" applyAlignment="1">
      <alignment horizontal="right"/>
    </xf>
    <xf numFmtId="0" fontId="47" fillId="10" borderId="0" xfId="0" applyFont="1" applyFill="1"/>
    <xf numFmtId="0" fontId="35" fillId="10" borderId="0" xfId="0" applyFont="1" applyFill="1" applyBorder="1"/>
    <xf numFmtId="0" fontId="0" fillId="10" borderId="0" xfId="0" applyFill="1"/>
    <xf numFmtId="0" fontId="0" fillId="0" borderId="0" xfId="0" applyFill="1"/>
    <xf numFmtId="3" fontId="0" fillId="0" borderId="25" xfId="0" applyNumberFormat="1" applyBorder="1" applyAlignment="1">
      <alignment horizontal="right" vertical="center" wrapText="1" indent="3"/>
    </xf>
    <xf numFmtId="0" fontId="47" fillId="0" borderId="0" xfId="0" applyFont="1"/>
    <xf numFmtId="0" fontId="45" fillId="0" borderId="0" xfId="0" applyFont="1" applyFill="1"/>
    <xf numFmtId="166" fontId="45" fillId="0" borderId="0" xfId="0" applyNumberFormat="1" applyFont="1" applyFill="1"/>
    <xf numFmtId="0" fontId="50" fillId="0" borderId="0" xfId="0" applyFont="1" applyFill="1"/>
    <xf numFmtId="166" fontId="0" fillId="0" borderId="0" xfId="0" applyNumberFormat="1" applyFill="1"/>
    <xf numFmtId="169" fontId="0" fillId="0" borderId="0" xfId="0" applyNumberFormat="1" applyFill="1"/>
    <xf numFmtId="0" fontId="0" fillId="0" borderId="22" xfId="0" applyFill="1" applyBorder="1" applyAlignment="1">
      <alignment horizontal="right" vertical="center" wrapText="1" indent="3"/>
    </xf>
    <xf numFmtId="167" fontId="0" fillId="0" borderId="0" xfId="0" applyNumberFormat="1" applyBorder="1" applyAlignment="1">
      <alignment horizontal="right" indent="3"/>
    </xf>
    <xf numFmtId="3" fontId="0" fillId="0" borderId="21" xfId="0" applyNumberFormat="1" applyBorder="1" applyAlignment="1">
      <alignment horizontal="right" vertical="center" wrapText="1" indent="3"/>
    </xf>
    <xf numFmtId="3" fontId="0" fillId="0" borderId="22" xfId="0" applyNumberFormat="1" applyBorder="1" applyAlignment="1">
      <alignment horizontal="right" vertical="center" wrapText="1" indent="3"/>
    </xf>
    <xf numFmtId="167" fontId="0" fillId="0" borderId="21" xfId="0" applyNumberFormat="1" applyBorder="1" applyAlignment="1">
      <alignment horizontal="right" vertical="center" wrapText="1" indent="3"/>
    </xf>
    <xf numFmtId="167" fontId="0" fillId="0" borderId="22" xfId="0" applyNumberFormat="1" applyBorder="1" applyAlignment="1">
      <alignment horizontal="right" vertical="center" wrapText="1" indent="3"/>
    </xf>
    <xf numFmtId="3" fontId="0" fillId="0" borderId="23" xfId="0" applyNumberFormat="1" applyBorder="1" applyAlignment="1">
      <alignment horizontal="right" vertical="center" wrapText="1" indent="3"/>
    </xf>
    <xf numFmtId="3" fontId="0" fillId="5" borderId="0" xfId="0" applyNumberFormat="1" applyFill="1"/>
    <xf numFmtId="9" fontId="0" fillId="0" borderId="26" xfId="3" applyFont="1" applyBorder="1" applyAlignment="1">
      <alignment horizontal="right" indent="3"/>
    </xf>
    <xf numFmtId="9" fontId="0" fillId="0" borderId="28" xfId="3" applyFont="1" applyBorder="1" applyAlignment="1">
      <alignment horizontal="right" indent="3"/>
    </xf>
    <xf numFmtId="166" fontId="0" fillId="0" borderId="0" xfId="0" applyNumberFormat="1" applyBorder="1" applyAlignment="1">
      <alignment horizontal="right" indent="3"/>
    </xf>
    <xf numFmtId="3" fontId="0" fillId="0" borderId="0" xfId="0" applyNumberFormat="1" applyFill="1" applyBorder="1" applyAlignment="1">
      <alignment horizontal="right" indent="3"/>
    </xf>
    <xf numFmtId="166" fontId="0" fillId="0" borderId="22" xfId="0" applyNumberFormat="1" applyBorder="1" applyAlignment="1">
      <alignment horizontal="right" vertical="center" wrapText="1" indent="3"/>
    </xf>
    <xf numFmtId="3" fontId="0" fillId="6" borderId="0" xfId="0" applyNumberFormat="1" applyFill="1"/>
    <xf numFmtId="3" fontId="0" fillId="0" borderId="24" xfId="0" applyNumberFormat="1" applyBorder="1"/>
    <xf numFmtId="3" fontId="0" fillId="0" borderId="25" xfId="0" applyNumberFormat="1" applyBorder="1"/>
    <xf numFmtId="3" fontId="0" fillId="0" borderId="26" xfId="0" applyNumberFormat="1" applyBorder="1"/>
    <xf numFmtId="0" fontId="0" fillId="0" borderId="0"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1" xfId="0" applyBorder="1"/>
    <xf numFmtId="0" fontId="33" fillId="4" borderId="0" xfId="0" applyFont="1" applyFill="1" applyAlignment="1">
      <alignment horizontal="left" vertical="top"/>
    </xf>
    <xf numFmtId="0" fontId="33" fillId="4" borderId="0" xfId="0" applyFont="1" applyFill="1" applyAlignment="1">
      <alignment horizontal="left"/>
    </xf>
    <xf numFmtId="3" fontId="0" fillId="0" borderId="21" xfId="0" applyNumberFormat="1" applyBorder="1" applyAlignment="1">
      <alignment horizontal="right" indent="3"/>
    </xf>
    <xf numFmtId="3" fontId="0" fillId="0" borderId="22" xfId="0" applyNumberFormat="1" applyBorder="1" applyAlignment="1">
      <alignment horizontal="right" indent="3"/>
    </xf>
    <xf numFmtId="0" fontId="45" fillId="0" borderId="0" xfId="0" applyFont="1" applyFill="1" applyAlignment="1">
      <alignment horizontal="right"/>
    </xf>
    <xf numFmtId="0" fontId="0" fillId="8" borderId="0" xfId="0" applyFill="1" applyAlignment="1">
      <alignment horizontal="right"/>
    </xf>
    <xf numFmtId="0" fontId="53" fillId="0" borderId="0" xfId="9" applyFont="1" applyAlignment="1">
      <alignment horizontal="right"/>
    </xf>
    <xf numFmtId="165" fontId="45" fillId="0" borderId="0" xfId="0" applyNumberFormat="1" applyFont="1" applyFill="1"/>
    <xf numFmtId="167" fontId="0" fillId="0" borderId="27" xfId="0" applyNumberFormat="1" applyFill="1" applyBorder="1" applyAlignment="1">
      <alignment horizontal="right" indent="3"/>
    </xf>
    <xf numFmtId="0" fontId="0" fillId="0" borderId="22" xfId="0" applyBorder="1" applyAlignment="1">
      <alignment horizontal="right" wrapText="1"/>
    </xf>
    <xf numFmtId="165" fontId="0" fillId="0" borderId="22" xfId="0" applyNumberFormat="1" applyBorder="1" applyAlignment="1">
      <alignment horizontal="right" wrapText="1"/>
    </xf>
    <xf numFmtId="165" fontId="0" fillId="0" borderId="24" xfId="0" applyNumberFormat="1" applyBorder="1" applyAlignment="1">
      <alignment horizontal="right"/>
    </xf>
    <xf numFmtId="165" fontId="0" fillId="0" borderId="25" xfId="0" applyNumberFormat="1" applyBorder="1" applyAlignment="1">
      <alignment horizontal="right"/>
    </xf>
    <xf numFmtId="165" fontId="0" fillId="0" borderId="26" xfId="0" applyNumberFormat="1" applyBorder="1" applyAlignment="1">
      <alignment horizontal="right"/>
    </xf>
    <xf numFmtId="165" fontId="0" fillId="0" borderId="27" xfId="0" applyNumberFormat="1" applyBorder="1" applyAlignment="1">
      <alignment horizontal="right"/>
    </xf>
    <xf numFmtId="165" fontId="0" fillId="0" borderId="0" xfId="0" applyNumberFormat="1" applyBorder="1" applyAlignment="1">
      <alignment horizontal="right"/>
    </xf>
    <xf numFmtId="165" fontId="0" fillId="0" borderId="28" xfId="0" applyNumberFormat="1" applyBorder="1" applyAlignment="1">
      <alignment horizontal="right"/>
    </xf>
    <xf numFmtId="0" fontId="0" fillId="0" borderId="27" xfId="0" applyBorder="1" applyAlignment="1">
      <alignment horizontal="right"/>
    </xf>
    <xf numFmtId="0" fontId="0" fillId="0" borderId="0" xfId="0" applyBorder="1" applyAlignment="1">
      <alignment horizontal="right"/>
    </xf>
    <xf numFmtId="0" fontId="0" fillId="0" borderId="28" xfId="0" applyBorder="1" applyAlignment="1">
      <alignment horizontal="right"/>
    </xf>
    <xf numFmtId="165" fontId="0" fillId="0" borderId="29" xfId="0" applyNumberFormat="1" applyBorder="1" applyAlignment="1">
      <alignment horizontal="right"/>
    </xf>
    <xf numFmtId="165" fontId="0" fillId="0" borderId="30" xfId="0" applyNumberFormat="1" applyBorder="1" applyAlignment="1">
      <alignment horizontal="right"/>
    </xf>
    <xf numFmtId="165" fontId="0" fillId="0" borderId="31" xfId="0" applyNumberFormat="1" applyBorder="1" applyAlignment="1">
      <alignment horizontal="right"/>
    </xf>
    <xf numFmtId="0" fontId="0" fillId="0" borderId="23" xfId="0" applyBorder="1" applyAlignment="1">
      <alignment horizontal="right" wrapText="1"/>
    </xf>
    <xf numFmtId="165" fontId="0" fillId="0" borderId="0" xfId="0" applyNumberFormat="1" applyAlignment="1">
      <alignment horizontal="right"/>
    </xf>
    <xf numFmtId="3" fontId="0" fillId="0" borderId="21" xfId="0" applyNumberFormat="1" applyBorder="1" applyAlignment="1">
      <alignment horizontal="right" wrapText="1"/>
    </xf>
    <xf numFmtId="3" fontId="0" fillId="0" borderId="22" xfId="0" applyNumberFormat="1" applyBorder="1" applyAlignment="1">
      <alignment horizontal="right" wrapText="1"/>
    </xf>
    <xf numFmtId="166" fontId="0" fillId="0" borderId="22" xfId="0" applyNumberFormat="1" applyBorder="1" applyAlignment="1">
      <alignment horizontal="right" wrapText="1"/>
    </xf>
    <xf numFmtId="166" fontId="0" fillId="0" borderId="23" xfId="0" applyNumberFormat="1" applyBorder="1" applyAlignment="1">
      <alignment horizontal="right" wrapText="1"/>
    </xf>
    <xf numFmtId="3" fontId="0" fillId="0" borderId="27" xfId="0" applyNumberFormat="1" applyBorder="1" applyAlignment="1">
      <alignment horizontal="right"/>
    </xf>
    <xf numFmtId="3" fontId="0" fillId="0" borderId="0" xfId="0" applyNumberFormat="1" applyBorder="1" applyAlignment="1">
      <alignment horizontal="right"/>
    </xf>
    <xf numFmtId="166" fontId="0" fillId="0" borderId="0" xfId="0" applyNumberFormat="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3" fontId="0" fillId="0" borderId="29" xfId="0" applyNumberFormat="1" applyBorder="1" applyAlignment="1">
      <alignment horizontal="right"/>
    </xf>
    <xf numFmtId="3" fontId="0" fillId="0" borderId="30" xfId="0" applyNumberFormat="1" applyBorder="1" applyAlignment="1">
      <alignment horizontal="right"/>
    </xf>
    <xf numFmtId="166" fontId="0" fillId="0" borderId="30" xfId="0" applyNumberFormat="1" applyBorder="1" applyAlignment="1">
      <alignment horizontal="right"/>
    </xf>
    <xf numFmtId="166" fontId="0" fillId="0" borderId="28" xfId="0" applyNumberFormat="1" applyBorder="1" applyAlignment="1">
      <alignment horizontal="right"/>
    </xf>
    <xf numFmtId="166" fontId="0" fillId="0" borderId="31" xfId="0" applyNumberFormat="1" applyBorder="1" applyAlignment="1">
      <alignment horizontal="right"/>
    </xf>
    <xf numFmtId="167" fontId="0" fillId="0" borderId="0" xfId="0" applyNumberFormat="1"/>
    <xf numFmtId="167" fontId="0" fillId="0" borderId="30" xfId="0" applyNumberFormat="1" applyBorder="1"/>
    <xf numFmtId="3" fontId="0" fillId="0" borderId="0" xfId="0" applyNumberFormat="1"/>
    <xf numFmtId="3" fontId="0" fillId="0" borderId="30" xfId="0" applyNumberFormat="1" applyBorder="1"/>
    <xf numFmtId="3" fontId="0" fillId="0" borderId="22" xfId="0" applyNumberFormat="1" applyBorder="1"/>
    <xf numFmtId="3" fontId="0" fillId="0" borderId="25" xfId="0" applyNumberFormat="1" applyFill="1" applyBorder="1" applyAlignment="1">
      <alignment horizontal="right" vertical="center" wrapText="1"/>
    </xf>
    <xf numFmtId="9" fontId="0" fillId="0" borderId="0" xfId="0" applyNumberFormat="1" applyAlignment="1">
      <alignment horizontal="right" indent="3"/>
    </xf>
    <xf numFmtId="9" fontId="0" fillId="0" borderId="23" xfId="0" applyNumberFormat="1" applyBorder="1" applyAlignment="1">
      <alignment horizontal="right" indent="3"/>
    </xf>
    <xf numFmtId="9" fontId="0" fillId="0" borderId="31" xfId="0" applyNumberFormat="1" applyBorder="1" applyAlignment="1">
      <alignment horizontal="right" indent="3"/>
    </xf>
    <xf numFmtId="9" fontId="0" fillId="0" borderId="26" xfId="0" applyNumberFormat="1" applyBorder="1" applyAlignment="1">
      <alignment horizontal="right" wrapText="1" indent="3"/>
    </xf>
    <xf numFmtId="167" fontId="0" fillId="0" borderId="0" xfId="0" applyNumberFormat="1" applyFill="1" applyAlignment="1">
      <alignment horizontal="right"/>
    </xf>
    <xf numFmtId="3" fontId="0" fillId="0" borderId="0" xfId="0" applyNumberFormat="1" applyFill="1" applyBorder="1" applyAlignment="1">
      <alignment horizontal="right"/>
    </xf>
    <xf numFmtId="9" fontId="0" fillId="0" borderId="28" xfId="3" applyFont="1" applyFill="1" applyBorder="1" applyAlignment="1">
      <alignment horizontal="right" indent="3"/>
    </xf>
    <xf numFmtId="3" fontId="0" fillId="0" borderId="27" xfId="0" applyNumberFormat="1" applyFill="1" applyBorder="1" applyAlignment="1">
      <alignment horizontal="right" indent="3"/>
    </xf>
    <xf numFmtId="3" fontId="0" fillId="0" borderId="0" xfId="0" applyNumberFormat="1" applyFill="1" applyAlignment="1">
      <alignment horizontal="right" indent="3"/>
    </xf>
    <xf numFmtId="166" fontId="0" fillId="0" borderId="28" xfId="0" applyNumberFormat="1" applyFill="1" applyBorder="1" applyAlignment="1">
      <alignment horizontal="right" indent="3"/>
    </xf>
    <xf numFmtId="3" fontId="0" fillId="0" borderId="27" xfId="0" applyNumberFormat="1" applyFill="1" applyBorder="1" applyAlignment="1">
      <alignment horizontal="right"/>
    </xf>
    <xf numFmtId="3" fontId="0" fillId="0" borderId="0" xfId="0" applyNumberFormat="1" applyFill="1" applyAlignment="1">
      <alignment horizontal="right"/>
    </xf>
    <xf numFmtId="166" fontId="0" fillId="0" borderId="0" xfId="0" applyNumberFormat="1" applyFill="1" applyAlignment="1">
      <alignment horizontal="right"/>
    </xf>
    <xf numFmtId="166" fontId="0" fillId="0" borderId="28" xfId="0" applyNumberFormat="1" applyFill="1" applyBorder="1" applyAlignment="1">
      <alignment horizontal="right"/>
    </xf>
    <xf numFmtId="165" fontId="0" fillId="0" borderId="0" xfId="0" applyNumberFormat="1" applyFill="1" applyAlignment="1">
      <alignment horizontal="right"/>
    </xf>
    <xf numFmtId="3" fontId="0" fillId="0" borderId="28" xfId="0" applyNumberFormat="1" applyFill="1" applyBorder="1" applyAlignment="1">
      <alignment horizontal="right" indent="3"/>
    </xf>
    <xf numFmtId="167" fontId="0" fillId="0" borderId="0" xfId="0" applyNumberFormat="1" applyFill="1"/>
    <xf numFmtId="3" fontId="0" fillId="0" borderId="0" xfId="0" applyNumberFormat="1" applyFill="1"/>
    <xf numFmtId="0" fontId="16" fillId="0" borderId="0" xfId="0" applyFont="1" applyAlignment="1">
      <alignment horizontal="right"/>
    </xf>
    <xf numFmtId="167" fontId="0" fillId="0" borderId="0" xfId="0" applyNumberFormat="1" applyFill="1" applyBorder="1" applyAlignment="1">
      <alignment horizontal="right" indent="3"/>
    </xf>
    <xf numFmtId="167" fontId="0" fillId="0" borderId="23" xfId="0" applyNumberFormat="1" applyBorder="1" applyAlignment="1">
      <alignment horizontal="right" vertical="center" wrapText="1" indent="3"/>
    </xf>
    <xf numFmtId="167" fontId="0" fillId="0" borderId="28" xfId="0" applyNumberFormat="1" applyBorder="1" applyAlignment="1">
      <alignment horizontal="right" indent="3"/>
    </xf>
    <xf numFmtId="167" fontId="0" fillId="0" borderId="28" xfId="0" applyNumberFormat="1" applyFill="1" applyBorder="1" applyAlignment="1">
      <alignment horizontal="right" indent="3"/>
    </xf>
    <xf numFmtId="167" fontId="0" fillId="0" borderId="31" xfId="0" applyNumberFormat="1" applyBorder="1" applyAlignment="1">
      <alignment horizontal="right" indent="3"/>
    </xf>
    <xf numFmtId="0" fontId="16" fillId="0" borderId="0" xfId="0" quotePrefix="1" applyFont="1" applyFill="1" applyAlignment="1">
      <alignment horizontal="right"/>
    </xf>
    <xf numFmtId="0" fontId="16" fillId="0" borderId="0" xfId="0" quotePrefix="1" applyFont="1" applyFill="1" applyAlignment="1">
      <alignment horizontal="right" vertical="top"/>
    </xf>
    <xf numFmtId="0" fontId="0" fillId="0" borderId="0" xfId="0" applyFill="1" applyAlignment="1">
      <alignment vertical="top"/>
    </xf>
    <xf numFmtId="0" fontId="0" fillId="0" borderId="0" xfId="0" applyFill="1" applyAlignment="1">
      <alignment horizontal="left" vertical="top"/>
    </xf>
    <xf numFmtId="0" fontId="16" fillId="0" borderId="0" xfId="0" applyFont="1" applyFill="1" applyAlignment="1">
      <alignment horizontal="right"/>
    </xf>
    <xf numFmtId="167" fontId="0" fillId="0" borderId="22" xfId="0" applyNumberFormat="1" applyBorder="1"/>
    <xf numFmtId="0" fontId="0" fillId="0" borderId="28" xfId="0" applyFill="1" applyBorder="1"/>
    <xf numFmtId="0" fontId="56" fillId="7" borderId="0" xfId="0" applyFont="1" applyFill="1" applyAlignment="1">
      <alignment vertical="center"/>
    </xf>
    <xf numFmtId="0" fontId="0" fillId="6" borderId="1" xfId="0" applyFont="1" applyFill="1" applyBorder="1"/>
    <xf numFmtId="0" fontId="52" fillId="0" borderId="35" xfId="4" applyFont="1" applyFill="1" applyBorder="1" applyAlignment="1">
      <alignment horizontal="left" vertical="top" wrapText="1"/>
    </xf>
    <xf numFmtId="0" fontId="52" fillId="0" borderId="41" xfId="4" applyFont="1" applyFill="1" applyBorder="1" applyAlignment="1">
      <alignment horizontal="left" vertical="top" wrapText="1"/>
    </xf>
    <xf numFmtId="0" fontId="52" fillId="0" borderId="38" xfId="4" applyFont="1" applyFill="1" applyBorder="1" applyAlignment="1">
      <alignment horizontal="left" vertical="top" wrapText="1"/>
    </xf>
    <xf numFmtId="0" fontId="55" fillId="0" borderId="6" xfId="0" applyFont="1" applyBorder="1" applyAlignment="1">
      <alignment horizontal="left" vertical="top"/>
    </xf>
    <xf numFmtId="0" fontId="28" fillId="7" borderId="71" xfId="0" applyFont="1" applyFill="1" applyBorder="1" applyAlignment="1">
      <alignment wrapText="1"/>
    </xf>
    <xf numFmtId="0" fontId="45" fillId="0" borderId="41" xfId="0" applyFont="1" applyBorder="1" applyAlignment="1">
      <alignment horizontal="left" vertical="top" wrapText="1"/>
    </xf>
    <xf numFmtId="0" fontId="52" fillId="0" borderId="48" xfId="4" applyFont="1" applyFill="1" applyBorder="1" applyAlignment="1">
      <alignment horizontal="left" vertical="top" wrapText="1"/>
    </xf>
    <xf numFmtId="0" fontId="45" fillId="0" borderId="50" xfId="0" applyFont="1" applyBorder="1" applyAlignment="1">
      <alignment horizontal="center" vertical="center" wrapText="1"/>
    </xf>
    <xf numFmtId="0" fontId="45" fillId="0" borderId="35" xfId="0" applyFont="1" applyFill="1" applyBorder="1" applyAlignment="1">
      <alignment horizontal="left" vertical="top" wrapText="1"/>
    </xf>
    <xf numFmtId="0" fontId="45" fillId="0" borderId="41" xfId="0" applyFont="1" applyFill="1" applyBorder="1" applyAlignment="1">
      <alignment horizontal="left" vertical="top" wrapText="1"/>
    </xf>
    <xf numFmtId="0" fontId="45" fillId="0" borderId="57" xfId="0" applyFont="1" applyBorder="1" applyAlignment="1">
      <alignment horizontal="center" vertical="center" wrapText="1"/>
    </xf>
    <xf numFmtId="0" fontId="45" fillId="0" borderId="68" xfId="0" applyFont="1" applyFill="1" applyBorder="1" applyAlignment="1">
      <alignment horizontal="left" vertical="top" wrapText="1"/>
    </xf>
    <xf numFmtId="0" fontId="45" fillId="0" borderId="70" xfId="0" applyFont="1" applyFill="1" applyBorder="1" applyAlignment="1">
      <alignment horizontal="left" vertical="top" wrapText="1"/>
    </xf>
    <xf numFmtId="0" fontId="52" fillId="0" borderId="70" xfId="4" applyFont="1" applyFill="1" applyBorder="1" applyAlignment="1">
      <alignment horizontal="left" vertical="top" wrapText="1"/>
    </xf>
    <xf numFmtId="6" fontId="45" fillId="4" borderId="72" xfId="0" applyNumberFormat="1" applyFont="1" applyFill="1" applyBorder="1" applyAlignment="1">
      <alignment horizontal="center" vertical="center" wrapText="1"/>
    </xf>
    <xf numFmtId="0" fontId="45" fillId="0" borderId="35" xfId="0" applyFont="1" applyBorder="1" applyAlignment="1">
      <alignment horizontal="left" vertical="top" wrapText="1"/>
    </xf>
    <xf numFmtId="0" fontId="45" fillId="0" borderId="38" xfId="0" applyFont="1" applyBorder="1" applyAlignment="1">
      <alignment horizontal="left" vertical="top" wrapText="1"/>
    </xf>
    <xf numFmtId="0" fontId="50" fillId="0" borderId="32" xfId="0" applyFont="1" applyFill="1" applyBorder="1" applyAlignment="1">
      <alignment horizontal="left" vertical="top" wrapText="1"/>
    </xf>
    <xf numFmtId="0" fontId="45" fillId="0" borderId="33" xfId="0" applyFont="1" applyFill="1" applyBorder="1" applyAlignment="1">
      <alignment horizontal="left" vertical="top" wrapText="1"/>
    </xf>
    <xf numFmtId="0" fontId="52" fillId="0" borderId="33" xfId="4" applyFont="1" applyFill="1" applyBorder="1" applyAlignment="1">
      <alignment horizontal="left" vertical="top" wrapText="1"/>
    </xf>
    <xf numFmtId="0" fontId="45" fillId="0" borderId="55" xfId="0" applyFont="1" applyBorder="1" applyAlignment="1">
      <alignment horizontal="center" vertical="center" wrapText="1"/>
    </xf>
    <xf numFmtId="0" fontId="45" fillId="0" borderId="56" xfId="0" applyFont="1" applyBorder="1" applyAlignment="1">
      <alignment horizontal="center" vertical="center" wrapText="1"/>
    </xf>
    <xf numFmtId="0" fontId="45" fillId="0" borderId="0" xfId="0" applyFont="1" applyFill="1" applyAlignment="1">
      <alignment horizontal="left" vertical="top" wrapText="1"/>
    </xf>
    <xf numFmtId="0" fontId="45" fillId="0" borderId="58" xfId="0" applyFont="1" applyBorder="1" applyAlignment="1">
      <alignment horizontal="center" vertical="center" wrapText="1"/>
    </xf>
    <xf numFmtId="0" fontId="45" fillId="0" borderId="54" xfId="0" applyFont="1" applyBorder="1" applyAlignment="1">
      <alignment horizontal="center" vertical="center" wrapText="1"/>
    </xf>
    <xf numFmtId="0" fontId="45" fillId="0" borderId="38" xfId="0" applyFont="1" applyFill="1" applyBorder="1" applyAlignment="1">
      <alignment horizontal="left" vertical="top" wrapText="1"/>
    </xf>
    <xf numFmtId="0" fontId="45" fillId="0" borderId="59" xfId="0" applyFont="1" applyBorder="1" applyAlignment="1">
      <alignment horizontal="center" vertical="center" wrapText="1"/>
    </xf>
    <xf numFmtId="0" fontId="45" fillId="0" borderId="48" xfId="0" applyFont="1" applyFill="1" applyBorder="1" applyAlignment="1">
      <alignment horizontal="left" vertical="top" wrapText="1"/>
    </xf>
    <xf numFmtId="0" fontId="45" fillId="0" borderId="47" xfId="0" applyFont="1" applyFill="1" applyBorder="1" applyAlignment="1">
      <alignment horizontal="left" vertical="top" wrapText="1"/>
    </xf>
    <xf numFmtId="0" fontId="45" fillId="0" borderId="74" xfId="0" applyFont="1" applyBorder="1" applyAlignment="1">
      <alignment horizontal="center" vertical="center" wrapText="1"/>
    </xf>
    <xf numFmtId="0" fontId="45" fillId="0" borderId="25" xfId="0" applyFont="1" applyBorder="1" applyAlignment="1">
      <alignment horizontal="left" vertical="top" wrapText="1"/>
    </xf>
    <xf numFmtId="0" fontId="45" fillId="0" borderId="0" xfId="0" applyFont="1" applyAlignment="1">
      <alignment horizontal="left" vertical="top" wrapText="1"/>
    </xf>
    <xf numFmtId="0" fontId="16" fillId="0" borderId="30" xfId="0" applyFont="1"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xf>
    <xf numFmtId="0" fontId="45" fillId="0" borderId="60" xfId="0" applyFont="1" applyBorder="1" applyAlignment="1">
      <alignment horizontal="center" vertical="center" wrapText="1"/>
    </xf>
    <xf numFmtId="0" fontId="16" fillId="0" borderId="21" xfId="0" applyFont="1" applyBorder="1" applyAlignment="1">
      <alignment horizontal="right" vertical="center" wrapText="1"/>
    </xf>
    <xf numFmtId="0" fontId="0" fillId="0" borderId="22" xfId="0" applyBorder="1" applyAlignment="1">
      <alignment horizontal="right" vertical="center" wrapText="1"/>
    </xf>
    <xf numFmtId="0" fontId="0" fillId="0" borderId="23" xfId="0" applyBorder="1" applyAlignment="1">
      <alignment vertical="center" wrapText="1"/>
    </xf>
    <xf numFmtId="0" fontId="0" fillId="5" borderId="0" xfId="0" applyFill="1" applyAlignment="1">
      <alignment horizontal="center"/>
    </xf>
    <xf numFmtId="0" fontId="34" fillId="7" borderId="19" xfId="0" applyFont="1" applyFill="1" applyBorder="1" applyAlignment="1">
      <alignment horizontal="center" vertical="center" wrapText="1"/>
    </xf>
    <xf numFmtId="0" fontId="34" fillId="7" borderId="20" xfId="0" applyFont="1" applyFill="1" applyBorder="1" applyAlignment="1">
      <alignment horizontal="center" vertical="center" wrapText="1"/>
    </xf>
    <xf numFmtId="0" fontId="34" fillId="7" borderId="5" xfId="0" applyFont="1" applyFill="1" applyBorder="1" applyAlignment="1">
      <alignment horizontal="center" vertical="center" wrapText="1"/>
    </xf>
    <xf numFmtId="0" fontId="34" fillId="7" borderId="7" xfId="0" applyFont="1" applyFill="1" applyBorder="1" applyAlignment="1">
      <alignment horizontal="center" vertical="center" wrapText="1"/>
    </xf>
    <xf numFmtId="0" fontId="0" fillId="7" borderId="4" xfId="0" applyFill="1" applyBorder="1" applyAlignment="1">
      <alignment horizontal="center"/>
    </xf>
    <xf numFmtId="0" fontId="0" fillId="7" borderId="0" xfId="0" applyFill="1" applyAlignment="1">
      <alignment horizontal="center"/>
    </xf>
    <xf numFmtId="164" fontId="48" fillId="4" borderId="0" xfId="0" applyNumberFormat="1" applyFont="1" applyFill="1" applyAlignment="1">
      <alignment horizontal="left" indent="4"/>
    </xf>
    <xf numFmtId="164" fontId="48" fillId="4" borderId="7" xfId="0" applyNumberFormat="1" applyFont="1" applyFill="1" applyBorder="1" applyAlignment="1">
      <alignment horizontal="left" indent="4"/>
    </xf>
    <xf numFmtId="164" fontId="48" fillId="4" borderId="0" xfId="0" applyNumberFormat="1" applyFont="1" applyFill="1" applyAlignment="1">
      <alignment horizontal="left" indent="2"/>
    </xf>
    <xf numFmtId="0" fontId="9" fillId="4" borderId="0" xfId="0" applyFont="1" applyFill="1" applyAlignment="1">
      <alignment horizontal="left" indent="1"/>
    </xf>
    <xf numFmtId="0" fontId="32" fillId="4" borderId="0" xfId="0" applyFont="1" applyFill="1" applyAlignment="1">
      <alignment horizontal="right" vertical="top" indent="1"/>
    </xf>
    <xf numFmtId="0" fontId="32" fillId="4" borderId="7" xfId="0" applyFont="1" applyFill="1" applyBorder="1" applyAlignment="1">
      <alignment horizontal="right" vertical="top" indent="1"/>
    </xf>
    <xf numFmtId="0" fontId="32" fillId="4" borderId="9" xfId="0" applyFont="1" applyFill="1" applyBorder="1" applyAlignment="1">
      <alignment horizontal="right" vertical="top" indent="1"/>
    </xf>
    <xf numFmtId="0" fontId="32" fillId="4" borderId="10" xfId="0" applyFont="1" applyFill="1" applyBorder="1" applyAlignment="1">
      <alignment horizontal="right" vertical="top" indent="1"/>
    </xf>
    <xf numFmtId="0" fontId="32" fillId="0" borderId="0" xfId="0" applyFont="1" applyAlignment="1">
      <alignment horizontal="left" vertical="top" indent="2"/>
    </xf>
    <xf numFmtId="0" fontId="32" fillId="0" borderId="9" xfId="0" applyFont="1" applyBorder="1" applyAlignment="1">
      <alignment horizontal="left" vertical="top" indent="2"/>
    </xf>
    <xf numFmtId="0" fontId="14" fillId="4" borderId="0" xfId="0" applyFont="1" applyFill="1" applyAlignment="1">
      <alignment horizontal="right"/>
    </xf>
    <xf numFmtId="0" fontId="14" fillId="4" borderId="0" xfId="0" applyFont="1" applyFill="1" applyAlignment="1">
      <alignment horizontal="right" wrapText="1"/>
    </xf>
    <xf numFmtId="0" fontId="37" fillId="4" borderId="6" xfId="0" applyFont="1" applyFill="1" applyBorder="1" applyAlignment="1">
      <alignment horizontal="left" textRotation="90" wrapText="1"/>
    </xf>
    <xf numFmtId="0" fontId="37" fillId="4" borderId="0" xfId="0" applyFont="1" applyFill="1" applyAlignment="1">
      <alignment horizontal="left" textRotation="90" wrapText="1"/>
    </xf>
    <xf numFmtId="0" fontId="33" fillId="4" borderId="6" xfId="0" applyFont="1" applyFill="1" applyBorder="1" applyAlignment="1">
      <alignment horizontal="right" indent="2"/>
    </xf>
    <xf numFmtId="0" fontId="33" fillId="4" borderId="0" xfId="0" applyFont="1" applyFill="1" applyAlignment="1">
      <alignment horizontal="right" indent="2"/>
    </xf>
    <xf numFmtId="0" fontId="33" fillId="4" borderId="7" xfId="0" applyFont="1" applyFill="1" applyBorder="1" applyAlignment="1">
      <alignment horizontal="right" indent="2"/>
    </xf>
    <xf numFmtId="0" fontId="37" fillId="4" borderId="6" xfId="0" applyFont="1" applyFill="1" applyBorder="1" applyAlignment="1">
      <alignment horizontal="left" vertical="center" textRotation="90"/>
    </xf>
    <xf numFmtId="0" fontId="37" fillId="4" borderId="0" xfId="0" applyFont="1" applyFill="1" applyAlignment="1">
      <alignment horizontal="left" vertical="center" textRotation="90"/>
    </xf>
    <xf numFmtId="0" fontId="32" fillId="4" borderId="0" xfId="0" applyFont="1" applyFill="1" applyAlignment="1">
      <alignment horizontal="right" vertical="center" wrapText="1"/>
    </xf>
    <xf numFmtId="9" fontId="24" fillId="4" borderId="0" xfId="0" applyNumberFormat="1" applyFont="1" applyFill="1" applyAlignment="1">
      <alignment horizontal="center" vertical="center"/>
    </xf>
    <xf numFmtId="0" fontId="24" fillId="4" borderId="0" xfId="0" applyFont="1" applyFill="1" applyAlignment="1">
      <alignment horizontal="center" vertical="center"/>
    </xf>
    <xf numFmtId="0" fontId="32" fillId="4" borderId="0" xfId="0" applyFont="1" applyFill="1" applyAlignment="1">
      <alignment horizontal="left" vertical="top"/>
    </xf>
    <xf numFmtId="0" fontId="32" fillId="4" borderId="9" xfId="0" applyFont="1" applyFill="1" applyBorder="1" applyAlignment="1">
      <alignment horizontal="left" vertical="top"/>
    </xf>
    <xf numFmtId="3" fontId="37" fillId="4" borderId="0" xfId="0" applyNumberFormat="1" applyFont="1" applyFill="1" applyAlignment="1">
      <alignment horizontal="center" vertical="center"/>
    </xf>
    <xf numFmtId="3" fontId="37" fillId="4" borderId="7" xfId="0" applyNumberFormat="1" applyFont="1" applyFill="1" applyBorder="1" applyAlignment="1">
      <alignment horizontal="center" vertical="center"/>
    </xf>
    <xf numFmtId="0" fontId="29" fillId="7" borderId="0" xfId="0" applyFont="1" applyFill="1" applyAlignment="1">
      <alignment horizontal="left" vertical="center" wrapText="1"/>
    </xf>
    <xf numFmtId="0" fontId="0" fillId="7" borderId="43" xfId="0" applyFill="1" applyBorder="1" applyAlignment="1">
      <alignment horizontal="center"/>
    </xf>
    <xf numFmtId="0" fontId="18" fillId="7" borderId="0" xfId="0" applyFont="1" applyFill="1" applyAlignment="1">
      <alignment horizontal="left" vertical="center" wrapText="1"/>
    </xf>
    <xf numFmtId="0" fontId="42" fillId="7" borderId="6" xfId="0" applyFont="1" applyFill="1" applyBorder="1" applyAlignment="1">
      <alignment horizontal="left" vertical="center" wrapText="1" indent="1"/>
    </xf>
    <xf numFmtId="0" fontId="42" fillId="7" borderId="0" xfId="0" applyFont="1" applyFill="1" applyAlignment="1">
      <alignment horizontal="left" vertical="center" wrapText="1" indent="1"/>
    </xf>
    <xf numFmtId="0" fontId="36" fillId="4" borderId="6" xfId="0" applyFont="1" applyFill="1" applyBorder="1" applyAlignment="1">
      <alignment horizontal="right" vertical="center"/>
    </xf>
    <xf numFmtId="0" fontId="36" fillId="4" borderId="0" xfId="0" applyFont="1" applyFill="1" applyAlignment="1">
      <alignment horizontal="right" vertical="center"/>
    </xf>
    <xf numFmtId="0" fontId="45" fillId="0" borderId="34" xfId="0" applyFont="1" applyBorder="1" applyAlignment="1">
      <alignment horizontal="left" vertical="top" wrapText="1"/>
    </xf>
    <xf numFmtId="0" fontId="45" fillId="0" borderId="37" xfId="0" applyFont="1" applyBorder="1" applyAlignment="1">
      <alignment horizontal="left" vertical="top" wrapText="1"/>
    </xf>
    <xf numFmtId="0" fontId="45" fillId="0" borderId="35" xfId="0" applyFont="1" applyBorder="1" applyAlignment="1">
      <alignment horizontal="left" vertical="top" wrapText="1"/>
    </xf>
    <xf numFmtId="0" fontId="45" fillId="0" borderId="38" xfId="0" applyFont="1" applyBorder="1" applyAlignment="1">
      <alignment horizontal="left" vertical="top" wrapText="1"/>
    </xf>
    <xf numFmtId="0" fontId="45" fillId="0" borderId="36" xfId="0" applyFont="1" applyBorder="1" applyAlignment="1">
      <alignment horizontal="center" vertical="center" wrapText="1"/>
    </xf>
    <xf numFmtId="0" fontId="45" fillId="0" borderId="39" xfId="0" applyFont="1" applyBorder="1" applyAlignment="1">
      <alignment horizontal="center" vertical="center" wrapText="1"/>
    </xf>
    <xf numFmtId="0" fontId="45" fillId="0" borderId="66" xfId="0" applyFont="1" applyBorder="1" applyAlignment="1">
      <alignment horizontal="left" vertical="top" wrapText="1"/>
    </xf>
    <xf numFmtId="0" fontId="45" fillId="0" borderId="67" xfId="0" applyFont="1" applyBorder="1" applyAlignment="1">
      <alignment horizontal="left" vertical="top" wrapText="1"/>
    </xf>
    <xf numFmtId="0" fontId="45" fillId="0" borderId="68" xfId="0" applyFont="1" applyBorder="1" applyAlignment="1">
      <alignment horizontal="left" vertical="top" wrapText="1"/>
    </xf>
    <xf numFmtId="0" fontId="45" fillId="0" borderId="65" xfId="0" applyFont="1" applyBorder="1" applyAlignment="1">
      <alignment horizontal="left" vertical="top" wrapText="1"/>
    </xf>
    <xf numFmtId="0" fontId="45" fillId="0" borderId="48" xfId="0" applyFont="1" applyBorder="1" applyAlignment="1">
      <alignment horizontal="left" vertical="top" wrapText="1"/>
    </xf>
    <xf numFmtId="0" fontId="45" fillId="0" borderId="64" xfId="0" applyFont="1" applyBorder="1" applyAlignment="1">
      <alignment horizontal="center" vertical="center" wrapText="1"/>
    </xf>
    <xf numFmtId="0" fontId="45" fillId="0" borderId="50" xfId="0" applyFont="1" applyBorder="1" applyAlignment="1">
      <alignment horizontal="center" vertical="center" wrapText="1"/>
    </xf>
    <xf numFmtId="0" fontId="45" fillId="0" borderId="47" xfId="0" applyFont="1" applyBorder="1" applyAlignment="1">
      <alignment horizontal="left" vertical="top" wrapText="1"/>
    </xf>
    <xf numFmtId="0" fontId="45" fillId="0" borderId="62" xfId="0" applyFont="1" applyBorder="1" applyAlignment="1">
      <alignment horizontal="left" vertical="top" wrapText="1"/>
    </xf>
    <xf numFmtId="0" fontId="45" fillId="0" borderId="49" xfId="0" applyFont="1" applyBorder="1" applyAlignment="1">
      <alignment horizontal="center" vertical="center" wrapText="1"/>
    </xf>
    <xf numFmtId="0" fontId="45" fillId="0" borderId="63" xfId="0" applyFont="1" applyBorder="1" applyAlignment="1">
      <alignment horizontal="center" vertical="center" wrapText="1"/>
    </xf>
    <xf numFmtId="0" fontId="52" fillId="0" borderId="47" xfId="4" applyFont="1" applyFill="1" applyBorder="1" applyAlignment="1">
      <alignment horizontal="left" vertical="top" wrapText="1"/>
    </xf>
    <xf numFmtId="0" fontId="52" fillId="0" borderId="48" xfId="4" applyFont="1" applyFill="1" applyBorder="1" applyAlignment="1">
      <alignment horizontal="left" vertical="top" wrapText="1"/>
    </xf>
    <xf numFmtId="0" fontId="45" fillId="0" borderId="57" xfId="0" applyFont="1" applyBorder="1" applyAlignment="1">
      <alignment horizontal="center" vertical="center" wrapText="1"/>
    </xf>
    <xf numFmtId="0" fontId="45" fillId="0" borderId="69" xfId="0" applyFont="1" applyBorder="1" applyAlignment="1">
      <alignment horizontal="center" vertical="center" wrapText="1"/>
    </xf>
    <xf numFmtId="0" fontId="45" fillId="0" borderId="34" xfId="0" applyFont="1" applyFill="1" applyBorder="1" applyAlignment="1">
      <alignment horizontal="left" vertical="top" wrapText="1"/>
    </xf>
    <xf numFmtId="0" fontId="45" fillId="0" borderId="40" xfId="0" applyFont="1" applyFill="1" applyBorder="1" applyAlignment="1">
      <alignment horizontal="left" vertical="top" wrapText="1"/>
    </xf>
    <xf numFmtId="0" fontId="45" fillId="0" borderId="37" xfId="0" applyFont="1" applyFill="1" applyBorder="1" applyAlignment="1">
      <alignment horizontal="left" vertical="top" wrapText="1"/>
    </xf>
    <xf numFmtId="0" fontId="45" fillId="0" borderId="35" xfId="0" applyFont="1" applyFill="1" applyBorder="1" applyAlignment="1">
      <alignment horizontal="left" vertical="top" wrapText="1"/>
    </xf>
    <xf numFmtId="0" fontId="45" fillId="0" borderId="41" xfId="0" applyFont="1" applyFill="1" applyBorder="1" applyAlignment="1">
      <alignment horizontal="left" vertical="top" wrapText="1"/>
    </xf>
    <xf numFmtId="0" fontId="45" fillId="0" borderId="47" xfId="0" applyFont="1" applyFill="1" applyBorder="1" applyAlignment="1">
      <alignment horizontal="left" vertical="top" wrapText="1"/>
    </xf>
    <xf numFmtId="0" fontId="45" fillId="0" borderId="62" xfId="0" applyFont="1" applyFill="1" applyBorder="1" applyAlignment="1">
      <alignment horizontal="left" vertical="top" wrapText="1"/>
    </xf>
    <xf numFmtId="0" fontId="45" fillId="0" borderId="48" xfId="0" applyFont="1" applyFill="1" applyBorder="1" applyAlignment="1">
      <alignment horizontal="left" vertical="top" wrapText="1"/>
    </xf>
    <xf numFmtId="0" fontId="45" fillId="0" borderId="61" xfId="0" applyFont="1" applyBorder="1" applyAlignment="1">
      <alignment horizontal="center" vertical="center" wrapText="1"/>
    </xf>
    <xf numFmtId="0" fontId="45" fillId="0" borderId="73" xfId="0" applyFont="1" applyFill="1" applyBorder="1" applyAlignment="1">
      <alignment horizontal="left" vertical="top" wrapText="1"/>
    </xf>
    <xf numFmtId="0" fontId="45" fillId="0" borderId="70" xfId="0" applyFont="1" applyBorder="1" applyAlignment="1">
      <alignment horizontal="left" vertical="top" wrapText="1"/>
    </xf>
  </cellXfs>
  <cellStyles count="10">
    <cellStyle name="Comma 2" xfId="7" xr:uid="{00000000-0005-0000-0000-000000000000}"/>
    <cellStyle name="Hyperlink" xfId="4" builtinId="8"/>
    <cellStyle name="Normal" xfId="0" builtinId="0"/>
    <cellStyle name="Normal 2" xfId="1" xr:uid="{00000000-0005-0000-0000-000003000000}"/>
    <cellStyle name="Normal 2 2" xfId="6" xr:uid="{00000000-0005-0000-0000-000004000000}"/>
    <cellStyle name="Normal 2 3" xfId="8" xr:uid="{00000000-0005-0000-0000-000005000000}"/>
    <cellStyle name="Normal 5" xfId="5" xr:uid="{00000000-0005-0000-0000-000006000000}"/>
    <cellStyle name="Normal 5 3 2" xfId="9" xr:uid="{294E884C-F170-4D9A-A2CC-11F9AA4C81F3}"/>
    <cellStyle name="Percent" xfId="3" builtinId="5"/>
    <cellStyle name="Percent 2" xfId="2" xr:uid="{00000000-0005-0000-0000-000008000000}"/>
  </cellStyles>
  <dxfs count="0"/>
  <tableStyles count="0" defaultTableStyle="TableStyleMedium2" defaultPivotStyle="PivotStyleLight16"/>
  <colors>
    <mruColors>
      <color rgb="FFE87D1E"/>
      <color rgb="FF104F75"/>
      <color rgb="FFCEB536"/>
      <color rgb="FFED974B"/>
      <color rgb="FFE8DCA2"/>
      <color rgb="FFE7DA87"/>
      <color rgb="FF7D6B9B"/>
      <color rgb="FF669171"/>
      <color rgb="FFA15154"/>
      <color rgb="FF7095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11.xml><?xml version="1.0" encoding="utf-8"?>
<ax:ocx xmlns:ax="http://schemas.microsoft.com/office/2006/activeX" xmlns:r="http://schemas.openxmlformats.org/officeDocument/2006/relationships" ax:classid="{8BD21D10-EC42-11CE-9E0D-00AA006002F3}" ax:persistence="persistStreamInit" r:id="rId1"/>
</file>

<file path=xl/activeX/activeX12.xml><?xml version="1.0" encoding="utf-8"?>
<ax:ocx xmlns:ax="http://schemas.microsoft.com/office/2006/activeX" xmlns:r="http://schemas.openxmlformats.org/officeDocument/2006/relationships" ax:classid="{8BD21D10-EC42-11CE-9E0D-00AA006002F3}" ax:persistence="persistStreamInit" r:id="rId1"/>
</file>

<file path=xl/activeX/activeX13.xml><?xml version="1.0" encoding="utf-8"?>
<ax:ocx xmlns:ax="http://schemas.microsoft.com/office/2006/activeX" xmlns:r="http://schemas.openxmlformats.org/officeDocument/2006/relationships" ax:classid="{8BD21D10-EC42-11CE-9E0D-00AA006002F3}" ax:persistence="persistStreamInit" r:id="rId1"/>
</file>

<file path=xl/activeX/activeX14.xml><?xml version="1.0" encoding="utf-8"?>
<ax:ocx xmlns:ax="http://schemas.microsoft.com/office/2006/activeX" xmlns:r="http://schemas.openxmlformats.org/officeDocument/2006/relationships" ax:classid="{8BD21D10-EC42-11CE-9E0D-00AA006002F3}" ax:persistence="persistStreamInit" r:id="rId1"/>
</file>

<file path=xl/activeX/activeX15.xml><?xml version="1.0" encoding="utf-8"?>
<ax:ocx xmlns:ax="http://schemas.microsoft.com/office/2006/activeX" xmlns:r="http://schemas.openxmlformats.org/officeDocument/2006/relationships" ax:classid="{8BD21D10-EC42-11CE-9E0D-00AA006002F3}" ax:persistence="persistStreamInit" r:id="rId1"/>
</file>

<file path=xl/activeX/activeX16.xml><?xml version="1.0" encoding="utf-8"?>
<ax:ocx xmlns:ax="http://schemas.microsoft.com/office/2006/activeX" xmlns:r="http://schemas.openxmlformats.org/officeDocument/2006/relationships" ax:classid="{8BD21D10-EC42-11CE-9E0D-00AA006002F3}" ax:persistence="persistStreamInit" r:id="rId1"/>
</file>

<file path=xl/activeX/activeX17.xml><?xml version="1.0" encoding="utf-8"?>
<ax:ocx xmlns:ax="http://schemas.microsoft.com/office/2006/activeX" xmlns:r="http://schemas.openxmlformats.org/officeDocument/2006/relationships" ax:classid="{8BD21D10-EC42-11CE-9E0D-00AA006002F3}" ax:persistence="persistStreamInit" r:id="rId1"/>
</file>

<file path=xl/activeX/activeX18.xml><?xml version="1.0" encoding="utf-8"?>
<ax:ocx xmlns:ax="http://schemas.microsoft.com/office/2006/activeX" xmlns:r="http://schemas.openxmlformats.org/officeDocument/2006/relationships" ax:classid="{8BD21D10-EC42-11CE-9E0D-00AA006002F3}" ax:persistence="persistStreamInit" r:id="rId1"/>
</file>

<file path=xl/activeX/activeX19.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20.xml><?xml version="1.0" encoding="utf-8"?>
<ax:ocx xmlns:ax="http://schemas.microsoft.com/office/2006/activeX" xmlns:r="http://schemas.openxmlformats.org/officeDocument/2006/relationships" ax:classid="{8BD21D10-EC42-11CE-9E0D-00AA006002F3}" ax:persistence="persistStreamInit" r:id="rId1"/>
</file>

<file path=xl/activeX/activeX21.xml><?xml version="1.0" encoding="utf-8"?>
<ax:ocx xmlns:ax="http://schemas.microsoft.com/office/2006/activeX" xmlns:r="http://schemas.openxmlformats.org/officeDocument/2006/relationships" ax:classid="{8BD21D10-EC42-11CE-9E0D-00AA006002F3}" ax:persistence="persistStreamInit" r:id="rId1"/>
</file>

<file path=xl/activeX/activeX22.xml><?xml version="1.0" encoding="utf-8"?>
<ax:ocx xmlns:ax="http://schemas.microsoft.com/office/2006/activeX" xmlns:r="http://schemas.openxmlformats.org/officeDocument/2006/relationships" ax:classid="{8BD21D10-EC42-11CE-9E0D-00AA006002F3}" ax:persistence="persistStreamInit" r:id="rId1"/>
</file>

<file path=xl/activeX/activeX23.xml><?xml version="1.0" encoding="utf-8"?>
<ax:ocx xmlns:ax="http://schemas.microsoft.com/office/2006/activeX" xmlns:r="http://schemas.openxmlformats.org/officeDocument/2006/relationships" ax:classid="{8BD21D10-EC42-11CE-9E0D-00AA006002F3}" ax:persistence="persistStreamInit" r:id="rId1"/>
</file>

<file path=xl/activeX/activeX24.xml><?xml version="1.0" encoding="utf-8"?>
<ax:ocx xmlns:ax="http://schemas.microsoft.com/office/2006/activeX" xmlns:r="http://schemas.openxmlformats.org/officeDocument/2006/relationships" ax:classid="{8BD21D10-EC42-11CE-9E0D-00AA006002F3}" ax:persistence="persistStreamInit" r:id="rId1"/>
</file>

<file path=xl/activeX/activeX25.xml><?xml version="1.0" encoding="utf-8"?>
<ax:ocx xmlns:ax="http://schemas.microsoft.com/office/2006/activeX" xmlns:r="http://schemas.openxmlformats.org/officeDocument/2006/relationships" ax:classid="{8BD21D10-EC42-11CE-9E0D-00AA006002F3}" ax:persistence="persistStreamInit" r:id="rId1"/>
</file>

<file path=xl/activeX/activeX26.xml><?xml version="1.0" encoding="utf-8"?>
<ax:ocx xmlns:ax="http://schemas.microsoft.com/office/2006/activeX" xmlns:r="http://schemas.openxmlformats.org/officeDocument/2006/relationships" ax:classid="{8BD21D10-EC42-11CE-9E0D-00AA006002F3}" ax:persistence="persistStreamInit" r:id="rId1"/>
</file>

<file path=xl/activeX/activeX27.xml><?xml version="1.0" encoding="utf-8"?>
<ax:ocx xmlns:ax="http://schemas.microsoft.com/office/2006/activeX" xmlns:r="http://schemas.openxmlformats.org/officeDocument/2006/relationships" ax:classid="{8BD21D10-EC42-11CE-9E0D-00AA006002F3}" ax:persistence="persistStreamInit" r:id="rId1"/>
</file>

<file path=xl/activeX/activeX28.xml><?xml version="1.0" encoding="utf-8"?>
<ax:ocx xmlns:ax="http://schemas.microsoft.com/office/2006/activeX" xmlns:r="http://schemas.openxmlformats.org/officeDocument/2006/relationships" ax:classid="{8BD21D10-EC42-11CE-9E0D-00AA006002F3}" ax:persistence="persistStreamInit" r:id="rId1"/>
</file>

<file path=xl/activeX/activeX29.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30.xml><?xml version="1.0" encoding="utf-8"?>
<ax:ocx xmlns:ax="http://schemas.microsoft.com/office/2006/activeX" xmlns:r="http://schemas.openxmlformats.org/officeDocument/2006/relationships" ax:classid="{8BD21D10-EC42-11CE-9E0D-00AA006002F3}" ax:persistence="persistStreamInit" r:id="rId1"/>
</file>

<file path=xl/activeX/activeX31.xml><?xml version="1.0" encoding="utf-8"?>
<ax:ocx xmlns:ax="http://schemas.microsoft.com/office/2006/activeX" xmlns:r="http://schemas.openxmlformats.org/officeDocument/2006/relationships" ax:classid="{8BD21D10-EC42-11CE-9E0D-00AA006002F3}" ax:persistence="persistStreamInit" r:id="rId1"/>
</file>

<file path=xl/activeX/activeX32.xml><?xml version="1.0" encoding="utf-8"?>
<ax:ocx xmlns:ax="http://schemas.microsoft.com/office/2006/activeX" xmlns:r="http://schemas.openxmlformats.org/officeDocument/2006/relationships" ax:classid="{8BD21D10-EC42-11CE-9E0D-00AA006002F3}" ax:persistence="persistStreamInit" r:id="rId1"/>
</file>

<file path=xl/activeX/activeX33.xml><?xml version="1.0" encoding="utf-8"?>
<ax:ocx xmlns:ax="http://schemas.microsoft.com/office/2006/activeX" xmlns:r="http://schemas.openxmlformats.org/officeDocument/2006/relationships" ax:classid="{8BD21D10-EC42-11CE-9E0D-00AA006002F3}" ax:persistence="persistStreamInit" r:id="rId1"/>
</file>

<file path=xl/activeX/activeX34.xml><?xml version="1.0" encoding="utf-8"?>
<ax:ocx xmlns:ax="http://schemas.microsoft.com/office/2006/activeX" xmlns:r="http://schemas.openxmlformats.org/officeDocument/2006/relationships" ax:classid="{8BD21D10-EC42-11CE-9E0D-00AA006002F3}" ax:persistence="persistStreamInit" r:id="rId1"/>
</file>

<file path=xl/activeX/activeX35.xml><?xml version="1.0" encoding="utf-8"?>
<ax:ocx xmlns:ax="http://schemas.microsoft.com/office/2006/activeX" xmlns:r="http://schemas.openxmlformats.org/officeDocument/2006/relationships" ax:classid="{8BD21D10-EC42-11CE-9E0D-00AA006002F3}" ax:persistence="persistStreamInit" r:id="rId1"/>
</file>

<file path=xl/activeX/activeX36.xml><?xml version="1.0" encoding="utf-8"?>
<ax:ocx xmlns:ax="http://schemas.microsoft.com/office/2006/activeX" xmlns:r="http://schemas.openxmlformats.org/officeDocument/2006/relationships" ax:classid="{8BD21D10-EC42-11CE-9E0D-00AA006002F3}" ax:persistence="persistStreamInit" r:id="rId1"/>
</file>

<file path=xl/activeX/activeX37.xml><?xml version="1.0" encoding="utf-8"?>
<ax:ocx xmlns:ax="http://schemas.microsoft.com/office/2006/activeX" xmlns:r="http://schemas.openxmlformats.org/officeDocument/2006/relationships" ax:classid="{8BD21D10-EC42-11CE-9E0D-00AA006002F3}" ax:persistence="persistStreamInit" r:id="rId1"/>
</file>

<file path=xl/activeX/activeX38.xml><?xml version="1.0" encoding="utf-8"?>
<ax:ocx xmlns:ax="http://schemas.microsoft.com/office/2006/activeX" xmlns:r="http://schemas.openxmlformats.org/officeDocument/2006/relationships" ax:classid="{8BD21D10-EC42-11CE-9E0D-00AA006002F3}" ax:persistence="persistStreamInit" r:id="rId1"/>
</file>

<file path=xl/activeX/activeX39.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40.xml><?xml version="1.0" encoding="utf-8"?>
<ax:ocx xmlns:ax="http://schemas.microsoft.com/office/2006/activeX" xmlns:r="http://schemas.openxmlformats.org/officeDocument/2006/relationships" ax:classid="{8BD21D30-EC42-11CE-9E0D-00AA006002F3}" ax:persistence="persistStreamInit" r:id="rId1"/>
</file>

<file path=xl/activeX/activeX41.xml><?xml version="1.0" encoding="utf-8"?>
<ax:ocx xmlns:ax="http://schemas.microsoft.com/office/2006/activeX" xmlns:r="http://schemas.openxmlformats.org/officeDocument/2006/relationships" ax:classid="{8BD21D10-EC42-11CE-9E0D-00AA006002F3}" ax:persistence="persistStreamInit" r:id="rId1"/>
</file>

<file path=xl/activeX/activeX42.xml><?xml version="1.0" encoding="utf-8"?>
<ax:ocx xmlns:ax="http://schemas.microsoft.com/office/2006/activeX" xmlns:r="http://schemas.openxmlformats.org/officeDocument/2006/relationships" ax:classid="{8BD21D10-EC42-11CE-9E0D-00AA006002F3}" ax:persistence="persistStreamInit" r:id="rId1"/>
</file>

<file path=xl/activeX/activeX43.xml><?xml version="1.0" encoding="utf-8"?>
<ax:ocx xmlns:ax="http://schemas.microsoft.com/office/2006/activeX" xmlns:r="http://schemas.openxmlformats.org/officeDocument/2006/relationships" ax:classid="{8BD21D10-EC42-11CE-9E0D-00AA006002F3}" ax:persistence="persistStreamInit" r:id="rId1"/>
</file>

<file path=xl/activeX/activeX44.xml><?xml version="1.0" encoding="utf-8"?>
<ax:ocx xmlns:ax="http://schemas.microsoft.com/office/2006/activeX" xmlns:r="http://schemas.openxmlformats.org/officeDocument/2006/relationships" ax:classid="{8BD21D10-EC42-11CE-9E0D-00AA006002F3}" ax:persistence="persistStreamInit" r:id="rId1"/>
</file>

<file path=xl/activeX/activeX45.xml><?xml version="1.0" encoding="utf-8"?>
<ax:ocx xmlns:ax="http://schemas.microsoft.com/office/2006/activeX" xmlns:r="http://schemas.openxmlformats.org/officeDocument/2006/relationships" ax:classid="{8BD21D30-EC42-11CE-9E0D-00AA006002F3}" ax:persistence="persistStreamInit" r:id="rId1"/>
</file>

<file path=xl/activeX/activeX46.xml><?xml version="1.0" encoding="utf-8"?>
<ax:ocx xmlns:ax="http://schemas.microsoft.com/office/2006/activeX" xmlns:r="http://schemas.openxmlformats.org/officeDocument/2006/relationships" ax:classid="{8BD21D30-EC42-11CE-9E0D-00AA006002F3}" ax:persistence="persistStreamInit" r:id="rId1"/>
</file>

<file path=xl/activeX/activeX47.xml><?xml version="1.0" encoding="utf-8"?>
<ax:ocx xmlns:ax="http://schemas.microsoft.com/office/2006/activeX" xmlns:r="http://schemas.openxmlformats.org/officeDocument/2006/relationships" ax:classid="{8BD21D10-EC42-11CE-9E0D-00AA006002F3}" ax:persistence="persistStreamInit" r:id="rId1"/>
</file>

<file path=xl/activeX/activeX48.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8BD21D10-EC42-11CE-9E0D-00AA006002F3}"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5696093815192"/>
          <c:y val="7.8965674695081242E-2"/>
          <c:w val="0.7157762139945788"/>
          <c:h val="0.95125641903457725"/>
        </c:manualLayout>
      </c:layout>
      <c:doughnutChart>
        <c:varyColors val="0"/>
        <c:ser>
          <c:idx val="0"/>
          <c:order val="0"/>
          <c:dPt>
            <c:idx val="0"/>
            <c:bubble3D val="0"/>
            <c:spPr>
              <a:solidFill>
                <a:srgbClr val="104F75"/>
              </a:solidFill>
              <a:ln w="6350">
                <a:noFill/>
              </a:ln>
            </c:spPr>
            <c:extLst>
              <c:ext xmlns:c16="http://schemas.microsoft.com/office/drawing/2014/chart" uri="{C3380CC4-5D6E-409C-BE32-E72D297353CC}">
                <c16:uniqueId val="{00000001-7322-43AB-9F37-4EC598EA9CF2}"/>
              </c:ext>
            </c:extLst>
          </c:dPt>
          <c:dPt>
            <c:idx val="1"/>
            <c:bubble3D val="0"/>
            <c:spPr>
              <a:solidFill>
                <a:schemeClr val="bg1">
                  <a:lumMod val="85000"/>
                </a:schemeClr>
              </a:solidFill>
              <a:ln w="6350">
                <a:noFill/>
              </a:ln>
            </c:spPr>
            <c:extLst>
              <c:ext xmlns:c16="http://schemas.microsoft.com/office/drawing/2014/chart" uri="{C3380CC4-5D6E-409C-BE32-E72D297353CC}">
                <c16:uniqueId val="{00000003-7322-43AB-9F37-4EC598EA9CF2}"/>
              </c:ext>
            </c:extLst>
          </c:dPt>
          <c:dPt>
            <c:idx val="2"/>
            <c:bubble3D val="0"/>
            <c:spPr>
              <a:noFill/>
            </c:spPr>
            <c:extLst>
              <c:ext xmlns:c16="http://schemas.microsoft.com/office/drawing/2014/chart" uri="{C3380CC4-5D6E-409C-BE32-E72D297353CC}">
                <c16:uniqueId val="{00000005-7322-43AB-9F37-4EC598EA9CF2}"/>
              </c:ext>
            </c:extLst>
          </c:dPt>
          <c:dPt>
            <c:idx val="3"/>
            <c:bubble3D val="0"/>
            <c:spPr>
              <a:solidFill>
                <a:schemeClr val="bg1">
                  <a:lumMod val="95000"/>
                </a:schemeClr>
              </a:solidFill>
            </c:spPr>
            <c:extLst>
              <c:ext xmlns:c16="http://schemas.microsoft.com/office/drawing/2014/chart" uri="{C3380CC4-5D6E-409C-BE32-E72D297353CC}">
                <c16:uniqueId val="{00000007-7322-43AB-9F37-4EC598EA9CF2}"/>
              </c:ext>
            </c:extLst>
          </c:dPt>
          <c:val>
            <c:numRef>
              <c:f>Calculations!$S$11:$U$11</c:f>
              <c:numCache>
                <c:formatCode>General</c:formatCode>
                <c:ptCount val="3"/>
                <c:pt idx="0">
                  <c:v>3.2547173481690041E-2</c:v>
                </c:pt>
                <c:pt idx="1">
                  <c:v>0.21745282651830997</c:v>
                </c:pt>
                <c:pt idx="2">
                  <c:v>0.75</c:v>
                </c:pt>
              </c:numCache>
            </c:numRef>
          </c:val>
          <c:extLst>
            <c:ext xmlns:c16="http://schemas.microsoft.com/office/drawing/2014/chart" uri="{C3380CC4-5D6E-409C-BE32-E72D297353CC}">
              <c16:uniqueId val="{00000008-7322-43AB-9F37-4EC598EA9CF2}"/>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016744434723437"/>
          <c:y val="0.10357815442561205"/>
          <c:w val="0.59052991639933894"/>
          <c:h val="0.72064667763987134"/>
        </c:manualLayout>
      </c:layout>
      <c:pieChart>
        <c:varyColors val="1"/>
        <c:ser>
          <c:idx val="0"/>
          <c:order val="0"/>
          <c:spPr>
            <a:ln w="3175">
              <a:solidFill>
                <a:schemeClr val="bg1">
                  <a:lumMod val="95000"/>
                </a:schemeClr>
              </a:solidFill>
            </a:ln>
          </c:spPr>
          <c:dPt>
            <c:idx val="0"/>
            <c:bubble3D val="0"/>
            <c:spPr>
              <a:solidFill>
                <a:srgbClr val="669171"/>
              </a:solidFill>
              <a:ln w="3175">
                <a:solidFill>
                  <a:schemeClr val="bg1">
                    <a:lumMod val="95000"/>
                  </a:schemeClr>
                </a:solidFill>
              </a:ln>
            </c:spPr>
            <c:extLst>
              <c:ext xmlns:c16="http://schemas.microsoft.com/office/drawing/2014/chart" uri="{C3380CC4-5D6E-409C-BE32-E72D297353CC}">
                <c16:uniqueId val="{00000001-72A0-4319-906C-0BF0A805ED6E}"/>
              </c:ext>
            </c:extLst>
          </c:dPt>
          <c:dPt>
            <c:idx val="1"/>
            <c:bubble3D val="0"/>
            <c:spPr>
              <a:solidFill>
                <a:srgbClr val="CEB536"/>
              </a:solidFill>
              <a:ln w="3175">
                <a:solidFill>
                  <a:schemeClr val="bg1">
                    <a:lumMod val="95000"/>
                  </a:schemeClr>
                </a:solidFill>
              </a:ln>
            </c:spPr>
            <c:extLst>
              <c:ext xmlns:c16="http://schemas.microsoft.com/office/drawing/2014/chart" uri="{C3380CC4-5D6E-409C-BE32-E72D297353CC}">
                <c16:uniqueId val="{00000003-72A0-4319-906C-0BF0A805ED6E}"/>
              </c:ext>
            </c:extLst>
          </c:dPt>
          <c:dPt>
            <c:idx val="2"/>
            <c:bubble3D val="0"/>
            <c:spPr>
              <a:solidFill>
                <a:srgbClr val="E87D1E"/>
              </a:solidFill>
              <a:ln w="3175">
                <a:solidFill>
                  <a:schemeClr val="bg1">
                    <a:lumMod val="95000"/>
                  </a:schemeClr>
                </a:solidFill>
              </a:ln>
            </c:spPr>
            <c:extLst>
              <c:ext xmlns:c16="http://schemas.microsoft.com/office/drawing/2014/chart" uri="{C3380CC4-5D6E-409C-BE32-E72D297353CC}">
                <c16:uniqueId val="{00000005-72A0-4319-906C-0BF0A805ED6E}"/>
              </c:ext>
            </c:extLst>
          </c:dPt>
          <c:dPt>
            <c:idx val="3"/>
            <c:bubble3D val="0"/>
            <c:spPr>
              <a:solidFill>
                <a:schemeClr val="bg1">
                  <a:lumMod val="95000"/>
                </a:schemeClr>
              </a:solidFill>
              <a:ln w="3175">
                <a:solidFill>
                  <a:schemeClr val="bg1">
                    <a:lumMod val="95000"/>
                  </a:schemeClr>
                </a:solidFill>
              </a:ln>
            </c:spPr>
            <c:extLst>
              <c:ext xmlns:c16="http://schemas.microsoft.com/office/drawing/2014/chart" uri="{C3380CC4-5D6E-409C-BE32-E72D297353CC}">
                <c16:uniqueId val="{00000007-72A0-4319-906C-0BF0A805ED6E}"/>
              </c:ext>
            </c:extLst>
          </c:dPt>
          <c:cat>
            <c:strRef>
              <c:f>Calculations!$K$83:$N$83</c:f>
              <c:strCache>
                <c:ptCount val="3"/>
                <c:pt idx="0">
                  <c:v>1st</c:v>
                </c:pt>
                <c:pt idx="1">
                  <c:v>2nd</c:v>
                </c:pt>
                <c:pt idx="2">
                  <c:v>3rd</c:v>
                </c:pt>
              </c:strCache>
            </c:strRef>
          </c:cat>
          <c:val>
            <c:numRef>
              <c:f>Calculations!$K$84:$N$84</c:f>
              <c:numCache>
                <c:formatCode>General</c:formatCode>
                <c:ptCount val="4"/>
                <c:pt idx="0">
                  <c:v>90.6</c:v>
                </c:pt>
                <c:pt idx="1">
                  <c:v>5.4</c:v>
                </c:pt>
                <c:pt idx="2">
                  <c:v>1.5</c:v>
                </c:pt>
                <c:pt idx="3">
                  <c:v>2.5000000000000053</c:v>
                </c:pt>
              </c:numCache>
            </c:numRef>
          </c:val>
          <c:extLst>
            <c:ext xmlns:c16="http://schemas.microsoft.com/office/drawing/2014/chart" uri="{C3380CC4-5D6E-409C-BE32-E72D297353CC}">
              <c16:uniqueId val="{00000008-72A0-4319-906C-0BF0A805ED6E}"/>
            </c:ext>
          </c:extLst>
        </c:ser>
        <c:dLbls>
          <c:showLegendKey val="0"/>
          <c:showVal val="0"/>
          <c:showCatName val="0"/>
          <c:showSerName val="0"/>
          <c:showPercent val="0"/>
          <c:showBubbleSize val="0"/>
          <c:showLeaderLines val="1"/>
        </c:dLbls>
        <c:firstSliceAng val="0"/>
      </c:pieChart>
    </c:plotArea>
    <c:legend>
      <c:legendPos val="b"/>
      <c:legendEntry>
        <c:idx val="3"/>
        <c:delete val="1"/>
      </c:legendEntry>
      <c:layout>
        <c:manualLayout>
          <c:xMode val="edge"/>
          <c:yMode val="edge"/>
          <c:x val="9.7094035341259932E-2"/>
          <c:y val="0.83752614256551261"/>
          <c:w val="0.53735876598312915"/>
          <c:h val="0.16247410599280279"/>
        </c:manualLayout>
      </c:layout>
      <c:overlay val="0"/>
      <c:txPr>
        <a:bodyPr/>
        <a:lstStyle/>
        <a:p>
          <a:pPr rtl="0">
            <a:defRPr sz="800">
              <a:solidFill>
                <a:srgbClr val="104F75"/>
              </a:solidFill>
            </a:defRPr>
          </a:pPr>
          <a:endParaRPr lang="en-US"/>
        </a:p>
      </c:txPr>
    </c:legend>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5696093815192"/>
          <c:y val="7.8965674695081242E-2"/>
          <c:w val="0.7157762139945788"/>
          <c:h val="0.95125641903457725"/>
        </c:manualLayout>
      </c:layout>
      <c:doughnutChart>
        <c:varyColors val="0"/>
        <c:ser>
          <c:idx val="0"/>
          <c:order val="0"/>
          <c:spPr>
            <a:ln>
              <a:noFill/>
            </a:ln>
          </c:spPr>
          <c:dPt>
            <c:idx val="0"/>
            <c:bubble3D val="0"/>
            <c:spPr>
              <a:noFill/>
              <a:ln>
                <a:noFill/>
              </a:ln>
            </c:spPr>
            <c:extLst>
              <c:ext xmlns:c16="http://schemas.microsoft.com/office/drawing/2014/chart" uri="{C3380CC4-5D6E-409C-BE32-E72D297353CC}">
                <c16:uniqueId val="{00000001-5690-4840-BE33-6BD9FF45F785}"/>
              </c:ext>
            </c:extLst>
          </c:dPt>
          <c:dPt>
            <c:idx val="1"/>
            <c:bubble3D val="0"/>
            <c:spPr>
              <a:solidFill>
                <a:schemeClr val="bg1">
                  <a:lumMod val="85000"/>
                </a:schemeClr>
              </a:solidFill>
              <a:ln w="6350">
                <a:noFill/>
              </a:ln>
            </c:spPr>
            <c:extLst>
              <c:ext xmlns:c16="http://schemas.microsoft.com/office/drawing/2014/chart" uri="{C3380CC4-5D6E-409C-BE32-E72D297353CC}">
                <c16:uniqueId val="{00000003-5690-4840-BE33-6BD9FF45F785}"/>
              </c:ext>
            </c:extLst>
          </c:dPt>
          <c:dPt>
            <c:idx val="2"/>
            <c:bubble3D val="0"/>
            <c:spPr>
              <a:solidFill>
                <a:srgbClr val="104F75"/>
              </a:solidFill>
              <a:ln w="6350">
                <a:noFill/>
              </a:ln>
            </c:spPr>
            <c:extLst>
              <c:ext xmlns:c16="http://schemas.microsoft.com/office/drawing/2014/chart" uri="{C3380CC4-5D6E-409C-BE32-E72D297353CC}">
                <c16:uniqueId val="{00000005-5690-4840-BE33-6BD9FF45F785}"/>
              </c:ext>
            </c:extLst>
          </c:dPt>
          <c:dPt>
            <c:idx val="3"/>
            <c:bubble3D val="0"/>
            <c:spPr>
              <a:solidFill>
                <a:schemeClr val="bg1">
                  <a:lumMod val="95000"/>
                </a:schemeClr>
              </a:solidFill>
              <a:ln>
                <a:noFill/>
              </a:ln>
            </c:spPr>
            <c:extLst>
              <c:ext xmlns:c16="http://schemas.microsoft.com/office/drawing/2014/chart" uri="{C3380CC4-5D6E-409C-BE32-E72D297353CC}">
                <c16:uniqueId val="{00000007-5690-4840-BE33-6BD9FF45F785}"/>
              </c:ext>
            </c:extLst>
          </c:dPt>
          <c:val>
            <c:numRef>
              <c:f>Calculations!$V$12:$X$12</c:f>
              <c:numCache>
                <c:formatCode>General</c:formatCode>
                <c:ptCount val="3"/>
                <c:pt idx="0">
                  <c:v>0.75</c:v>
                </c:pt>
                <c:pt idx="1">
                  <c:v>0.25</c:v>
                </c:pt>
                <c:pt idx="2">
                  <c:v>0</c:v>
                </c:pt>
              </c:numCache>
            </c:numRef>
          </c:val>
          <c:extLst>
            <c:ext xmlns:c16="http://schemas.microsoft.com/office/drawing/2014/chart" uri="{C3380CC4-5D6E-409C-BE32-E72D297353CC}">
              <c16:uniqueId val="{00000008-5690-4840-BE33-6BD9FF45F785}"/>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5696093815192"/>
          <c:y val="7.8965674695081242E-2"/>
          <c:w val="0.7157762139945788"/>
          <c:h val="0.95125641903457725"/>
        </c:manualLayout>
      </c:layout>
      <c:doughnutChart>
        <c:varyColors val="0"/>
        <c:ser>
          <c:idx val="0"/>
          <c:order val="0"/>
          <c:spPr>
            <a:ln>
              <a:noFill/>
            </a:ln>
          </c:spPr>
          <c:dPt>
            <c:idx val="0"/>
            <c:bubble3D val="0"/>
            <c:spPr>
              <a:solidFill>
                <a:srgbClr val="104F75"/>
              </a:solidFill>
              <a:ln w="6350">
                <a:noFill/>
              </a:ln>
            </c:spPr>
            <c:extLst>
              <c:ext xmlns:c16="http://schemas.microsoft.com/office/drawing/2014/chart" uri="{C3380CC4-5D6E-409C-BE32-E72D297353CC}">
                <c16:uniqueId val="{00000001-D38B-47FD-96B4-8CC3D8B53CEE}"/>
              </c:ext>
            </c:extLst>
          </c:dPt>
          <c:dPt>
            <c:idx val="1"/>
            <c:bubble3D val="0"/>
            <c:spPr>
              <a:solidFill>
                <a:schemeClr val="bg1">
                  <a:lumMod val="85000"/>
                </a:schemeClr>
              </a:solidFill>
              <a:ln w="6350">
                <a:noFill/>
              </a:ln>
            </c:spPr>
            <c:extLst>
              <c:ext xmlns:c16="http://schemas.microsoft.com/office/drawing/2014/chart" uri="{C3380CC4-5D6E-409C-BE32-E72D297353CC}">
                <c16:uniqueId val="{00000003-D38B-47FD-96B4-8CC3D8B53CEE}"/>
              </c:ext>
            </c:extLst>
          </c:dPt>
          <c:dPt>
            <c:idx val="2"/>
            <c:bubble3D val="0"/>
            <c:spPr>
              <a:noFill/>
              <a:ln>
                <a:noFill/>
              </a:ln>
            </c:spPr>
            <c:extLst>
              <c:ext xmlns:c16="http://schemas.microsoft.com/office/drawing/2014/chart" uri="{C3380CC4-5D6E-409C-BE32-E72D297353CC}">
                <c16:uniqueId val="{00000005-D38B-47FD-96B4-8CC3D8B53CEE}"/>
              </c:ext>
            </c:extLst>
          </c:dPt>
          <c:dPt>
            <c:idx val="3"/>
            <c:bubble3D val="0"/>
            <c:spPr>
              <a:solidFill>
                <a:schemeClr val="bg1">
                  <a:lumMod val="95000"/>
                </a:schemeClr>
              </a:solidFill>
              <a:ln>
                <a:noFill/>
              </a:ln>
            </c:spPr>
            <c:extLst>
              <c:ext xmlns:c16="http://schemas.microsoft.com/office/drawing/2014/chart" uri="{C3380CC4-5D6E-409C-BE32-E72D297353CC}">
                <c16:uniqueId val="{00000007-D38B-47FD-96B4-8CC3D8B53CEE}"/>
              </c:ext>
            </c:extLst>
          </c:dPt>
          <c:val>
            <c:numRef>
              <c:f>Calculations!$S$12:$U$12</c:f>
              <c:numCache>
                <c:formatCode>General</c:formatCode>
                <c:ptCount val="3"/>
                <c:pt idx="0">
                  <c:v>5.2131434156824294E-2</c:v>
                </c:pt>
                <c:pt idx="1">
                  <c:v>0.19786856584317572</c:v>
                </c:pt>
                <c:pt idx="2">
                  <c:v>0.75</c:v>
                </c:pt>
              </c:numCache>
            </c:numRef>
          </c:val>
          <c:extLst>
            <c:ext xmlns:c16="http://schemas.microsoft.com/office/drawing/2014/chart" uri="{C3380CC4-5D6E-409C-BE32-E72D297353CC}">
              <c16:uniqueId val="{00000008-D38B-47FD-96B4-8CC3D8B53CEE}"/>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75696093815192"/>
          <c:y val="7.8965674695081242E-2"/>
          <c:w val="0.7157762139945788"/>
          <c:h val="0.95125641903457725"/>
        </c:manualLayout>
      </c:layout>
      <c:doughnutChart>
        <c:varyColors val="0"/>
        <c:ser>
          <c:idx val="0"/>
          <c:order val="0"/>
          <c:spPr>
            <a:ln>
              <a:noFill/>
            </a:ln>
          </c:spPr>
          <c:dPt>
            <c:idx val="0"/>
            <c:bubble3D val="0"/>
            <c:spPr>
              <a:noFill/>
              <a:ln>
                <a:noFill/>
              </a:ln>
            </c:spPr>
            <c:extLst>
              <c:ext xmlns:c16="http://schemas.microsoft.com/office/drawing/2014/chart" uri="{C3380CC4-5D6E-409C-BE32-E72D297353CC}">
                <c16:uniqueId val="{00000001-922E-45F0-AB2A-A36A3D933A8E}"/>
              </c:ext>
            </c:extLst>
          </c:dPt>
          <c:dPt>
            <c:idx val="1"/>
            <c:bubble3D val="0"/>
            <c:spPr>
              <a:solidFill>
                <a:schemeClr val="bg1">
                  <a:lumMod val="85000"/>
                </a:schemeClr>
              </a:solidFill>
              <a:ln w="6350">
                <a:noFill/>
              </a:ln>
            </c:spPr>
            <c:extLst>
              <c:ext xmlns:c16="http://schemas.microsoft.com/office/drawing/2014/chart" uri="{C3380CC4-5D6E-409C-BE32-E72D297353CC}">
                <c16:uniqueId val="{00000003-922E-45F0-AB2A-A36A3D933A8E}"/>
              </c:ext>
            </c:extLst>
          </c:dPt>
          <c:dPt>
            <c:idx val="2"/>
            <c:bubble3D val="0"/>
            <c:spPr>
              <a:solidFill>
                <a:srgbClr val="104F75"/>
              </a:solidFill>
              <a:ln w="6350">
                <a:noFill/>
              </a:ln>
            </c:spPr>
            <c:extLst>
              <c:ext xmlns:c16="http://schemas.microsoft.com/office/drawing/2014/chart" uri="{C3380CC4-5D6E-409C-BE32-E72D297353CC}">
                <c16:uniqueId val="{00000005-922E-45F0-AB2A-A36A3D933A8E}"/>
              </c:ext>
            </c:extLst>
          </c:dPt>
          <c:dPt>
            <c:idx val="3"/>
            <c:bubble3D val="0"/>
            <c:spPr>
              <a:solidFill>
                <a:schemeClr val="bg1">
                  <a:lumMod val="95000"/>
                </a:schemeClr>
              </a:solidFill>
              <a:ln>
                <a:noFill/>
              </a:ln>
            </c:spPr>
            <c:extLst>
              <c:ext xmlns:c16="http://schemas.microsoft.com/office/drawing/2014/chart" uri="{C3380CC4-5D6E-409C-BE32-E72D297353CC}">
                <c16:uniqueId val="{00000007-922E-45F0-AB2A-A36A3D933A8E}"/>
              </c:ext>
            </c:extLst>
          </c:dPt>
          <c:val>
            <c:numRef>
              <c:f>Calculations!$V$11:$X$11</c:f>
              <c:numCache>
                <c:formatCode>General</c:formatCode>
                <c:ptCount val="3"/>
                <c:pt idx="0">
                  <c:v>0.75</c:v>
                </c:pt>
                <c:pt idx="1">
                  <c:v>0.25</c:v>
                </c:pt>
                <c:pt idx="2">
                  <c:v>0</c:v>
                </c:pt>
              </c:numCache>
            </c:numRef>
          </c:val>
          <c:extLst>
            <c:ext xmlns:c16="http://schemas.microsoft.com/office/drawing/2014/chart" uri="{C3380CC4-5D6E-409C-BE32-E72D297353CC}">
              <c16:uniqueId val="{00000008-922E-45F0-AB2A-A36A3D933A8E}"/>
            </c:ext>
          </c:extLst>
        </c:ser>
        <c:dLbls>
          <c:showLegendKey val="0"/>
          <c:showVal val="0"/>
          <c:showCatName val="0"/>
          <c:showSerName val="0"/>
          <c:showPercent val="0"/>
          <c:showBubbleSize val="0"/>
          <c:showLeaderLines val="1"/>
        </c:dLbls>
        <c:firstSliceAng val="0"/>
        <c:holeSize val="70"/>
      </c:doughnutChart>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1436700828341E-2"/>
          <c:y val="5.9123113355969925E-2"/>
          <c:w val="0.92212708705529456"/>
          <c:h val="0.70859364491805854"/>
        </c:manualLayout>
      </c:layout>
      <c:barChart>
        <c:barDir val="bar"/>
        <c:grouping val="stacked"/>
        <c:varyColors val="0"/>
        <c:ser>
          <c:idx val="0"/>
          <c:order val="0"/>
          <c:spPr>
            <a:solidFill>
              <a:srgbClr val="669171"/>
            </a:solidFill>
            <a:ln>
              <a:noFill/>
            </a:ln>
          </c:spPr>
          <c:invertIfNegative val="0"/>
          <c:dLbls>
            <c:dLbl>
              <c:idx val="0"/>
              <c:numFmt formatCode="#,##0;;&quot;&quot;\ " sourceLinked="0"/>
              <c:spPr>
                <a:noFill/>
                <a:ln>
                  <a:noFill/>
                </a:ln>
              </c:spPr>
              <c:txPr>
                <a:bodyPr/>
                <a:lstStyle/>
                <a:p>
                  <a:pPr>
                    <a:defRPr sz="1400" b="1">
                      <a:solidFill>
                        <a:sysClr val="windowText" lastClr="000000"/>
                      </a:solidFill>
                      <a:latin typeface="+mn-lt"/>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CE-4340-840D-0DDFBC638857}"/>
                </c:ext>
              </c:extLst>
            </c:dLbl>
            <c:numFmt formatCode="#,##0;;&quot;&quot;\ " sourceLinked="0"/>
            <c:spPr>
              <a:noFill/>
              <a:ln>
                <a:noFill/>
              </a:ln>
            </c:spPr>
            <c:txPr>
              <a:bodyPr/>
              <a:lstStyle/>
              <a:p>
                <a:pPr>
                  <a:defRPr sz="1400" b="1">
                    <a:solidFill>
                      <a:schemeClr val="bg1"/>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Calculations!$E$2</c:f>
              <c:strCache>
                <c:ptCount val="1"/>
                <c:pt idx="0">
                  <c:v>England</c:v>
                </c:pt>
              </c:strCache>
            </c:strRef>
          </c:cat>
          <c:val>
            <c:numRef>
              <c:f>Calculations!$K$4</c:f>
              <c:numCache>
                <c:formatCode>General</c:formatCode>
                <c:ptCount val="1"/>
                <c:pt idx="0">
                  <c:v>668942</c:v>
                </c:pt>
              </c:numCache>
            </c:numRef>
          </c:val>
          <c:extLst>
            <c:ext xmlns:c16="http://schemas.microsoft.com/office/drawing/2014/chart" uri="{C3380CC4-5D6E-409C-BE32-E72D297353CC}">
              <c16:uniqueId val="{00000001-31CE-4340-840D-0DDFBC638857}"/>
            </c:ext>
          </c:extLst>
        </c:ser>
        <c:ser>
          <c:idx val="1"/>
          <c:order val="1"/>
          <c:spPr>
            <a:solidFill>
              <a:srgbClr val="CEB536"/>
            </a:solidFill>
          </c:spPr>
          <c:invertIfNegative val="0"/>
          <c:dLbls>
            <c:dLbl>
              <c:idx val="0"/>
              <c:numFmt formatCode="#,##0;;&quot;&quot;\ " sourceLinked="0"/>
              <c:spPr>
                <a:noFill/>
                <a:ln>
                  <a:noFill/>
                </a:ln>
              </c:spPr>
              <c:txPr>
                <a:bodyPr/>
                <a:lstStyle/>
                <a:p>
                  <a:pPr>
                    <a:defRPr sz="1400" b="1">
                      <a:solidFill>
                        <a:sysClr val="windowText" lastClr="000000"/>
                      </a:solidFill>
                      <a:latin typeface="+mn-lt"/>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CE-4340-840D-0DDFBC638857}"/>
                </c:ext>
              </c:extLst>
            </c:dLbl>
            <c:numFmt formatCode="#,##0;;&quot;&quot;\ " sourceLinked="0"/>
            <c:spPr>
              <a:noFill/>
              <a:ln>
                <a:noFill/>
              </a:ln>
            </c:spPr>
            <c:txPr>
              <a:bodyPr/>
              <a:lstStyle/>
              <a:p>
                <a:pPr>
                  <a:defRPr sz="1400" b="1">
                    <a:solidFill>
                      <a:schemeClr val="bg1"/>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Calculations!$E$2</c:f>
              <c:strCache>
                <c:ptCount val="1"/>
                <c:pt idx="0">
                  <c:v>England</c:v>
                </c:pt>
              </c:strCache>
            </c:strRef>
          </c:cat>
          <c:val>
            <c:numRef>
              <c:f>Calculations!$K$5</c:f>
              <c:numCache>
                <c:formatCode>General</c:formatCode>
                <c:ptCount val="1"/>
                <c:pt idx="0">
                  <c:v>66227</c:v>
                </c:pt>
              </c:numCache>
            </c:numRef>
          </c:val>
          <c:extLst>
            <c:ext xmlns:c16="http://schemas.microsoft.com/office/drawing/2014/chart" uri="{C3380CC4-5D6E-409C-BE32-E72D297353CC}">
              <c16:uniqueId val="{00000003-31CE-4340-840D-0DDFBC638857}"/>
            </c:ext>
          </c:extLst>
        </c:ser>
        <c:ser>
          <c:idx val="2"/>
          <c:order val="2"/>
          <c:spPr>
            <a:solidFill>
              <a:srgbClr val="E87D1E"/>
            </a:solidFill>
          </c:spPr>
          <c:invertIfNegative val="0"/>
          <c:dLbls>
            <c:dLbl>
              <c:idx val="0"/>
              <c:layout>
                <c:manualLayout>
                  <c:x val="6.2122513785980424E-2"/>
                  <c:y val="0"/>
                </c:manualLayout>
              </c:layout>
              <c:numFmt formatCode="#,##0;;&quot;&quot;\ " sourceLinked="0"/>
              <c:spPr>
                <a:noFill/>
                <a:ln>
                  <a:noFill/>
                </a:ln>
                <a:effectLst/>
              </c:spPr>
              <c:txPr>
                <a:bodyPr vertOverflow="clip" horzOverflow="clip" wrap="square" lIns="38100" tIns="19050" rIns="38100" bIns="19050" anchor="ctr">
                  <a:spAutoFit/>
                </a:bodyPr>
                <a:lstStyle/>
                <a:p>
                  <a:pPr>
                    <a:defRPr sz="1400" b="1" i="0" baseline="0">
                      <a:latin typeface="+mn-lt"/>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F1-4827-823A-1B470416F679}"/>
                </c:ext>
              </c:extLst>
            </c:dLbl>
            <c:numFmt formatCode="#,##0;;&quot;&quot;\ " sourceLinked="0"/>
            <c:spPr>
              <a:noFill/>
              <a:ln>
                <a:noFill/>
              </a:ln>
              <a:effectLst/>
            </c:spPr>
            <c:txPr>
              <a:bodyPr wrap="square" lIns="38100" tIns="19050" rIns="38100" bIns="19050" anchor="ctr">
                <a:spAutoFit/>
              </a:bodyPr>
              <a:lstStyle/>
              <a:p>
                <a:pPr>
                  <a:defRPr sz="1400" b="1" i="0" baseline="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Calculations!$E$2</c:f>
              <c:strCache>
                <c:ptCount val="1"/>
                <c:pt idx="0">
                  <c:v>England</c:v>
                </c:pt>
              </c:strCache>
            </c:strRef>
          </c:cat>
          <c:val>
            <c:numRef>
              <c:f>Calculations!$K$6</c:f>
              <c:numCache>
                <c:formatCode>General</c:formatCode>
                <c:ptCount val="1"/>
                <c:pt idx="0">
                  <c:v>40970</c:v>
                </c:pt>
              </c:numCache>
            </c:numRef>
          </c:val>
          <c:extLst>
            <c:ext xmlns:c16="http://schemas.microsoft.com/office/drawing/2014/chart" uri="{C3380CC4-5D6E-409C-BE32-E72D297353CC}">
              <c16:uniqueId val="{00000004-31CE-4340-840D-0DDFBC638857}"/>
            </c:ext>
          </c:extLst>
        </c:ser>
        <c:dLbls>
          <c:showLegendKey val="0"/>
          <c:showVal val="0"/>
          <c:showCatName val="0"/>
          <c:showSerName val="0"/>
          <c:showPercent val="0"/>
          <c:showBubbleSize val="0"/>
        </c:dLbls>
        <c:gapWidth val="100"/>
        <c:overlap val="100"/>
        <c:axId val="141407744"/>
        <c:axId val="141409280"/>
      </c:barChart>
      <c:catAx>
        <c:axId val="141407744"/>
        <c:scaling>
          <c:orientation val="minMax"/>
        </c:scaling>
        <c:delete val="0"/>
        <c:axPos val="l"/>
        <c:numFmt formatCode="General" sourceLinked="1"/>
        <c:majorTickMark val="out"/>
        <c:minorTickMark val="none"/>
        <c:tickLblPos val="nextTo"/>
        <c:spPr>
          <a:ln>
            <a:noFill/>
          </a:ln>
        </c:spPr>
        <c:txPr>
          <a:bodyPr rot="-5400000" vert="horz"/>
          <a:lstStyle/>
          <a:p>
            <a:pPr>
              <a:defRPr>
                <a:solidFill>
                  <a:srgbClr val="104F75"/>
                </a:solidFill>
                <a:latin typeface="+mn-lt"/>
              </a:defRPr>
            </a:pPr>
            <a:endParaRPr lang="en-US"/>
          </a:p>
        </c:txPr>
        <c:crossAx val="141409280"/>
        <c:crosses val="autoZero"/>
        <c:auto val="1"/>
        <c:lblAlgn val="ctr"/>
        <c:lblOffset val="100"/>
        <c:noMultiLvlLbl val="0"/>
      </c:catAx>
      <c:valAx>
        <c:axId val="141409280"/>
        <c:scaling>
          <c:orientation val="minMax"/>
          <c:min val="0"/>
        </c:scaling>
        <c:delete val="0"/>
        <c:axPos val="b"/>
        <c:numFmt formatCode="[&gt;=1]#,##0;[White][&lt;&gt;0]0.0;0" sourceLinked="0"/>
        <c:majorTickMark val="none"/>
        <c:minorTickMark val="none"/>
        <c:tickLblPos val="nextTo"/>
        <c:spPr>
          <a:ln>
            <a:solidFill>
              <a:srgbClr val="104F75"/>
            </a:solidFill>
          </a:ln>
        </c:spPr>
        <c:txPr>
          <a:bodyPr/>
          <a:lstStyle/>
          <a:p>
            <a:pPr>
              <a:defRPr sz="1000">
                <a:solidFill>
                  <a:srgbClr val="104F75"/>
                </a:solidFill>
                <a:latin typeface="+mn-lt"/>
              </a:defRPr>
            </a:pPr>
            <a:endParaRPr lang="en-US"/>
          </a:p>
        </c:txPr>
        <c:crossAx val="141407744"/>
        <c:crosses val="autoZero"/>
        <c:crossBetween val="between"/>
      </c:valAx>
      <c:spPr>
        <a:noFill/>
        <a:ln>
          <a:noFill/>
        </a:ln>
      </c:spPr>
    </c:plotArea>
    <c:plotVisOnly val="1"/>
    <c:dispBlanksAs val="gap"/>
    <c:showDLblsOverMax val="0"/>
  </c:chart>
  <c:spPr>
    <a:noFill/>
    <a:ln>
      <a:noFill/>
    </a:ln>
  </c:spPr>
  <c:txPr>
    <a:bodyPr/>
    <a:lstStyle/>
    <a:p>
      <a:pPr>
        <a:defRPr sz="900">
          <a:latin typeface="Century Gothic" panose="020B0502020202020204" pitchFamily="34" charset="0"/>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226376540865953"/>
          <c:y val="6.7289944087232641E-4"/>
          <c:w val="0.67699906392819775"/>
          <c:h val="0.70435923770398268"/>
        </c:manualLayout>
      </c:layout>
      <c:barChart>
        <c:barDir val="bar"/>
        <c:grouping val="percentStacked"/>
        <c:varyColors val="0"/>
        <c:ser>
          <c:idx val="1"/>
          <c:order val="0"/>
          <c:tx>
            <c:strRef>
              <c:f>Calculations!$M$19</c:f>
              <c:strCache>
                <c:ptCount val="1"/>
              </c:strCache>
            </c:strRef>
          </c:tx>
          <c:spPr>
            <a:solidFill>
              <a:srgbClr val="7D6B9B"/>
            </a:solidFill>
            <a:ln>
              <a:solidFill>
                <a:schemeClr val="bg1"/>
              </a:solidFill>
            </a:ln>
          </c:spPr>
          <c:invertIfNegative val="0"/>
          <c:dLbls>
            <c:numFmt formatCode="#,##0;;&quot;&quot;\ " sourceLinked="0"/>
            <c:spPr>
              <a:noFill/>
              <a:ln>
                <a:noFill/>
              </a:ln>
              <a:effectLst/>
            </c:spPr>
            <c:txPr>
              <a:bodyPr wrap="square" lIns="38100" tIns="19050" rIns="38100" bIns="19050" anchor="ctr">
                <a:spAutoFit/>
              </a:bodyPr>
              <a:lstStyle/>
              <a:p>
                <a:pPr>
                  <a:defRPr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Calculations!$L$20:$L$23</c:f>
              <c:strCache>
                <c:ptCount val="4"/>
                <c:pt idx="0">
                  <c:v>Existing places</c:v>
                </c:pt>
                <c:pt idx="1">
                  <c:v>New places</c:v>
                </c:pt>
                <c:pt idx="2">
                  <c:v>Existing places</c:v>
                </c:pt>
                <c:pt idx="3">
                  <c:v>New places</c:v>
                </c:pt>
              </c:strCache>
            </c:strRef>
          </c:cat>
          <c:val>
            <c:numRef>
              <c:f>Calculations!$M$20:$M$23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A527-426E-865D-F5A64E3FB1CF}"/>
            </c:ext>
          </c:extLst>
        </c:ser>
        <c:ser>
          <c:idx val="0"/>
          <c:order val="1"/>
          <c:tx>
            <c:strRef>
              <c:f>Calculations!$N$19</c:f>
              <c:strCache>
                <c:ptCount val="1"/>
                <c:pt idx="0">
                  <c:v>Outstanding</c:v>
                </c:pt>
              </c:strCache>
            </c:strRef>
          </c:tx>
          <c:spPr>
            <a:solidFill>
              <a:srgbClr val="669171"/>
            </a:solidFill>
            <a:ln>
              <a:solidFill>
                <a:schemeClr val="bg1"/>
              </a:solidFill>
            </a:ln>
          </c:spPr>
          <c:invertIfNegative val="0"/>
          <c:dLbls>
            <c:numFmt formatCode="#,##0;;&quot;&quot;\ " sourceLinked="0"/>
            <c:spPr>
              <a:noFill/>
              <a:ln>
                <a:noFill/>
              </a:ln>
              <a:effectLst/>
            </c:spPr>
            <c:txPr>
              <a:bodyPr wrap="square" lIns="38100" tIns="19050" rIns="38100" bIns="19050" anchor="ctr">
                <a:spAutoFit/>
              </a:bodyPr>
              <a:lstStyle/>
              <a:p>
                <a:pPr>
                  <a:defRPr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Calculations!$L$20:$L$23</c:f>
              <c:strCache>
                <c:ptCount val="4"/>
                <c:pt idx="0">
                  <c:v>Existing places</c:v>
                </c:pt>
                <c:pt idx="1">
                  <c:v>New places</c:v>
                </c:pt>
                <c:pt idx="2">
                  <c:v>Existing places</c:v>
                </c:pt>
                <c:pt idx="3">
                  <c:v>New places</c:v>
                </c:pt>
              </c:strCache>
            </c:strRef>
          </c:cat>
          <c:val>
            <c:numRef>
              <c:f>Calculations!$N$20:$N$23</c:f>
              <c:numCache>
                <c:formatCode>General</c:formatCode>
                <c:ptCount val="4"/>
                <c:pt idx="0">
                  <c:v>884730</c:v>
                </c:pt>
                <c:pt idx="1">
                  <c:v>7123</c:v>
                </c:pt>
                <c:pt idx="2">
                  <c:v>0</c:v>
                </c:pt>
                <c:pt idx="3">
                  <c:v>0</c:v>
                </c:pt>
              </c:numCache>
            </c:numRef>
          </c:val>
          <c:extLst>
            <c:ext xmlns:c16="http://schemas.microsoft.com/office/drawing/2014/chart" uri="{C3380CC4-5D6E-409C-BE32-E72D297353CC}">
              <c16:uniqueId val="{00000001-A527-426E-865D-F5A64E3FB1CF}"/>
            </c:ext>
          </c:extLst>
        </c:ser>
        <c:ser>
          <c:idx val="4"/>
          <c:order val="2"/>
          <c:tx>
            <c:strRef>
              <c:f>Calculations!$O$19</c:f>
              <c:strCache>
                <c:ptCount val="1"/>
                <c:pt idx="0">
                  <c:v>Good</c:v>
                </c:pt>
              </c:strCache>
            </c:strRef>
          </c:tx>
          <c:spPr>
            <a:solidFill>
              <a:srgbClr val="CEB536"/>
            </a:solidFill>
            <a:ln>
              <a:solidFill>
                <a:schemeClr val="bg1"/>
              </a:solidFill>
            </a:ln>
          </c:spPr>
          <c:invertIfNegative val="0"/>
          <c:dLbls>
            <c:numFmt formatCode="#,##0;;&quot;&quot;\ " sourceLinked="0"/>
            <c:spPr>
              <a:noFill/>
              <a:ln>
                <a:noFill/>
              </a:ln>
              <a:effectLst/>
            </c:spPr>
            <c:txPr>
              <a:bodyPr wrap="square" lIns="38100" tIns="19050" rIns="38100" bIns="19050" anchor="ctr">
                <a:spAutoFit/>
              </a:bodyPr>
              <a:lstStyle/>
              <a:p>
                <a:pPr>
                  <a:defRPr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Calculations!$L$20:$L$23</c:f>
              <c:strCache>
                <c:ptCount val="4"/>
                <c:pt idx="0">
                  <c:v>Existing places</c:v>
                </c:pt>
                <c:pt idx="1">
                  <c:v>New places</c:v>
                </c:pt>
                <c:pt idx="2">
                  <c:v>Existing places</c:v>
                </c:pt>
                <c:pt idx="3">
                  <c:v>New places</c:v>
                </c:pt>
              </c:strCache>
            </c:strRef>
          </c:cat>
          <c:val>
            <c:numRef>
              <c:f>Calculations!$O$20:$O$23</c:f>
              <c:numCache>
                <c:formatCode>General</c:formatCode>
                <c:ptCount val="4"/>
                <c:pt idx="0">
                  <c:v>3353249</c:v>
                </c:pt>
                <c:pt idx="1">
                  <c:v>25883</c:v>
                </c:pt>
                <c:pt idx="2">
                  <c:v>0</c:v>
                </c:pt>
                <c:pt idx="3">
                  <c:v>0</c:v>
                </c:pt>
              </c:numCache>
            </c:numRef>
          </c:val>
          <c:extLst>
            <c:ext xmlns:c16="http://schemas.microsoft.com/office/drawing/2014/chart" uri="{C3380CC4-5D6E-409C-BE32-E72D297353CC}">
              <c16:uniqueId val="{00000002-A527-426E-865D-F5A64E3FB1CF}"/>
            </c:ext>
          </c:extLst>
        </c:ser>
        <c:ser>
          <c:idx val="3"/>
          <c:order val="3"/>
          <c:tx>
            <c:strRef>
              <c:f>Calculations!$P$19</c:f>
              <c:strCache>
                <c:ptCount val="1"/>
                <c:pt idx="0">
                  <c:v>Requires improvement</c:v>
                </c:pt>
              </c:strCache>
            </c:strRef>
          </c:tx>
          <c:spPr>
            <a:solidFill>
              <a:srgbClr val="ED974B"/>
            </a:solidFill>
            <a:ln w="9525">
              <a:solidFill>
                <a:schemeClr val="bg1"/>
              </a:solidFill>
            </a:ln>
          </c:spPr>
          <c:invertIfNegative val="0"/>
          <c:dLbls>
            <c:numFmt formatCode="#,##0;;&quot;&quot;\ " sourceLinked="0"/>
            <c:spPr>
              <a:noFill/>
              <a:ln>
                <a:noFill/>
              </a:ln>
              <a:effectLst/>
            </c:spPr>
            <c:txPr>
              <a:bodyPr wrap="square" lIns="38100" tIns="19050" rIns="38100" bIns="19050" anchor="ctr">
                <a:spAutoFit/>
              </a:bodyPr>
              <a:lstStyle/>
              <a:p>
                <a:pPr>
                  <a:defRPr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Calculations!$L$20:$L$23</c:f>
              <c:strCache>
                <c:ptCount val="4"/>
                <c:pt idx="0">
                  <c:v>Existing places</c:v>
                </c:pt>
                <c:pt idx="1">
                  <c:v>New places</c:v>
                </c:pt>
                <c:pt idx="2">
                  <c:v>Existing places</c:v>
                </c:pt>
                <c:pt idx="3">
                  <c:v>New places</c:v>
                </c:pt>
              </c:strCache>
            </c:strRef>
          </c:cat>
          <c:val>
            <c:numRef>
              <c:f>Calculations!$P$20:$P$23</c:f>
              <c:numCache>
                <c:formatCode>General</c:formatCode>
                <c:ptCount val="4"/>
                <c:pt idx="0">
                  <c:v>474787</c:v>
                </c:pt>
                <c:pt idx="1">
                  <c:v>2961</c:v>
                </c:pt>
                <c:pt idx="2">
                  <c:v>0</c:v>
                </c:pt>
                <c:pt idx="3">
                  <c:v>0</c:v>
                </c:pt>
              </c:numCache>
            </c:numRef>
          </c:val>
          <c:extLst>
            <c:ext xmlns:c16="http://schemas.microsoft.com/office/drawing/2014/chart" uri="{C3380CC4-5D6E-409C-BE32-E72D297353CC}">
              <c16:uniqueId val="{00000007-A527-426E-865D-F5A64E3FB1CF}"/>
            </c:ext>
          </c:extLst>
        </c:ser>
        <c:ser>
          <c:idx val="2"/>
          <c:order val="4"/>
          <c:tx>
            <c:strRef>
              <c:f>Calculations!$Q$19</c:f>
              <c:strCache>
                <c:ptCount val="1"/>
                <c:pt idx="0">
                  <c:v>Inadequate</c:v>
                </c:pt>
              </c:strCache>
            </c:strRef>
          </c:tx>
          <c:spPr>
            <a:solidFill>
              <a:srgbClr val="A15154"/>
            </a:solidFill>
            <a:ln w="9525">
              <a:solidFill>
                <a:schemeClr val="bg1"/>
              </a:solidFill>
            </a:ln>
          </c:spPr>
          <c:invertIfNegative val="0"/>
          <c:dLbls>
            <c:dLbl>
              <c:idx val="0"/>
              <c:layout>
                <c:manualLayout>
                  <c:x val="7.8376007194904826E-2"/>
                  <c:y val="6.529546196539340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9F-4423-9A72-C952C2BA4413}"/>
                </c:ext>
              </c:extLst>
            </c:dLbl>
            <c:dLbl>
              <c:idx val="1"/>
              <c:layout>
                <c:manualLayout>
                  <c:x val="8.6247086247086241E-2"/>
                  <c:y val="6.529546196539280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9F-4423-9A72-C952C2BA4413}"/>
                </c:ext>
              </c:extLst>
            </c:dLbl>
            <c:dLbl>
              <c:idx val="2"/>
              <c:layout>
                <c:manualLayout>
                  <c:x val="0.19580419580419564"/>
                  <c:y val="6.529546196539340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9F-4423-9A72-C952C2BA4413}"/>
                </c:ext>
              </c:extLst>
            </c:dLbl>
            <c:dLbl>
              <c:idx val="3"/>
              <c:layout>
                <c:manualLayout>
                  <c:x val="0.74125874125874125"/>
                  <c:y val="2.61181847861573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9F-4423-9A72-C952C2BA4413}"/>
                </c:ext>
              </c:extLst>
            </c:dLbl>
            <c:numFmt formatCode="#,##0;;&quot;&quot;\ " sourceLinked="0"/>
            <c:spPr>
              <a:noFill/>
              <a:ln>
                <a:noFill/>
              </a:ln>
              <a:effectLst/>
            </c:spPr>
            <c:txPr>
              <a:bodyPr rot="0" vertOverflow="clip" horzOverflow="clip" wrap="square" lIns="38100" tIns="19050" rIns="38100" bIns="19050" anchor="ctr">
                <a:spAutoFit/>
              </a:bodyPr>
              <a:lstStyle/>
              <a:p>
                <a:pPr>
                  <a:defRPr b="1"/>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Calculations!$L$20:$L$23</c:f>
              <c:strCache>
                <c:ptCount val="4"/>
                <c:pt idx="0">
                  <c:v>Existing places</c:v>
                </c:pt>
                <c:pt idx="1">
                  <c:v>New places</c:v>
                </c:pt>
                <c:pt idx="2">
                  <c:v>Existing places</c:v>
                </c:pt>
                <c:pt idx="3">
                  <c:v>New places</c:v>
                </c:pt>
              </c:strCache>
            </c:strRef>
          </c:cat>
          <c:val>
            <c:numRef>
              <c:f>Calculations!$Q$20:$Q$23</c:f>
              <c:numCache>
                <c:formatCode>General</c:formatCode>
                <c:ptCount val="4"/>
                <c:pt idx="0">
                  <c:v>65767</c:v>
                </c:pt>
                <c:pt idx="1">
                  <c:v>313</c:v>
                </c:pt>
                <c:pt idx="2">
                  <c:v>0</c:v>
                </c:pt>
                <c:pt idx="3">
                  <c:v>0</c:v>
                </c:pt>
              </c:numCache>
            </c:numRef>
          </c:val>
          <c:extLst>
            <c:ext xmlns:c16="http://schemas.microsoft.com/office/drawing/2014/chart" uri="{C3380CC4-5D6E-409C-BE32-E72D297353CC}">
              <c16:uniqueId val="{00000001-13C2-4941-8474-3BA074FA4BFE}"/>
            </c:ext>
          </c:extLst>
        </c:ser>
        <c:dLbls>
          <c:dLblPos val="ctr"/>
          <c:showLegendKey val="0"/>
          <c:showVal val="1"/>
          <c:showCatName val="0"/>
          <c:showSerName val="0"/>
          <c:showPercent val="0"/>
          <c:showBubbleSize val="0"/>
        </c:dLbls>
        <c:gapWidth val="50"/>
        <c:overlap val="100"/>
        <c:axId val="142117120"/>
        <c:axId val="142143488"/>
      </c:barChart>
      <c:catAx>
        <c:axId val="142117120"/>
        <c:scaling>
          <c:orientation val="minMax"/>
        </c:scaling>
        <c:delete val="1"/>
        <c:axPos val="l"/>
        <c:numFmt formatCode="General" sourceLinked="0"/>
        <c:majorTickMark val="none"/>
        <c:minorTickMark val="none"/>
        <c:tickLblPos val="nextTo"/>
        <c:crossAx val="142143488"/>
        <c:crossesAt val="0"/>
        <c:auto val="0"/>
        <c:lblAlgn val="ctr"/>
        <c:lblOffset val="500"/>
        <c:tickMarkSkip val="1"/>
        <c:noMultiLvlLbl val="0"/>
      </c:catAx>
      <c:valAx>
        <c:axId val="142143488"/>
        <c:scaling>
          <c:orientation val="minMax"/>
          <c:min val="0"/>
        </c:scaling>
        <c:delete val="0"/>
        <c:axPos val="b"/>
        <c:numFmt formatCode="0%" sourceLinked="1"/>
        <c:majorTickMark val="none"/>
        <c:minorTickMark val="none"/>
        <c:tickLblPos val="nextTo"/>
        <c:spPr>
          <a:ln>
            <a:solidFill>
              <a:srgbClr val="104F75"/>
            </a:solidFill>
          </a:ln>
        </c:spPr>
        <c:txPr>
          <a:bodyPr/>
          <a:lstStyle/>
          <a:p>
            <a:pPr>
              <a:defRPr sz="900">
                <a:solidFill>
                  <a:srgbClr val="104F75"/>
                </a:solidFill>
                <a:latin typeface="+mn-lt"/>
              </a:defRPr>
            </a:pPr>
            <a:endParaRPr lang="en-US"/>
          </a:p>
        </c:txPr>
        <c:crossAx val="142117120"/>
        <c:crosses val="autoZero"/>
        <c:crossBetween val="between"/>
        <c:majorUnit val="0.2"/>
      </c:valAx>
      <c:spPr>
        <a:noFill/>
        <a:ln>
          <a:noFill/>
        </a:ln>
      </c:spPr>
    </c:plotArea>
    <c:legend>
      <c:legendPos val="r"/>
      <c:layout>
        <c:manualLayout>
          <c:xMode val="edge"/>
          <c:yMode val="edge"/>
          <c:x val="2.3049265354576649E-3"/>
          <c:y val="0.84523423467408088"/>
          <c:w val="0.9761824789383845"/>
          <c:h val="0.11851877211000798"/>
        </c:manualLayout>
      </c:layout>
      <c:overlay val="0"/>
      <c:txPr>
        <a:bodyPr/>
        <a:lstStyle/>
        <a:p>
          <a:pPr>
            <a:defRPr sz="1000">
              <a:solidFill>
                <a:srgbClr val="104F75"/>
              </a:solidFill>
              <a:latin typeface="+mn-lt"/>
            </a:defRPr>
          </a:pPr>
          <a:endParaRPr lang="en-US"/>
        </a:p>
      </c:txPr>
    </c:legend>
    <c:plotVisOnly val="1"/>
    <c:dispBlanksAs val="gap"/>
    <c:showDLblsOverMax val="0"/>
  </c:chart>
  <c:spPr>
    <a:noFill/>
    <a:ln w="3175">
      <a:noFill/>
    </a:ln>
  </c:spPr>
  <c:txPr>
    <a:bodyPr/>
    <a:lstStyle/>
    <a:p>
      <a:pPr>
        <a:defRPr sz="800">
          <a:latin typeface="Century Gothic" panose="020B0502020202020204" pitchFamily="34" charset="0"/>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42880695869695E-2"/>
          <c:y val="2.034075450239349E-2"/>
          <c:w val="0.68841354217004458"/>
          <c:h val="0.94032988523493399"/>
        </c:manualLayout>
      </c:layout>
      <c:scatterChart>
        <c:scatterStyle val="lineMarker"/>
        <c:varyColors val="0"/>
        <c:ser>
          <c:idx val="3"/>
          <c:order val="0"/>
          <c:tx>
            <c:v>Region</c:v>
          </c:tx>
          <c:spPr>
            <a:ln w="28575">
              <a:noFill/>
            </a:ln>
            <a:effectLst>
              <a:outerShdw dist="38100" algn="tl" rotWithShape="0">
                <a:srgbClr val="ED974B"/>
              </a:outerShdw>
            </a:effectLst>
          </c:spPr>
          <c:marker>
            <c:symbol val="dash"/>
            <c:size val="28"/>
            <c:spPr>
              <a:solidFill>
                <a:srgbClr val="ED974B"/>
              </a:solidFill>
              <a:ln w="3175">
                <a:noFill/>
              </a:ln>
            </c:spPr>
          </c:marker>
          <c:xVal>
            <c:numRef>
              <c:f>Calculations!$M$38</c:f>
              <c:numCache>
                <c:formatCode>General</c:formatCode>
                <c:ptCount val="1"/>
                <c:pt idx="0">
                  <c:v>2</c:v>
                </c:pt>
              </c:numCache>
            </c:numRef>
          </c:xVal>
          <c:yVal>
            <c:numRef>
              <c:f>Calculations!$O$64</c:f>
              <c:numCache>
                <c:formatCode>General</c:formatCode>
                <c:ptCount val="1"/>
                <c:pt idx="0">
                  <c:v>3.427840723046681</c:v>
                </c:pt>
              </c:numCache>
            </c:numRef>
          </c:yVal>
          <c:smooth val="1"/>
          <c:extLst>
            <c:ext xmlns:c16="http://schemas.microsoft.com/office/drawing/2014/chart" uri="{C3380CC4-5D6E-409C-BE32-E72D297353CC}">
              <c16:uniqueId val="{00000000-636F-4681-A930-225020FACB5C}"/>
            </c:ext>
          </c:extLst>
        </c:ser>
        <c:ser>
          <c:idx val="0"/>
          <c:order val="2"/>
          <c:spPr>
            <a:ln w="28575">
              <a:noFill/>
            </a:ln>
          </c:spPr>
          <c:marker>
            <c:symbol val="square"/>
            <c:size val="25"/>
            <c:spPr>
              <a:solidFill>
                <a:schemeClr val="bg1">
                  <a:lumMod val="85000"/>
                </a:schemeClr>
              </a:solidFill>
              <a:ln w="6350">
                <a:noFill/>
              </a:ln>
            </c:spPr>
          </c:marker>
          <c:xVal>
            <c:numRef>
              <c:f>Calculations!$K$38:$K$42</c:f>
              <c:numCache>
                <c:formatCode>General</c:formatCode>
                <c:ptCount val="5"/>
                <c:pt idx="0">
                  <c:v>1</c:v>
                </c:pt>
                <c:pt idx="1">
                  <c:v>1</c:v>
                </c:pt>
                <c:pt idx="2">
                  <c:v>1</c:v>
                </c:pt>
                <c:pt idx="3">
                  <c:v>1</c:v>
                </c:pt>
                <c:pt idx="4">
                  <c:v>1</c:v>
                </c:pt>
              </c:numCache>
            </c:numRef>
          </c:xVal>
          <c:yVal>
            <c:numRef>
              <c:f>Calculations!$L$38:$L$42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2-636F-4681-A930-225020FACB5C}"/>
            </c:ext>
          </c:extLst>
        </c:ser>
        <c:ser>
          <c:idx val="1"/>
          <c:order val="3"/>
          <c:spPr>
            <a:ln w="28575">
              <a:noFill/>
            </a:ln>
          </c:spPr>
          <c:marker>
            <c:symbol val="square"/>
            <c:size val="25"/>
            <c:spPr>
              <a:solidFill>
                <a:srgbClr val="104F75"/>
              </a:solidFill>
              <a:ln w="15875">
                <a:noFill/>
              </a:ln>
            </c:spPr>
          </c:marker>
          <c:xVal>
            <c:numRef>
              <c:f>Calculations!$K$38</c:f>
              <c:numCache>
                <c:formatCode>General</c:formatCode>
                <c:ptCount val="1"/>
                <c:pt idx="0">
                  <c:v>1</c:v>
                </c:pt>
              </c:numCache>
            </c:numRef>
          </c:xVal>
          <c:yVal>
            <c:numRef>
              <c:f>Calculations!$K$45</c:f>
              <c:numCache>
                <c:formatCode>General</c:formatCode>
                <c:ptCount val="1"/>
                <c:pt idx="0">
                  <c:v>-1</c:v>
                </c:pt>
              </c:numCache>
            </c:numRef>
          </c:yVal>
          <c:smooth val="0"/>
          <c:extLst>
            <c:ext xmlns:c16="http://schemas.microsoft.com/office/drawing/2014/chart" uri="{C3380CC4-5D6E-409C-BE32-E72D297353CC}">
              <c16:uniqueId val="{00000003-636F-4681-A930-225020FACB5C}"/>
            </c:ext>
          </c:extLst>
        </c:ser>
        <c:ser>
          <c:idx val="4"/>
          <c:order val="4"/>
          <c:spPr>
            <a:ln w="28575">
              <a:noFill/>
            </a:ln>
          </c:spPr>
          <c:marker>
            <c:symbol val="dash"/>
            <c:size val="28"/>
            <c:spPr>
              <a:solidFill>
                <a:srgbClr val="104F75"/>
              </a:solidFill>
              <a:ln w="15875">
                <a:noFill/>
              </a:ln>
            </c:spPr>
          </c:marker>
          <c:dPt>
            <c:idx val="0"/>
            <c:bubble3D val="0"/>
            <c:extLst>
              <c:ext xmlns:c16="http://schemas.microsoft.com/office/drawing/2014/chart" uri="{C3380CC4-5D6E-409C-BE32-E72D297353CC}">
                <c16:uniqueId val="{00000006-0DC0-4D06-A116-ABF21D2BD8EB}"/>
              </c:ext>
            </c:extLst>
          </c:dPt>
          <c:xVal>
            <c:numRef>
              <c:f>Calculations!$M$38</c:f>
              <c:numCache>
                <c:formatCode>General</c:formatCode>
                <c:ptCount val="1"/>
                <c:pt idx="0">
                  <c:v>2</c:v>
                </c:pt>
              </c:numCache>
            </c:numRef>
          </c:xVal>
          <c:yVal>
            <c:numRef>
              <c:f>Calculations!$K$64</c:f>
              <c:numCache>
                <c:formatCode>General</c:formatCode>
                <c:ptCount val="1"/>
                <c:pt idx="0">
                  <c:v>-1</c:v>
                </c:pt>
              </c:numCache>
            </c:numRef>
          </c:yVal>
          <c:smooth val="0"/>
          <c:extLst>
            <c:ext xmlns:c16="http://schemas.microsoft.com/office/drawing/2014/chart" uri="{C3380CC4-5D6E-409C-BE32-E72D297353CC}">
              <c16:uniqueId val="{00000004-636F-4681-A930-225020FACB5C}"/>
            </c:ext>
          </c:extLst>
        </c:ser>
        <c:dLbls>
          <c:showLegendKey val="0"/>
          <c:showVal val="0"/>
          <c:showCatName val="0"/>
          <c:showSerName val="0"/>
          <c:showPercent val="0"/>
          <c:showBubbleSize val="0"/>
        </c:dLbls>
        <c:axId val="141854208"/>
        <c:axId val="141855744"/>
        <c:extLst>
          <c:ext xmlns:c15="http://schemas.microsoft.com/office/drawing/2012/chart" uri="{02D57815-91ED-43cb-92C2-25804820EDAC}">
            <c15:filteredScatterSeries>
              <c15:ser>
                <c:idx val="2"/>
                <c:order val="1"/>
                <c:tx>
                  <c:v>Stats</c:v>
                </c:tx>
                <c:spPr>
                  <a:ln w="28575">
                    <a:noFill/>
                  </a:ln>
                  <a:effectLst>
                    <a:outerShdw dist="12700" algn="tl" rotWithShape="0">
                      <a:srgbClr val="CEB536"/>
                    </a:outerShdw>
                  </a:effectLst>
                </c:spPr>
                <c:marker>
                  <c:symbol val="dot"/>
                  <c:size val="22"/>
                  <c:spPr>
                    <a:solidFill>
                      <a:srgbClr val="CEB536"/>
                    </a:solidFill>
                    <a:ln w="12700">
                      <a:noFill/>
                      <a:tailEnd type="none"/>
                    </a:ln>
                    <a:effectLst>
                      <a:outerShdw dist="12700" algn="tl" rotWithShape="0">
                        <a:srgbClr val="CEB536"/>
                      </a:outerShdw>
                    </a:effectLst>
                  </c:spPr>
                </c:marker>
                <c:xVal>
                  <c:numRef>
                    <c:extLst>
                      <c:ext uri="{02D57815-91ED-43cb-92C2-25804820EDAC}">
                        <c15:formulaRef>
                          <c15:sqref>Calculations!$M$38</c15:sqref>
                        </c15:formulaRef>
                      </c:ext>
                    </c:extLst>
                    <c:numCache>
                      <c:formatCode>General</c:formatCode>
                      <c:ptCount val="1"/>
                      <c:pt idx="0">
                        <c:v>2</c:v>
                      </c:pt>
                    </c:numCache>
                  </c:numRef>
                </c:xVal>
                <c:yVal>
                  <c:numRef>
                    <c:extLst>
                      <c:ext uri="{02D57815-91ED-43cb-92C2-25804820EDAC}">
                        <c15:formulaRef>
                          <c15:sqref>Calculations!#REF!</c15:sqref>
                        </c15:formulaRef>
                      </c:ext>
                    </c:extLst>
                    <c:numCache>
                      <c:formatCode>General</c:formatCode>
                      <c:ptCount val="1"/>
                      <c:pt idx="0">
                        <c:v>1</c:v>
                      </c:pt>
                    </c:numCache>
                  </c:numRef>
                </c:yVal>
                <c:smooth val="0"/>
                <c:extLst>
                  <c:ext xmlns:c16="http://schemas.microsoft.com/office/drawing/2014/chart" uri="{C3380CC4-5D6E-409C-BE32-E72D297353CC}">
                    <c16:uniqueId val="{00000001-636F-4681-A930-225020FACB5C}"/>
                  </c:ext>
                </c:extLst>
              </c15:ser>
            </c15:filteredScatterSeries>
          </c:ext>
        </c:extLst>
      </c:scatterChart>
      <c:valAx>
        <c:axId val="141854208"/>
        <c:scaling>
          <c:orientation val="minMax"/>
        </c:scaling>
        <c:delete val="1"/>
        <c:axPos val="b"/>
        <c:numFmt formatCode="General" sourceLinked="1"/>
        <c:majorTickMark val="out"/>
        <c:minorTickMark val="none"/>
        <c:tickLblPos val="nextTo"/>
        <c:crossAx val="141855744"/>
        <c:crosses val="autoZero"/>
        <c:crossBetween val="midCat"/>
      </c:valAx>
      <c:valAx>
        <c:axId val="141855744"/>
        <c:scaling>
          <c:orientation val="minMax"/>
          <c:max val="5.5"/>
          <c:min val="0.5"/>
        </c:scaling>
        <c:delete val="1"/>
        <c:axPos val="l"/>
        <c:numFmt formatCode="General" sourceLinked="1"/>
        <c:majorTickMark val="out"/>
        <c:minorTickMark val="none"/>
        <c:tickLblPos val="nextTo"/>
        <c:crossAx val="141854208"/>
        <c:crosses val="autoZero"/>
        <c:crossBetween val="midCat"/>
      </c:valAx>
      <c:spPr>
        <a:noFill/>
      </c:spPr>
    </c:plotArea>
    <c:plotVisOnly val="1"/>
    <c:dispBlanksAs val="gap"/>
    <c:showDLblsOverMax val="0"/>
  </c:chart>
  <c:spPr>
    <a:noFill/>
    <a:ln w="1270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339738880511413E-2"/>
          <c:y val="5.2725280121084191E-2"/>
          <c:w val="0.77511148487543324"/>
          <c:h val="0.91553565346316446"/>
        </c:manualLayout>
      </c:layout>
      <c:scatterChart>
        <c:scatterStyle val="lineMarker"/>
        <c:varyColors val="0"/>
        <c:ser>
          <c:idx val="3"/>
          <c:order val="0"/>
          <c:tx>
            <c:v>Region</c:v>
          </c:tx>
          <c:spPr>
            <a:ln w="28575">
              <a:noFill/>
            </a:ln>
            <a:effectLst>
              <a:outerShdw dist="38100" algn="ctr" rotWithShape="0">
                <a:srgbClr val="ED974B"/>
              </a:outerShdw>
            </a:effectLst>
          </c:spPr>
          <c:marker>
            <c:symbol val="dash"/>
            <c:size val="28"/>
            <c:spPr>
              <a:solidFill>
                <a:srgbClr val="ED974B"/>
              </a:solidFill>
              <a:ln w="9525">
                <a:noFill/>
              </a:ln>
              <a:effectLst>
                <a:outerShdw dist="38100" algn="ctr" rotWithShape="0">
                  <a:srgbClr val="ED974B"/>
                </a:outerShdw>
              </a:effectLst>
            </c:spPr>
          </c:marker>
          <c:xVal>
            <c:numRef>
              <c:f>Calculations!$M$38</c:f>
              <c:numCache>
                <c:formatCode>General</c:formatCode>
                <c:ptCount val="1"/>
                <c:pt idx="0">
                  <c:v>2</c:v>
                </c:pt>
              </c:numCache>
            </c:numRef>
          </c:xVal>
          <c:yVal>
            <c:numRef>
              <c:f>Calculations!$P$64</c:f>
              <c:numCache>
                <c:formatCode>General</c:formatCode>
                <c:ptCount val="1"/>
                <c:pt idx="0">
                  <c:v>3.7002944437602894</c:v>
                </c:pt>
              </c:numCache>
            </c:numRef>
          </c:yVal>
          <c:smooth val="0"/>
          <c:extLst>
            <c:ext xmlns:c16="http://schemas.microsoft.com/office/drawing/2014/chart" uri="{C3380CC4-5D6E-409C-BE32-E72D297353CC}">
              <c16:uniqueId val="{00000000-507E-4588-9EB3-B35112A8E8CB}"/>
            </c:ext>
          </c:extLst>
        </c:ser>
        <c:ser>
          <c:idx val="0"/>
          <c:order val="2"/>
          <c:spPr>
            <a:ln w="28575">
              <a:noFill/>
            </a:ln>
          </c:spPr>
          <c:marker>
            <c:symbol val="square"/>
            <c:size val="25"/>
            <c:spPr>
              <a:solidFill>
                <a:schemeClr val="bg1">
                  <a:lumMod val="85000"/>
                </a:schemeClr>
              </a:solidFill>
              <a:ln w="6350">
                <a:noFill/>
              </a:ln>
            </c:spPr>
          </c:marker>
          <c:xVal>
            <c:numRef>
              <c:f>Calculations!$K$38:$K$42</c:f>
              <c:numCache>
                <c:formatCode>General</c:formatCode>
                <c:ptCount val="5"/>
                <c:pt idx="0">
                  <c:v>1</c:v>
                </c:pt>
                <c:pt idx="1">
                  <c:v>1</c:v>
                </c:pt>
                <c:pt idx="2">
                  <c:v>1</c:v>
                </c:pt>
                <c:pt idx="3">
                  <c:v>1</c:v>
                </c:pt>
                <c:pt idx="4">
                  <c:v>1</c:v>
                </c:pt>
              </c:numCache>
            </c:numRef>
          </c:xVal>
          <c:yVal>
            <c:numRef>
              <c:f>Calculations!$L$38:$L$42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2-507E-4588-9EB3-B35112A8E8CB}"/>
            </c:ext>
          </c:extLst>
        </c:ser>
        <c:ser>
          <c:idx val="1"/>
          <c:order val="3"/>
          <c:spPr>
            <a:ln w="28575">
              <a:noFill/>
            </a:ln>
          </c:spPr>
          <c:marker>
            <c:symbol val="square"/>
            <c:size val="25"/>
            <c:spPr>
              <a:solidFill>
                <a:srgbClr val="104F75"/>
              </a:solidFill>
              <a:ln w="15875">
                <a:noFill/>
              </a:ln>
            </c:spPr>
          </c:marker>
          <c:xVal>
            <c:numRef>
              <c:f>Calculations!$K$38</c:f>
              <c:numCache>
                <c:formatCode>General</c:formatCode>
                <c:ptCount val="1"/>
                <c:pt idx="0">
                  <c:v>1</c:v>
                </c:pt>
              </c:numCache>
            </c:numRef>
          </c:xVal>
          <c:yVal>
            <c:numRef>
              <c:f>Calculations!$L$45</c:f>
              <c:numCache>
                <c:formatCode>General</c:formatCode>
                <c:ptCount val="1"/>
                <c:pt idx="0">
                  <c:v>-1</c:v>
                </c:pt>
              </c:numCache>
            </c:numRef>
          </c:yVal>
          <c:smooth val="0"/>
          <c:extLst>
            <c:ext xmlns:c16="http://schemas.microsoft.com/office/drawing/2014/chart" uri="{C3380CC4-5D6E-409C-BE32-E72D297353CC}">
              <c16:uniqueId val="{00000003-507E-4588-9EB3-B35112A8E8CB}"/>
            </c:ext>
          </c:extLst>
        </c:ser>
        <c:ser>
          <c:idx val="4"/>
          <c:order val="4"/>
          <c:spPr>
            <a:ln w="28575">
              <a:noFill/>
            </a:ln>
          </c:spPr>
          <c:marker>
            <c:symbol val="dash"/>
            <c:size val="28"/>
            <c:spPr>
              <a:solidFill>
                <a:srgbClr val="104F75"/>
              </a:solidFill>
              <a:ln w="15875">
                <a:noFill/>
              </a:ln>
            </c:spPr>
          </c:marker>
          <c:dPt>
            <c:idx val="0"/>
            <c:marker>
              <c:spPr>
                <a:solidFill>
                  <a:srgbClr val="104F75"/>
                </a:solidFill>
                <a:ln w="3175">
                  <a:noFill/>
                </a:ln>
              </c:spPr>
            </c:marker>
            <c:bubble3D val="0"/>
            <c:extLst>
              <c:ext xmlns:c16="http://schemas.microsoft.com/office/drawing/2014/chart" uri="{C3380CC4-5D6E-409C-BE32-E72D297353CC}">
                <c16:uniqueId val="{00000000-6E66-4A9F-B057-966846BA7118}"/>
              </c:ext>
            </c:extLst>
          </c:dPt>
          <c:xVal>
            <c:numRef>
              <c:f>Calculations!$M$38</c:f>
              <c:numCache>
                <c:formatCode>General</c:formatCode>
                <c:ptCount val="1"/>
                <c:pt idx="0">
                  <c:v>2</c:v>
                </c:pt>
              </c:numCache>
            </c:numRef>
          </c:xVal>
          <c:yVal>
            <c:numRef>
              <c:f>Calculations!$L$64</c:f>
              <c:numCache>
                <c:formatCode>General</c:formatCode>
                <c:ptCount val="1"/>
                <c:pt idx="0">
                  <c:v>-1</c:v>
                </c:pt>
              </c:numCache>
            </c:numRef>
          </c:yVal>
          <c:smooth val="0"/>
          <c:extLst>
            <c:ext xmlns:c16="http://schemas.microsoft.com/office/drawing/2014/chart" uri="{C3380CC4-5D6E-409C-BE32-E72D297353CC}">
              <c16:uniqueId val="{00000004-507E-4588-9EB3-B35112A8E8CB}"/>
            </c:ext>
          </c:extLst>
        </c:ser>
        <c:dLbls>
          <c:showLegendKey val="0"/>
          <c:showVal val="0"/>
          <c:showCatName val="0"/>
          <c:showSerName val="0"/>
          <c:showPercent val="0"/>
          <c:showBubbleSize val="0"/>
        </c:dLbls>
        <c:axId val="141910784"/>
        <c:axId val="141912704"/>
        <c:extLst>
          <c:ext xmlns:c15="http://schemas.microsoft.com/office/drawing/2012/chart" uri="{02D57815-91ED-43cb-92C2-25804820EDAC}">
            <c15:filteredScatterSeries>
              <c15:ser>
                <c:idx val="2"/>
                <c:order val="1"/>
                <c:tx>
                  <c:v>Stats</c:v>
                </c:tx>
                <c:spPr>
                  <a:ln w="28575">
                    <a:noFill/>
                  </a:ln>
                  <a:effectLst>
                    <a:outerShdw dist="12700" algn="ctr" rotWithShape="0">
                      <a:srgbClr val="CEB536"/>
                    </a:outerShdw>
                  </a:effectLst>
                </c:spPr>
                <c:marker>
                  <c:symbol val="dot"/>
                  <c:size val="22"/>
                  <c:spPr>
                    <a:solidFill>
                      <a:srgbClr val="CEB536"/>
                    </a:solidFill>
                    <a:ln w="9525">
                      <a:noFill/>
                    </a:ln>
                    <a:effectLst>
                      <a:outerShdw dist="12700" algn="ctr" rotWithShape="0">
                        <a:srgbClr val="CEB536"/>
                      </a:outerShdw>
                    </a:effectLst>
                  </c:spPr>
                </c:marker>
                <c:xVal>
                  <c:numRef>
                    <c:extLst>
                      <c:ext uri="{02D57815-91ED-43cb-92C2-25804820EDAC}">
                        <c15:formulaRef>
                          <c15:sqref>Calculations!$M$38</c15:sqref>
                        </c15:formulaRef>
                      </c:ext>
                    </c:extLst>
                    <c:numCache>
                      <c:formatCode>General</c:formatCode>
                      <c:ptCount val="1"/>
                      <c:pt idx="0">
                        <c:v>2</c:v>
                      </c:pt>
                    </c:numCache>
                  </c:numRef>
                </c:xVal>
                <c:yVal>
                  <c:numRef>
                    <c:extLst>
                      <c:ext uri="{02D57815-91ED-43cb-92C2-25804820EDAC}">
                        <c15:formulaRef>
                          <c15:sqref>Calculations!#REF!</c15:sqref>
                        </c15:formulaRef>
                      </c:ext>
                    </c:extLst>
                    <c:numCache>
                      <c:formatCode>General</c:formatCode>
                      <c:ptCount val="1"/>
                      <c:pt idx="0">
                        <c:v>1</c:v>
                      </c:pt>
                    </c:numCache>
                  </c:numRef>
                </c:yVal>
                <c:smooth val="0"/>
                <c:extLst>
                  <c:ext xmlns:c16="http://schemas.microsoft.com/office/drawing/2014/chart" uri="{C3380CC4-5D6E-409C-BE32-E72D297353CC}">
                    <c16:uniqueId val="{00000001-507E-4588-9EB3-B35112A8E8CB}"/>
                  </c:ext>
                </c:extLst>
              </c15:ser>
            </c15:filteredScatterSeries>
          </c:ext>
        </c:extLst>
      </c:scatterChart>
      <c:valAx>
        <c:axId val="141910784"/>
        <c:scaling>
          <c:orientation val="minMax"/>
        </c:scaling>
        <c:delete val="1"/>
        <c:axPos val="b"/>
        <c:numFmt formatCode="General" sourceLinked="1"/>
        <c:majorTickMark val="out"/>
        <c:minorTickMark val="none"/>
        <c:tickLblPos val="nextTo"/>
        <c:crossAx val="141912704"/>
        <c:crosses val="autoZero"/>
        <c:crossBetween val="midCat"/>
      </c:valAx>
      <c:valAx>
        <c:axId val="141912704"/>
        <c:scaling>
          <c:orientation val="minMax"/>
          <c:max val="5.5"/>
          <c:min val="0.5"/>
        </c:scaling>
        <c:delete val="1"/>
        <c:axPos val="l"/>
        <c:numFmt formatCode="General" sourceLinked="1"/>
        <c:majorTickMark val="out"/>
        <c:minorTickMark val="none"/>
        <c:tickLblPos val="nextTo"/>
        <c:crossAx val="141910784"/>
        <c:crosses val="autoZero"/>
        <c:crossBetween val="midCat"/>
      </c:valAx>
      <c:spPr>
        <a:noFill/>
      </c:spPr>
    </c:plotArea>
    <c:plotVisOnly val="1"/>
    <c:dispBlanksAs val="gap"/>
    <c:showDLblsOverMax val="0"/>
  </c:chart>
  <c:spPr>
    <a:noFill/>
    <a:ln w="1270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88361373093113E-3"/>
          <c:y val="5.9917695473251029E-3"/>
          <c:w val="0.66672510271497354"/>
          <c:h val="0.92349332770185322"/>
        </c:manualLayout>
      </c:layout>
      <c:scatterChart>
        <c:scatterStyle val="lineMarker"/>
        <c:varyColors val="0"/>
        <c:ser>
          <c:idx val="3"/>
          <c:order val="0"/>
          <c:tx>
            <c:v>Region</c:v>
          </c:tx>
          <c:spPr>
            <a:ln w="28575">
              <a:noFill/>
            </a:ln>
            <a:effectLst>
              <a:outerShdw dist="25400" algn="ctr" rotWithShape="0">
                <a:srgbClr val="ED974B"/>
              </a:outerShdw>
            </a:effectLst>
          </c:spPr>
          <c:marker>
            <c:symbol val="dash"/>
            <c:size val="28"/>
            <c:spPr>
              <a:solidFill>
                <a:srgbClr val="ED974B"/>
              </a:solidFill>
              <a:ln>
                <a:noFill/>
              </a:ln>
            </c:spPr>
          </c:marker>
          <c:dPt>
            <c:idx val="0"/>
            <c:bubble3D val="0"/>
            <c:spPr>
              <a:ln w="28575">
                <a:noFill/>
              </a:ln>
              <a:effectLst>
                <a:outerShdw dist="38100" algn="ctr" rotWithShape="0">
                  <a:srgbClr val="ED974B"/>
                </a:outerShdw>
              </a:effectLst>
            </c:spPr>
            <c:extLst>
              <c:ext xmlns:c16="http://schemas.microsoft.com/office/drawing/2014/chart" uri="{C3380CC4-5D6E-409C-BE32-E72D297353CC}">
                <c16:uniqueId val="{00000001-F8E6-4703-B820-664FCE3E0154}"/>
              </c:ext>
            </c:extLst>
          </c:dPt>
          <c:xVal>
            <c:numRef>
              <c:f>Calculations!$M$38</c:f>
              <c:numCache>
                <c:formatCode>General</c:formatCode>
                <c:ptCount val="1"/>
                <c:pt idx="0">
                  <c:v>2</c:v>
                </c:pt>
              </c:numCache>
            </c:numRef>
          </c:xVal>
          <c:yVal>
            <c:numRef>
              <c:f>Calculations!$Q$64</c:f>
              <c:numCache>
                <c:formatCode>General</c:formatCode>
                <c:ptCount val="1"/>
                <c:pt idx="0">
                  <c:v>3.2113326311896073</c:v>
                </c:pt>
              </c:numCache>
            </c:numRef>
          </c:yVal>
          <c:smooth val="0"/>
          <c:extLst>
            <c:ext xmlns:c16="http://schemas.microsoft.com/office/drawing/2014/chart" uri="{C3380CC4-5D6E-409C-BE32-E72D297353CC}">
              <c16:uniqueId val="{00000002-F8E6-4703-B820-664FCE3E0154}"/>
            </c:ext>
          </c:extLst>
        </c:ser>
        <c:ser>
          <c:idx val="0"/>
          <c:order val="2"/>
          <c:spPr>
            <a:ln w="28575">
              <a:noFill/>
            </a:ln>
          </c:spPr>
          <c:marker>
            <c:symbol val="square"/>
            <c:size val="25"/>
            <c:spPr>
              <a:solidFill>
                <a:schemeClr val="bg1">
                  <a:lumMod val="85000"/>
                </a:schemeClr>
              </a:solidFill>
              <a:ln w="6350">
                <a:noFill/>
              </a:ln>
            </c:spPr>
          </c:marker>
          <c:xVal>
            <c:numRef>
              <c:f>Calculations!$K$38:$K$42</c:f>
              <c:numCache>
                <c:formatCode>General</c:formatCode>
                <c:ptCount val="5"/>
                <c:pt idx="0">
                  <c:v>1</c:v>
                </c:pt>
                <c:pt idx="1">
                  <c:v>1</c:v>
                </c:pt>
                <c:pt idx="2">
                  <c:v>1</c:v>
                </c:pt>
                <c:pt idx="3">
                  <c:v>1</c:v>
                </c:pt>
                <c:pt idx="4">
                  <c:v>1</c:v>
                </c:pt>
              </c:numCache>
            </c:numRef>
          </c:xVal>
          <c:yVal>
            <c:numRef>
              <c:f>Calculations!$L$38:$L$42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4-F8E6-4703-B820-664FCE3E0154}"/>
            </c:ext>
          </c:extLst>
        </c:ser>
        <c:ser>
          <c:idx val="1"/>
          <c:order val="3"/>
          <c:spPr>
            <a:ln w="28575">
              <a:noFill/>
            </a:ln>
          </c:spPr>
          <c:marker>
            <c:symbol val="square"/>
            <c:size val="25"/>
            <c:spPr>
              <a:solidFill>
                <a:srgbClr val="104F75"/>
              </a:solidFill>
              <a:ln w="15875">
                <a:noFill/>
              </a:ln>
            </c:spPr>
          </c:marker>
          <c:xVal>
            <c:numRef>
              <c:f>Calculations!$K$38</c:f>
              <c:numCache>
                <c:formatCode>General</c:formatCode>
                <c:ptCount val="1"/>
                <c:pt idx="0">
                  <c:v>1</c:v>
                </c:pt>
              </c:numCache>
            </c:numRef>
          </c:xVal>
          <c:yVal>
            <c:numRef>
              <c:f>Calculations!$M$45</c:f>
              <c:numCache>
                <c:formatCode>General</c:formatCode>
                <c:ptCount val="1"/>
                <c:pt idx="0">
                  <c:v>-1</c:v>
                </c:pt>
              </c:numCache>
            </c:numRef>
          </c:yVal>
          <c:smooth val="0"/>
          <c:extLst>
            <c:ext xmlns:c16="http://schemas.microsoft.com/office/drawing/2014/chart" uri="{C3380CC4-5D6E-409C-BE32-E72D297353CC}">
              <c16:uniqueId val="{00000005-F8E6-4703-B820-664FCE3E0154}"/>
            </c:ext>
          </c:extLst>
        </c:ser>
        <c:ser>
          <c:idx val="4"/>
          <c:order val="4"/>
          <c:spPr>
            <a:ln w="28575">
              <a:noFill/>
            </a:ln>
          </c:spPr>
          <c:marker>
            <c:symbol val="dash"/>
            <c:size val="28"/>
            <c:spPr>
              <a:solidFill>
                <a:srgbClr val="104F75"/>
              </a:solidFill>
              <a:ln w="15875">
                <a:noFill/>
              </a:ln>
            </c:spPr>
          </c:marker>
          <c:xVal>
            <c:numRef>
              <c:f>Calculations!$M$38</c:f>
              <c:numCache>
                <c:formatCode>General</c:formatCode>
                <c:ptCount val="1"/>
                <c:pt idx="0">
                  <c:v>2</c:v>
                </c:pt>
              </c:numCache>
            </c:numRef>
          </c:xVal>
          <c:yVal>
            <c:numRef>
              <c:f>Calculations!$M$64</c:f>
              <c:numCache>
                <c:formatCode>General</c:formatCode>
                <c:ptCount val="1"/>
                <c:pt idx="0">
                  <c:v>-1</c:v>
                </c:pt>
              </c:numCache>
            </c:numRef>
          </c:yVal>
          <c:smooth val="0"/>
          <c:extLst>
            <c:ext xmlns:c16="http://schemas.microsoft.com/office/drawing/2014/chart" uri="{C3380CC4-5D6E-409C-BE32-E72D297353CC}">
              <c16:uniqueId val="{00000006-F8E6-4703-B820-664FCE3E0154}"/>
            </c:ext>
          </c:extLst>
        </c:ser>
        <c:dLbls>
          <c:showLegendKey val="0"/>
          <c:showVal val="0"/>
          <c:showCatName val="0"/>
          <c:showSerName val="0"/>
          <c:showPercent val="0"/>
          <c:showBubbleSize val="0"/>
        </c:dLbls>
        <c:axId val="141952128"/>
        <c:axId val="141954048"/>
        <c:extLst>
          <c:ext xmlns:c15="http://schemas.microsoft.com/office/drawing/2012/chart" uri="{02D57815-91ED-43cb-92C2-25804820EDAC}">
            <c15:filteredScatterSeries>
              <c15:ser>
                <c:idx val="2"/>
                <c:order val="1"/>
                <c:tx>
                  <c:v>Stats</c:v>
                </c:tx>
                <c:spPr>
                  <a:ln w="28575">
                    <a:noFill/>
                  </a:ln>
                  <a:effectLst>
                    <a:outerShdw dist="12700" algn="ctr" rotWithShape="0">
                      <a:srgbClr val="CEB536"/>
                    </a:outerShdw>
                  </a:effectLst>
                </c:spPr>
                <c:marker>
                  <c:symbol val="dot"/>
                  <c:size val="22"/>
                  <c:spPr>
                    <a:solidFill>
                      <a:srgbClr val="CEB536"/>
                    </a:solidFill>
                    <a:ln w="9525">
                      <a:noFill/>
                    </a:ln>
                    <a:effectLst>
                      <a:outerShdw dist="12700" algn="ctr" rotWithShape="0">
                        <a:srgbClr val="CEB536"/>
                      </a:outerShdw>
                    </a:effectLst>
                  </c:spPr>
                </c:marker>
                <c:xVal>
                  <c:numRef>
                    <c:extLst>
                      <c:ext uri="{02D57815-91ED-43cb-92C2-25804820EDAC}">
                        <c15:formulaRef>
                          <c15:sqref>Calculations!$M$38</c15:sqref>
                        </c15:formulaRef>
                      </c:ext>
                    </c:extLst>
                    <c:numCache>
                      <c:formatCode>General</c:formatCode>
                      <c:ptCount val="1"/>
                      <c:pt idx="0">
                        <c:v>2</c:v>
                      </c:pt>
                    </c:numCache>
                  </c:numRef>
                </c:xVal>
                <c:yVal>
                  <c:numRef>
                    <c:extLst>
                      <c:ext uri="{02D57815-91ED-43cb-92C2-25804820EDAC}">
                        <c15:formulaRef>
                          <c15:sqref>Calculations!#REF!</c15:sqref>
                        </c15:formulaRef>
                      </c:ext>
                    </c:extLst>
                    <c:numCache>
                      <c:formatCode>General</c:formatCode>
                      <c:ptCount val="1"/>
                      <c:pt idx="0">
                        <c:v>1</c:v>
                      </c:pt>
                    </c:numCache>
                  </c:numRef>
                </c:yVal>
                <c:smooth val="0"/>
                <c:extLst>
                  <c:ext xmlns:c16="http://schemas.microsoft.com/office/drawing/2014/chart" uri="{C3380CC4-5D6E-409C-BE32-E72D297353CC}">
                    <c16:uniqueId val="{00000003-F8E6-4703-B820-664FCE3E0154}"/>
                  </c:ext>
                </c:extLst>
              </c15:ser>
            </c15:filteredScatterSeries>
          </c:ext>
        </c:extLst>
      </c:scatterChart>
      <c:valAx>
        <c:axId val="141952128"/>
        <c:scaling>
          <c:orientation val="minMax"/>
        </c:scaling>
        <c:delete val="1"/>
        <c:axPos val="b"/>
        <c:numFmt formatCode="General" sourceLinked="1"/>
        <c:majorTickMark val="out"/>
        <c:minorTickMark val="none"/>
        <c:tickLblPos val="nextTo"/>
        <c:crossAx val="141954048"/>
        <c:crosses val="autoZero"/>
        <c:crossBetween val="midCat"/>
      </c:valAx>
      <c:valAx>
        <c:axId val="141954048"/>
        <c:scaling>
          <c:orientation val="minMax"/>
          <c:max val="5.5"/>
          <c:min val="0.5"/>
        </c:scaling>
        <c:delete val="1"/>
        <c:axPos val="l"/>
        <c:numFmt formatCode="General" sourceLinked="1"/>
        <c:majorTickMark val="out"/>
        <c:minorTickMark val="none"/>
        <c:tickLblPos val="nextTo"/>
        <c:crossAx val="141952128"/>
        <c:crosses val="autoZero"/>
        <c:crossBetween val="midCat"/>
      </c:valAx>
      <c:spPr>
        <a:noFill/>
      </c:spPr>
    </c:plotArea>
    <c:plotVisOnly val="1"/>
    <c:dispBlanksAs val="gap"/>
    <c:showDLblsOverMax val="0"/>
  </c:chart>
  <c:spPr>
    <a:noFill/>
    <a:ln w="1270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3" Type="http://schemas.openxmlformats.org/officeDocument/2006/relationships/image" Target="../media/image39.emf"/><Relationship Id="rId18" Type="http://schemas.openxmlformats.org/officeDocument/2006/relationships/image" Target="../media/image34.emf"/><Relationship Id="rId26" Type="http://schemas.openxmlformats.org/officeDocument/2006/relationships/image" Target="../media/image26.emf"/><Relationship Id="rId39" Type="http://schemas.openxmlformats.org/officeDocument/2006/relationships/image" Target="../media/image13.emf"/><Relationship Id="rId21" Type="http://schemas.openxmlformats.org/officeDocument/2006/relationships/image" Target="../media/image31.emf"/><Relationship Id="rId34" Type="http://schemas.openxmlformats.org/officeDocument/2006/relationships/image" Target="../media/image18.emf"/><Relationship Id="rId42" Type="http://schemas.openxmlformats.org/officeDocument/2006/relationships/image" Target="../media/image10.emf"/><Relationship Id="rId47" Type="http://schemas.openxmlformats.org/officeDocument/2006/relationships/image" Target="../media/image5.emf"/><Relationship Id="rId7" Type="http://schemas.openxmlformats.org/officeDocument/2006/relationships/image" Target="../media/image45.emf"/><Relationship Id="rId2" Type="http://schemas.openxmlformats.org/officeDocument/2006/relationships/image" Target="../media/image50.emf"/><Relationship Id="rId16" Type="http://schemas.openxmlformats.org/officeDocument/2006/relationships/image" Target="../media/image36.emf"/><Relationship Id="rId29" Type="http://schemas.openxmlformats.org/officeDocument/2006/relationships/image" Target="../media/image23.emf"/><Relationship Id="rId1" Type="http://schemas.openxmlformats.org/officeDocument/2006/relationships/image" Target="../media/image51.emf"/><Relationship Id="rId6" Type="http://schemas.openxmlformats.org/officeDocument/2006/relationships/image" Target="../media/image46.emf"/><Relationship Id="rId11" Type="http://schemas.openxmlformats.org/officeDocument/2006/relationships/image" Target="../media/image41.emf"/><Relationship Id="rId24" Type="http://schemas.openxmlformats.org/officeDocument/2006/relationships/image" Target="../media/image28.emf"/><Relationship Id="rId32" Type="http://schemas.openxmlformats.org/officeDocument/2006/relationships/image" Target="../media/image20.emf"/><Relationship Id="rId37" Type="http://schemas.openxmlformats.org/officeDocument/2006/relationships/image" Target="../media/image15.emf"/><Relationship Id="rId40" Type="http://schemas.openxmlformats.org/officeDocument/2006/relationships/image" Target="../media/image12.emf"/><Relationship Id="rId45" Type="http://schemas.openxmlformats.org/officeDocument/2006/relationships/image" Target="../media/image7.emf"/><Relationship Id="rId5" Type="http://schemas.openxmlformats.org/officeDocument/2006/relationships/image" Target="../media/image47.emf"/><Relationship Id="rId15" Type="http://schemas.openxmlformats.org/officeDocument/2006/relationships/image" Target="../media/image37.emf"/><Relationship Id="rId23" Type="http://schemas.openxmlformats.org/officeDocument/2006/relationships/image" Target="../media/image29.emf"/><Relationship Id="rId28" Type="http://schemas.openxmlformats.org/officeDocument/2006/relationships/image" Target="../media/image24.emf"/><Relationship Id="rId36" Type="http://schemas.openxmlformats.org/officeDocument/2006/relationships/image" Target="../media/image16.emf"/><Relationship Id="rId10" Type="http://schemas.openxmlformats.org/officeDocument/2006/relationships/image" Target="../media/image42.emf"/><Relationship Id="rId19" Type="http://schemas.openxmlformats.org/officeDocument/2006/relationships/image" Target="../media/image33.emf"/><Relationship Id="rId31" Type="http://schemas.openxmlformats.org/officeDocument/2006/relationships/image" Target="../media/image21.emf"/><Relationship Id="rId44" Type="http://schemas.openxmlformats.org/officeDocument/2006/relationships/image" Target="../media/image8.emf"/><Relationship Id="rId4" Type="http://schemas.openxmlformats.org/officeDocument/2006/relationships/image" Target="../media/image48.emf"/><Relationship Id="rId9" Type="http://schemas.openxmlformats.org/officeDocument/2006/relationships/image" Target="../media/image43.emf"/><Relationship Id="rId14" Type="http://schemas.openxmlformats.org/officeDocument/2006/relationships/image" Target="../media/image38.emf"/><Relationship Id="rId22" Type="http://schemas.openxmlformats.org/officeDocument/2006/relationships/image" Target="../media/image30.emf"/><Relationship Id="rId27" Type="http://schemas.openxmlformats.org/officeDocument/2006/relationships/image" Target="../media/image25.emf"/><Relationship Id="rId30" Type="http://schemas.openxmlformats.org/officeDocument/2006/relationships/image" Target="../media/image22.emf"/><Relationship Id="rId35" Type="http://schemas.openxmlformats.org/officeDocument/2006/relationships/image" Target="../media/image17.emf"/><Relationship Id="rId43" Type="http://schemas.openxmlformats.org/officeDocument/2006/relationships/image" Target="../media/image9.emf"/><Relationship Id="rId48" Type="http://schemas.openxmlformats.org/officeDocument/2006/relationships/image" Target="../media/image4.emf"/><Relationship Id="rId8" Type="http://schemas.openxmlformats.org/officeDocument/2006/relationships/image" Target="../media/image44.emf"/><Relationship Id="rId3" Type="http://schemas.openxmlformats.org/officeDocument/2006/relationships/image" Target="../media/image49.emf"/><Relationship Id="rId12" Type="http://schemas.openxmlformats.org/officeDocument/2006/relationships/image" Target="../media/image40.emf"/><Relationship Id="rId17" Type="http://schemas.openxmlformats.org/officeDocument/2006/relationships/image" Target="../media/image35.emf"/><Relationship Id="rId25" Type="http://schemas.openxmlformats.org/officeDocument/2006/relationships/image" Target="../media/image27.emf"/><Relationship Id="rId33" Type="http://schemas.openxmlformats.org/officeDocument/2006/relationships/image" Target="../media/image19.emf"/><Relationship Id="rId38" Type="http://schemas.openxmlformats.org/officeDocument/2006/relationships/image" Target="../media/image14.emf"/><Relationship Id="rId46" Type="http://schemas.openxmlformats.org/officeDocument/2006/relationships/image" Target="../media/image6.emf"/><Relationship Id="rId20" Type="http://schemas.openxmlformats.org/officeDocument/2006/relationships/image" Target="../media/image32.emf"/><Relationship Id="rId4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4</xdr:col>
      <xdr:colOff>533400</xdr:colOff>
      <xdr:row>8</xdr:row>
      <xdr:rowOff>266700</xdr:rowOff>
    </xdr:from>
    <xdr:to>
      <xdr:col>16</xdr:col>
      <xdr:colOff>571500</xdr:colOff>
      <xdr:row>33</xdr:row>
      <xdr:rowOff>103363</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
        <a:stretch>
          <a:fillRect/>
        </a:stretch>
      </xdr:blipFill>
      <xdr:spPr>
        <a:xfrm>
          <a:off x="2400300" y="1790700"/>
          <a:ext cx="7124700" cy="4694413"/>
        </a:xfrm>
        <a:prstGeom prst="rect">
          <a:avLst/>
        </a:prstGeom>
      </xdr:spPr>
    </xdr:pic>
    <xdr:clientData/>
  </xdr:twoCellAnchor>
  <xdr:twoCellAnchor>
    <xdr:from>
      <xdr:col>1</xdr:col>
      <xdr:colOff>4764</xdr:colOff>
      <xdr:row>8</xdr:row>
      <xdr:rowOff>119062</xdr:rowOff>
    </xdr:from>
    <xdr:to>
      <xdr:col>4</xdr:col>
      <xdr:colOff>471489</xdr:colOff>
      <xdr:row>19</xdr:row>
      <xdr:rowOff>23812</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04777" y="1576387"/>
          <a:ext cx="2366962" cy="199548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1100" b="1"/>
            <a:t>1. Select</a:t>
          </a:r>
          <a:r>
            <a:rPr lang="en-GB" sz="1100" b="1" baseline="0"/>
            <a:t> whether you wish to view England data or data for an individual Local Authority:</a:t>
          </a:r>
          <a:r>
            <a:rPr lang="en-GB" sz="1100"/>
            <a:t> Selecting</a:t>
          </a:r>
          <a:r>
            <a:rPr lang="en-GB" sz="1100" baseline="0"/>
            <a:t> the arrow in this box opens a list of local authorities and the national (England) option. Scroll using the bar to the right of the list to the local authority of choice. Alternatively click in the box and type the name of the local authority whose data you wish to view.</a:t>
          </a:r>
          <a:endParaRPr lang="en-GB" sz="1100"/>
        </a:p>
      </xdr:txBody>
    </xdr:sp>
    <xdr:clientData/>
  </xdr:twoCellAnchor>
  <xdr:twoCellAnchor>
    <xdr:from>
      <xdr:col>0</xdr:col>
      <xdr:colOff>100012</xdr:colOff>
      <xdr:row>19</xdr:row>
      <xdr:rowOff>38101</xdr:rowOff>
    </xdr:from>
    <xdr:to>
      <xdr:col>4</xdr:col>
      <xdr:colOff>471487</xdr:colOff>
      <xdr:row>24</xdr:row>
      <xdr:rowOff>109537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0012" y="3586164"/>
          <a:ext cx="2371725" cy="97631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1100" b="1"/>
            <a:t>2. Select</a:t>
          </a:r>
          <a:r>
            <a:rPr lang="en-GB" sz="1100" b="1" baseline="0"/>
            <a:t> the phase of education for which you wish to view the data:</a:t>
          </a:r>
          <a:r>
            <a:rPr lang="en-GB" sz="1100"/>
            <a:t> Select</a:t>
          </a:r>
          <a:r>
            <a:rPr lang="en-GB" sz="1100" baseline="0"/>
            <a:t> the arrow in this box to bring up a selection of 'Primary' or 'Secondary'.</a:t>
          </a:r>
          <a:endParaRPr lang="en-GB" sz="1100"/>
        </a:p>
      </xdr:txBody>
    </xdr:sp>
    <xdr:clientData/>
  </xdr:twoCellAnchor>
  <xdr:twoCellAnchor>
    <xdr:from>
      <xdr:col>1</xdr:col>
      <xdr:colOff>1</xdr:colOff>
      <xdr:row>24</xdr:row>
      <xdr:rowOff>128587</xdr:rowOff>
    </xdr:from>
    <xdr:to>
      <xdr:col>4</xdr:col>
      <xdr:colOff>476249</xdr:colOff>
      <xdr:row>34</xdr:row>
      <xdr:rowOff>123825</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95251" y="4795837"/>
          <a:ext cx="2247898" cy="190023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1100" b="1"/>
            <a:t>3. Select</a:t>
          </a:r>
          <a:r>
            <a:rPr lang="en-GB" sz="1100" b="1" baseline="0"/>
            <a:t> the quality measure you would like to view:</a:t>
          </a:r>
          <a:r>
            <a:rPr lang="en-GB" sz="1100"/>
            <a:t> Select</a:t>
          </a:r>
          <a:r>
            <a:rPr lang="en-GB" sz="1100" baseline="0"/>
            <a:t> the arrow here to bring up a selection of 'Ofsted Rating', KS2 'Maths Progress', KS2 'Reading Progress' or KS4 'Progress 8 Score'. Please note that KS2 progress measures are not applicable for secondary and KS4 Progress 8 score is not applicable for primary.</a:t>
          </a:r>
          <a:endParaRPr lang="en-GB" sz="1100"/>
        </a:p>
      </xdr:txBody>
    </xdr:sp>
    <xdr:clientData/>
  </xdr:twoCellAnchor>
  <xdr:twoCellAnchor>
    <xdr:from>
      <xdr:col>17</xdr:col>
      <xdr:colOff>36196</xdr:colOff>
      <xdr:row>10</xdr:row>
      <xdr:rowOff>143827</xdr:rowOff>
    </xdr:from>
    <xdr:to>
      <xdr:col>21</xdr:col>
      <xdr:colOff>179918</xdr:colOff>
      <xdr:row>21</xdr:row>
      <xdr:rowOff>116417</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9580246" y="2144077"/>
          <a:ext cx="2505922" cy="2068090"/>
        </a:xfrm>
        <a:prstGeom prst="rect">
          <a:avLst/>
        </a:prstGeom>
        <a:solidFill>
          <a:srgbClr val="104F75"/>
        </a:solidFill>
        <a:ln w="19050" cmpd="sng">
          <a:solidFill>
            <a:srgbClr val="104F7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QUANTITY</a:t>
          </a:r>
        </a:p>
        <a:p>
          <a:r>
            <a:rPr lang="en-GB" sz="1100">
              <a:solidFill>
                <a:schemeClr val="bg1"/>
              </a:solidFill>
            </a:rPr>
            <a:t>This measure shows 1) how</a:t>
          </a:r>
          <a:r>
            <a:rPr lang="en-GB" sz="1100" baseline="0">
              <a:solidFill>
                <a:schemeClr val="bg1"/>
              </a:solidFill>
            </a:rPr>
            <a:t> many places have been created since 2009/10 and how many further places are firmly planned to 2021/22; 2) the estimated number of additional places needed to meet demand in 2021/22 and the estimated percentage of spare places; 3) the accuracy of 2018/19 pupil number forecasts, made one year previously and three years previously.</a:t>
          </a:r>
          <a:endParaRPr lang="en-GB" sz="1100">
            <a:solidFill>
              <a:schemeClr val="bg1"/>
            </a:solidFill>
          </a:endParaRPr>
        </a:p>
      </xdr:txBody>
    </xdr:sp>
    <xdr:clientData/>
  </xdr:twoCellAnchor>
  <xdr:twoCellAnchor>
    <xdr:from>
      <xdr:col>19</xdr:col>
      <xdr:colOff>457200</xdr:colOff>
      <xdr:row>21</xdr:row>
      <xdr:rowOff>142875</xdr:rowOff>
    </xdr:from>
    <xdr:to>
      <xdr:col>24</xdr:col>
      <xdr:colOff>239184</xdr:colOff>
      <xdr:row>34</xdr:row>
      <xdr:rowOff>104775</xdr:rowOff>
    </xdr:to>
    <xdr:sp macro="" textlink="">
      <xdr:nvSpPr>
        <xdr:cNvPr id="12" name="TextBox 23">
          <a:extLst>
            <a:ext uri="{FF2B5EF4-FFF2-40B4-BE49-F238E27FC236}">
              <a16:creationId xmlns:a16="http://schemas.microsoft.com/office/drawing/2014/main" id="{00000000-0008-0000-0000-00000C000000}"/>
            </a:ext>
          </a:extLst>
        </xdr:cNvPr>
        <xdr:cNvSpPr txBox="1"/>
      </xdr:nvSpPr>
      <xdr:spPr>
        <a:xfrm>
          <a:off x="11182350" y="4238625"/>
          <a:ext cx="2734734" cy="2438400"/>
        </a:xfrm>
        <a:prstGeom prst="rect">
          <a:avLst/>
        </a:prstGeom>
        <a:solidFill>
          <a:srgbClr val="104F75"/>
        </a:solidFill>
        <a:ln w="19050" cmpd="sng">
          <a:solidFill>
            <a:srgbClr val="104F7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COST </a:t>
          </a:r>
        </a:p>
        <a:p>
          <a:r>
            <a:rPr lang="en-GB" sz="1100">
              <a:solidFill>
                <a:schemeClr val="bg1"/>
              </a:solidFill>
            </a:rPr>
            <a:t>This measure shows the average cost per place of creating new</a:t>
          </a:r>
          <a:r>
            <a:rPr lang="en-GB" sz="1100" baseline="0">
              <a:solidFill>
                <a:schemeClr val="bg1"/>
              </a:solidFill>
            </a:rPr>
            <a:t> mainstream places in permanent expansions, temporary expansions and new schools. Adjustments have been applied for inflation and region. Each square box represents a quintile, and the bars represent the position of a local authority within the respective quintile and the mean cost per place for England.</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1"/>
              </a:solidFill>
              <a:effectLst/>
              <a:latin typeface="+mn-lt"/>
              <a:ea typeface="+mn-ea"/>
              <a:cs typeface="+mn-cs"/>
            </a:rPr>
            <a:t>Average costs are based on projects that provided places for academic years 2015/16 – 2017/18</a:t>
          </a:r>
          <a:r>
            <a:rPr lang="en-GB" sz="1100" b="0" i="0" baseline="0">
              <a:solidFill>
                <a:schemeClr val="bg1"/>
              </a:solidFill>
              <a:effectLst/>
              <a:latin typeface="+mn-lt"/>
              <a:ea typeface="+mn-ea"/>
              <a:cs typeface="+mn-cs"/>
            </a:rPr>
            <a:t> (</a:t>
          </a:r>
          <a:r>
            <a:rPr lang="en-GB" sz="1100" b="0" i="0">
              <a:solidFill>
                <a:schemeClr val="bg1"/>
              </a:solidFill>
              <a:effectLst/>
              <a:latin typeface="+mn-lt"/>
              <a:ea typeface="+mn-ea"/>
              <a:cs typeface="+mn-cs"/>
            </a:rPr>
            <a:t>see technical notes).</a:t>
          </a:r>
          <a:endParaRPr lang="en-GB" sz="1100" b="0" i="0">
            <a:solidFill>
              <a:schemeClr val="bg1"/>
            </a:solidFill>
          </a:endParaRPr>
        </a:p>
      </xdr:txBody>
    </xdr:sp>
    <xdr:clientData/>
  </xdr:twoCellAnchor>
  <xdr:twoCellAnchor>
    <xdr:from>
      <xdr:col>17</xdr:col>
      <xdr:colOff>40748</xdr:colOff>
      <xdr:row>21</xdr:row>
      <xdr:rowOff>142875</xdr:rowOff>
    </xdr:from>
    <xdr:to>
      <xdr:col>19</xdr:col>
      <xdr:colOff>419100</xdr:colOff>
      <xdr:row>34</xdr:row>
      <xdr:rowOff>104775</xdr:rowOff>
    </xdr:to>
    <xdr:sp macro="" textlink="">
      <xdr:nvSpPr>
        <xdr:cNvPr id="11" name="TextBox 24">
          <a:extLst>
            <a:ext uri="{FF2B5EF4-FFF2-40B4-BE49-F238E27FC236}">
              <a16:creationId xmlns:a16="http://schemas.microsoft.com/office/drawing/2014/main" id="{00000000-0008-0000-0000-00000B000000}"/>
            </a:ext>
          </a:extLst>
        </xdr:cNvPr>
        <xdr:cNvSpPr txBox="1"/>
      </xdr:nvSpPr>
      <xdr:spPr>
        <a:xfrm>
          <a:off x="9584798" y="4238625"/>
          <a:ext cx="1559452" cy="2438400"/>
        </a:xfrm>
        <a:prstGeom prst="rect">
          <a:avLst/>
        </a:prstGeom>
        <a:solidFill>
          <a:srgbClr val="104F75"/>
        </a:solidFill>
        <a:ln w="19050" cmpd="sng">
          <a:solidFill>
            <a:srgbClr val="104F7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QUALITY</a:t>
          </a:r>
        </a:p>
        <a:p>
          <a:r>
            <a:rPr lang="en-GB" sz="1100">
              <a:solidFill>
                <a:schemeClr val="bg1"/>
              </a:solidFill>
            </a:rPr>
            <a:t>This</a:t>
          </a:r>
          <a:r>
            <a:rPr lang="en-GB" sz="1100" baseline="0">
              <a:solidFill>
                <a:schemeClr val="bg1"/>
              </a:solidFill>
            </a:rPr>
            <a:t> measure shows the quality of the places created between 2017/18 and 2018/19 in the selected local authority </a:t>
          </a:r>
          <a:r>
            <a:rPr lang="en-GB" sz="1100" baseline="0">
              <a:solidFill>
                <a:schemeClr val="bg1"/>
              </a:solidFill>
              <a:effectLst/>
              <a:latin typeface="+mn-lt"/>
              <a:ea typeface="+mn-ea"/>
              <a:cs typeface="+mn-cs"/>
            </a:rPr>
            <a:t>(e.g. Ofsted rating)</a:t>
          </a:r>
          <a:r>
            <a:rPr lang="en-GB" sz="1100" baseline="0">
              <a:solidFill>
                <a:schemeClr val="bg1"/>
              </a:solidFill>
            </a:rPr>
            <a:t>. This is compared to the quality of existing places in the selected local authority and the overall picture in England.</a:t>
          </a:r>
          <a:endParaRPr lang="en-GB" sz="1100">
            <a:solidFill>
              <a:schemeClr val="bg1"/>
            </a:solidFill>
          </a:endParaRPr>
        </a:p>
      </xdr:txBody>
    </xdr:sp>
    <xdr:clientData/>
  </xdr:twoCellAnchor>
  <xdr:twoCellAnchor>
    <xdr:from>
      <xdr:col>21</xdr:col>
      <xdr:colOff>243417</xdr:colOff>
      <xdr:row>10</xdr:row>
      <xdr:rowOff>140493</xdr:rowOff>
    </xdr:from>
    <xdr:to>
      <xdr:col>24</xdr:col>
      <xdr:colOff>219075</xdr:colOff>
      <xdr:row>21</xdr:row>
      <xdr:rowOff>116417</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12149667" y="2140743"/>
          <a:ext cx="1747308" cy="2071424"/>
        </a:xfrm>
        <a:prstGeom prst="rect">
          <a:avLst/>
        </a:prstGeom>
        <a:solidFill>
          <a:srgbClr val="104F75"/>
        </a:solidFill>
        <a:ln w="19050" cmpd="sng">
          <a:solidFill>
            <a:srgbClr val="104F7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PREFERENCE</a:t>
          </a:r>
        </a:p>
        <a:p>
          <a:r>
            <a:rPr lang="en-GB" sz="1100">
              <a:solidFill>
                <a:schemeClr val="bg1"/>
              </a:solidFill>
            </a:rPr>
            <a:t>This measure shows the proportion of applicants who</a:t>
          </a:r>
          <a:r>
            <a:rPr lang="en-GB" sz="1100" baseline="0">
              <a:solidFill>
                <a:schemeClr val="bg1"/>
              </a:solidFill>
            </a:rPr>
            <a:t> received an offer of a place in one of their top three preferences for Sept 2019 entry. The chart shows the proportions of applicants offered a place in their first, second and third choices.</a:t>
          </a:r>
          <a:endParaRPr lang="en-GB" sz="1100">
            <a:solidFill>
              <a:schemeClr val="bg1"/>
            </a:solidFill>
          </a:endParaRPr>
        </a:p>
      </xdr:txBody>
    </xdr:sp>
    <xdr:clientData/>
  </xdr:twoCellAnchor>
  <xdr:twoCellAnchor>
    <xdr:from>
      <xdr:col>17</xdr:col>
      <xdr:colOff>21907</xdr:colOff>
      <xdr:row>8</xdr:row>
      <xdr:rowOff>109539</xdr:rowOff>
    </xdr:from>
    <xdr:to>
      <xdr:col>24</xdr:col>
      <xdr:colOff>228600</xdr:colOff>
      <xdr:row>10</xdr:row>
      <xdr:rowOff>104776</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9565957" y="1633539"/>
          <a:ext cx="4340543" cy="471487"/>
        </a:xfrm>
        <a:prstGeom prst="rect">
          <a:avLst/>
        </a:prstGeom>
        <a:solidFill>
          <a:srgbClr val="104F75"/>
        </a:solidFill>
        <a:ln w="19050" cmpd="sng">
          <a:solidFill>
            <a:srgbClr val="104F7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BANNER</a:t>
          </a:r>
          <a:r>
            <a:rPr lang="en-GB" sz="1100" baseline="0">
              <a:solidFill>
                <a:schemeClr val="bg1"/>
              </a:solidFill>
            </a:rPr>
            <a:t> </a:t>
          </a:r>
          <a:r>
            <a:rPr lang="en-GB" sz="1100">
              <a:solidFill>
                <a:schemeClr val="bg1"/>
              </a:solidFill>
            </a:rPr>
            <a:t>Shows</a:t>
          </a:r>
          <a:r>
            <a:rPr lang="en-GB" sz="1100" baseline="0">
              <a:solidFill>
                <a:schemeClr val="bg1"/>
              </a:solidFill>
            </a:rPr>
            <a:t> the total basic need funding allocation and the growth in pupil numbers since 2009/10 for the selected phase.</a:t>
          </a:r>
          <a:endParaRPr lang="en-GB" sz="1100">
            <a:solidFill>
              <a:schemeClr val="bg1"/>
            </a:solidFill>
          </a:endParaRPr>
        </a:p>
        <a:p>
          <a:endParaRPr lang="en-GB" sz="1100">
            <a:solidFill>
              <a:schemeClr val="bg1"/>
            </a:solidFill>
          </a:endParaRPr>
        </a:p>
      </xdr:txBody>
    </xdr:sp>
    <xdr:clientData/>
  </xdr:twoCellAnchor>
  <xdr:twoCellAnchor editAs="oneCell">
    <xdr:from>
      <xdr:col>1</xdr:col>
      <xdr:colOff>0</xdr:colOff>
      <xdr:row>1</xdr:row>
      <xdr:rowOff>0</xdr:rowOff>
    </xdr:from>
    <xdr:to>
      <xdr:col>3</xdr:col>
      <xdr:colOff>323850</xdr:colOff>
      <xdr:row>6</xdr:row>
      <xdr:rowOff>35730</xdr:rowOff>
    </xdr:to>
    <xdr:pic>
      <xdr:nvPicPr>
        <xdr:cNvPr id="3" name="Picture 2" descr="Department for Education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0013" y="90488"/>
          <a:ext cx="1590675" cy="940605"/>
        </a:xfrm>
        <a:prstGeom prst="rect">
          <a:avLst/>
        </a:prstGeom>
      </xdr:spPr>
    </xdr:pic>
    <xdr:clientData/>
  </xdr:twoCellAnchor>
  <xdr:twoCellAnchor>
    <xdr:from>
      <xdr:col>4</xdr:col>
      <xdr:colOff>465667</xdr:colOff>
      <xdr:row>9</xdr:row>
      <xdr:rowOff>170921</xdr:rowOff>
    </xdr:from>
    <xdr:to>
      <xdr:col>9</xdr:col>
      <xdr:colOff>574147</xdr:colOff>
      <xdr:row>14</xdr:row>
      <xdr:rowOff>63500</xdr:rowOff>
    </xdr:to>
    <xdr:cxnSp macro="">
      <xdr:nvCxnSpPr>
        <xdr:cNvPr id="7" name="Straight Arrow Connector 6" descr="Highlights where LA drop down box is located in the scorecard" title="Arrow 1">
          <a:extLst>
            <a:ext uri="{FF2B5EF4-FFF2-40B4-BE49-F238E27FC236}">
              <a16:creationId xmlns:a16="http://schemas.microsoft.com/office/drawing/2014/main" id="{00000000-0008-0000-0000-000007000000}"/>
            </a:ext>
          </a:extLst>
        </xdr:cNvPr>
        <xdr:cNvCxnSpPr/>
      </xdr:nvCxnSpPr>
      <xdr:spPr>
        <a:xfrm flipV="1">
          <a:off x="2338917" y="1980671"/>
          <a:ext cx="3071813" cy="845079"/>
        </a:xfrm>
        <a:prstGeom prst="straightConnector1">
          <a:avLst/>
        </a:prstGeom>
        <a:ln>
          <a:solidFill>
            <a:schemeClr val="dk1">
              <a:alpha val="50000"/>
            </a:schemeClr>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471487</xdr:colOff>
      <xdr:row>10</xdr:row>
      <xdr:rowOff>38100</xdr:rowOff>
    </xdr:from>
    <xdr:to>
      <xdr:col>11</xdr:col>
      <xdr:colOff>447675</xdr:colOff>
      <xdr:row>21</xdr:row>
      <xdr:rowOff>169069</xdr:rowOff>
    </xdr:to>
    <xdr:cxnSp macro="">
      <xdr:nvCxnSpPr>
        <xdr:cNvPr id="10" name="Straight Arrow Connector 9" descr="Highlights where phase drop down box is located in the scorecard" title="Arrow 2">
          <a:extLst>
            <a:ext uri="{FF2B5EF4-FFF2-40B4-BE49-F238E27FC236}">
              <a16:creationId xmlns:a16="http://schemas.microsoft.com/office/drawing/2014/main" id="{00000000-0008-0000-0000-00000A000000}"/>
            </a:ext>
          </a:extLst>
        </xdr:cNvPr>
        <xdr:cNvCxnSpPr>
          <a:stCxn id="9" idx="3"/>
        </xdr:cNvCxnSpPr>
      </xdr:nvCxnSpPr>
      <xdr:spPr>
        <a:xfrm flipV="1">
          <a:off x="2338387" y="2038350"/>
          <a:ext cx="4110038" cy="2226469"/>
        </a:xfrm>
        <a:prstGeom prst="straightConnector1">
          <a:avLst/>
        </a:prstGeom>
        <a:ln>
          <a:solidFill>
            <a:schemeClr val="dk1">
              <a:alpha val="50000"/>
            </a:schemeClr>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476249</xdr:colOff>
      <xdr:row>23</xdr:row>
      <xdr:rowOff>138116</xdr:rowOff>
    </xdr:from>
    <xdr:to>
      <xdr:col>11</xdr:col>
      <xdr:colOff>61912</xdr:colOff>
      <xdr:row>29</xdr:row>
      <xdr:rowOff>126206</xdr:rowOff>
    </xdr:to>
    <xdr:cxnSp macro="">
      <xdr:nvCxnSpPr>
        <xdr:cNvPr id="19" name="Straight Arrow Connector 18" descr="Highlights where quality drop down box is located in the scorecard" title="Arrow 3">
          <a:extLst>
            <a:ext uri="{FF2B5EF4-FFF2-40B4-BE49-F238E27FC236}">
              <a16:creationId xmlns:a16="http://schemas.microsoft.com/office/drawing/2014/main" id="{00000000-0008-0000-0000-000013000000}"/>
            </a:ext>
          </a:extLst>
        </xdr:cNvPr>
        <xdr:cNvCxnSpPr>
          <a:stCxn id="13" idx="3"/>
        </xdr:cNvCxnSpPr>
      </xdr:nvCxnSpPr>
      <xdr:spPr>
        <a:xfrm flipV="1">
          <a:off x="2343149" y="4614866"/>
          <a:ext cx="3719513" cy="1131090"/>
        </a:xfrm>
        <a:prstGeom prst="straightConnector1">
          <a:avLst/>
        </a:prstGeom>
        <a:ln>
          <a:solidFill>
            <a:schemeClr val="dk1">
              <a:alpha val="50000"/>
            </a:schemeClr>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133350</xdr:colOff>
      <xdr:row>4</xdr:row>
      <xdr:rowOff>85725</xdr:rowOff>
    </xdr:from>
    <xdr:to>
      <xdr:col>24</xdr:col>
      <xdr:colOff>171450</xdr:colOff>
      <xdr:row>8</xdr:row>
      <xdr:rowOff>9524</xdr:rowOff>
    </xdr:to>
    <xdr:sp macro="" textlink="">
      <xdr:nvSpPr>
        <xdr:cNvPr id="2" name="TextBox 14">
          <a:extLst>
            <a:ext uri="{FF2B5EF4-FFF2-40B4-BE49-F238E27FC236}">
              <a16:creationId xmlns:a16="http://schemas.microsoft.com/office/drawing/2014/main" id="{00000000-0008-0000-0000-000002000000}"/>
            </a:ext>
          </a:extLst>
        </xdr:cNvPr>
        <xdr:cNvSpPr txBox="1"/>
      </xdr:nvSpPr>
      <xdr:spPr>
        <a:xfrm>
          <a:off x="3181350" y="752475"/>
          <a:ext cx="10668000" cy="7810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1100" b="1" i="1" baseline="0">
              <a:solidFill>
                <a:schemeClr val="accent6">
                  <a:lumMod val="75000"/>
                </a:schemeClr>
              </a:solidFill>
            </a:rPr>
            <a:t>There is no scorecard for Dorset (838) and Bournemouth, Christchurch and Poole (839) as they are new local authorities, following changes to LA boundaries in this region in April 2019. </a:t>
          </a:r>
          <a:r>
            <a:rPr lang="en-GB" sz="1100" b="0" i="1" baseline="0">
              <a:solidFill>
                <a:schemeClr val="accent6">
                  <a:lumMod val="75000"/>
                </a:schemeClr>
              </a:solidFill>
            </a:rPr>
            <a:t>As these two new local authorities are not directly comparable with their pre LGR 2019 local authorities, we were unable to produce complete figures for the majority of individual indictors included in the School Places Scorecard, however the relevant data for these pre and post LGR 2019 local authorities are included in the England data and Summary data tabs</a:t>
          </a:r>
          <a:r>
            <a:rPr lang="en-GB" sz="1100" b="0" i="1" baseline="0">
              <a:solidFill>
                <a:schemeClr val="accent6">
                  <a:lumMod val="50000"/>
                </a:schemeClr>
              </a:solidFill>
            </a:rPr>
            <a:t>.</a:t>
          </a:r>
          <a:endParaRPr lang="en-GB" sz="1100" b="0">
            <a:solidFill>
              <a:schemeClr val="accent6">
                <a:lumMod val="50000"/>
              </a:schemeClr>
            </a:solidFill>
          </a:endParaRPr>
        </a:p>
      </xdr:txBody>
    </xdr:sp>
    <xdr:clientData/>
  </xdr:twoCellAnchor>
  <xdr:twoCellAnchor>
    <xdr:from>
      <xdr:col>9</xdr:col>
      <xdr:colOff>361950</xdr:colOff>
      <xdr:row>8</xdr:row>
      <xdr:rowOff>19050</xdr:rowOff>
    </xdr:from>
    <xdr:to>
      <xdr:col>9</xdr:col>
      <xdr:colOff>581024</xdr:colOff>
      <xdr:row>9</xdr:row>
      <xdr:rowOff>95251</xdr:rowOff>
    </xdr:to>
    <xdr:cxnSp macro="">
      <xdr:nvCxnSpPr>
        <xdr:cNvPr id="16" name="Straight Arrow Connector 15" descr="Highlights where LA drop down box is located in the scorecard" title="Arrow 1">
          <a:extLst>
            <a:ext uri="{FF2B5EF4-FFF2-40B4-BE49-F238E27FC236}">
              <a16:creationId xmlns:a16="http://schemas.microsoft.com/office/drawing/2014/main" id="{00000000-0008-0000-0000-000010000000}"/>
            </a:ext>
          </a:extLst>
        </xdr:cNvPr>
        <xdr:cNvCxnSpPr/>
      </xdr:nvCxnSpPr>
      <xdr:spPr>
        <a:xfrm>
          <a:off x="5181600" y="1543050"/>
          <a:ext cx="219074" cy="361951"/>
        </a:xfrm>
        <a:prstGeom prst="straightConnector1">
          <a:avLst/>
        </a:prstGeom>
        <a:ln>
          <a:solidFill>
            <a:schemeClr val="dk1">
              <a:alpha val="50000"/>
            </a:schemeClr>
          </a:solidFill>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533400</xdr:colOff>
      <xdr:row>4</xdr:row>
      <xdr:rowOff>66675</xdr:rowOff>
    </xdr:from>
    <xdr:to>
      <xdr:col>5</xdr:col>
      <xdr:colOff>581025</xdr:colOff>
      <xdr:row>7</xdr:row>
      <xdr:rowOff>47625</xdr:rowOff>
    </xdr:to>
    <xdr:sp macro="" textlink="">
      <xdr:nvSpPr>
        <xdr:cNvPr id="17" name="TextBox 14">
          <a:extLst>
            <a:ext uri="{FF2B5EF4-FFF2-40B4-BE49-F238E27FC236}">
              <a16:creationId xmlns:a16="http://schemas.microsoft.com/office/drawing/2014/main" id="{00000000-0008-0000-0000-000011000000}"/>
            </a:ext>
          </a:extLst>
        </xdr:cNvPr>
        <xdr:cNvSpPr txBox="1"/>
      </xdr:nvSpPr>
      <xdr:spPr>
        <a:xfrm>
          <a:off x="1809750" y="733425"/>
          <a:ext cx="1228725" cy="55245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GB" sz="1100" b="0"/>
            <a:t>Dates refer to</a:t>
          </a:r>
          <a:r>
            <a:rPr lang="en-GB" sz="1100" b="0" baseline="0"/>
            <a:t> the academic year.</a:t>
          </a:r>
          <a:endParaRPr lang="en-GB" sz="1100" b="0"/>
        </a:p>
      </xdr:txBody>
    </xdr:sp>
    <xdr:clientData/>
  </xdr:twoCellAnchor>
  <xdr:twoCellAnchor editAs="oneCell">
    <xdr:from>
      <xdr:col>14</xdr:col>
      <xdr:colOff>571500</xdr:colOff>
      <xdr:row>20</xdr:row>
      <xdr:rowOff>76200</xdr:rowOff>
    </xdr:from>
    <xdr:to>
      <xdr:col>16</xdr:col>
      <xdr:colOff>437774</xdr:colOff>
      <xdr:row>21</xdr:row>
      <xdr:rowOff>42806</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3"/>
        <a:stretch>
          <a:fillRect/>
        </a:stretch>
      </xdr:blipFill>
      <xdr:spPr>
        <a:xfrm>
          <a:off x="8343900" y="3981450"/>
          <a:ext cx="1047374" cy="1571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22</xdr:col>
      <xdr:colOff>541939</xdr:colOff>
      <xdr:row>33</xdr:row>
      <xdr:rowOff>65689</xdr:rowOff>
    </xdr:from>
    <xdr:ext cx="184731" cy="264560"/>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276034" y="602702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14</xdr:col>
          <xdr:colOff>28575</xdr:colOff>
          <xdr:row>8</xdr:row>
          <xdr:rowOff>66675</xdr:rowOff>
        </xdr:from>
        <xdr:to>
          <xdr:col>20</xdr:col>
          <xdr:colOff>266700</xdr:colOff>
          <xdr:row>10</xdr:row>
          <xdr:rowOff>114300</xdr:rowOff>
        </xdr:to>
        <xdr:sp macro="" textlink="">
          <xdr:nvSpPr>
            <xdr:cNvPr id="7169" name="One-year-fore" hidden="1">
              <a:extLst>
                <a:ext uri="{63B3BB69-23CF-44E3-9099-C40C66FF867C}">
                  <a14:compatExt spid="_x0000_s7169"/>
                </a:ext>
                <a:ext uri="{FF2B5EF4-FFF2-40B4-BE49-F238E27FC236}">
                  <a16:creationId xmlns:a16="http://schemas.microsoft.com/office/drawing/2014/main" id="{00000000-0008-0000-0500-000001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13</xdr:col>
      <xdr:colOff>0</xdr:colOff>
      <xdr:row>5</xdr:row>
      <xdr:rowOff>52917</xdr:rowOff>
    </xdr:from>
    <xdr:to>
      <xdr:col>21</xdr:col>
      <xdr:colOff>16467</xdr:colOff>
      <xdr:row>11</xdr:row>
      <xdr:rowOff>19787</xdr:rowOff>
    </xdr:to>
    <xdr:graphicFrame macro="">
      <xdr:nvGraphicFramePr>
        <xdr:cNvPr id="66" name="cha one year posi">
          <a:extLst>
            <a:ext uri="{FF2B5EF4-FFF2-40B4-BE49-F238E27FC236}">
              <a16:creationId xmlns:a16="http://schemas.microsoft.com/office/drawing/2014/main" id="{00000000-0008-0000-05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4763</xdr:colOff>
      <xdr:row>11</xdr:row>
      <xdr:rowOff>81699</xdr:rowOff>
    </xdr:from>
    <xdr:to>
      <xdr:col>21</xdr:col>
      <xdr:colOff>21230</xdr:colOff>
      <xdr:row>18</xdr:row>
      <xdr:rowOff>48246</xdr:rowOff>
    </xdr:to>
    <xdr:graphicFrame macro="">
      <xdr:nvGraphicFramePr>
        <xdr:cNvPr id="76" name="Chart 75">
          <a:extLst>
            <a:ext uri="{FF2B5EF4-FFF2-40B4-BE49-F238E27FC236}">
              <a16:creationId xmlns:a16="http://schemas.microsoft.com/office/drawing/2014/main" id="{00000000-0008-0000-05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0</xdr:colOff>
      <xdr:row>11</xdr:row>
      <xdr:rowOff>81700</xdr:rowOff>
    </xdr:from>
    <xdr:to>
      <xdr:col>21</xdr:col>
      <xdr:colOff>16467</xdr:colOff>
      <xdr:row>18</xdr:row>
      <xdr:rowOff>48247</xdr:rowOff>
    </xdr:to>
    <xdr:graphicFrame macro="">
      <xdr:nvGraphicFramePr>
        <xdr:cNvPr id="71" name="cha one year posi">
          <a:extLst>
            <a:ext uri="{FF2B5EF4-FFF2-40B4-BE49-F238E27FC236}">
              <a16:creationId xmlns:a16="http://schemas.microsoft.com/office/drawing/2014/main" id="{00000000-0008-0000-05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28575</xdr:colOff>
          <xdr:row>14</xdr:row>
          <xdr:rowOff>114300</xdr:rowOff>
        </xdr:from>
        <xdr:to>
          <xdr:col>20</xdr:col>
          <xdr:colOff>266700</xdr:colOff>
          <xdr:row>16</xdr:row>
          <xdr:rowOff>190500</xdr:rowOff>
        </xdr:to>
        <xdr:sp macro="" textlink="">
          <xdr:nvSpPr>
            <xdr:cNvPr id="7172" name="Three-year-fore" hidden="1">
              <a:extLst>
                <a:ext uri="{63B3BB69-23CF-44E3-9099-C40C66FF867C}">
                  <a14:compatExt spid="_x0000_s7172"/>
                </a:ext>
                <a:ext uri="{FF2B5EF4-FFF2-40B4-BE49-F238E27FC236}">
                  <a16:creationId xmlns:a16="http://schemas.microsoft.com/office/drawing/2014/main" id="{00000000-0008-0000-0500-000004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13</xdr:col>
      <xdr:colOff>0</xdr:colOff>
      <xdr:row>5</xdr:row>
      <xdr:rowOff>52917</xdr:rowOff>
    </xdr:from>
    <xdr:to>
      <xdr:col>21</xdr:col>
      <xdr:colOff>16467</xdr:colOff>
      <xdr:row>11</xdr:row>
      <xdr:rowOff>19787</xdr:rowOff>
    </xdr:to>
    <xdr:graphicFrame macro="">
      <xdr:nvGraphicFramePr>
        <xdr:cNvPr id="55" name="Chart 54">
          <a:extLst>
            <a:ext uri="{FF2B5EF4-FFF2-40B4-BE49-F238E27FC236}">
              <a16:creationId xmlns:a16="http://schemas.microsoft.com/office/drawing/2014/main" id="{00000000-0008-0000-05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absolute">
        <xdr:from>
          <xdr:col>11</xdr:col>
          <xdr:colOff>123825</xdr:colOff>
          <xdr:row>1</xdr:row>
          <xdr:rowOff>47625</xdr:rowOff>
        </xdr:from>
        <xdr:to>
          <xdr:col>15</xdr:col>
          <xdr:colOff>447675</xdr:colOff>
          <xdr:row>2</xdr:row>
          <xdr:rowOff>190500</xdr:rowOff>
        </xdr:to>
        <xdr:sp macro="" textlink="">
          <xdr:nvSpPr>
            <xdr:cNvPr id="7170" name="Phase" hidden="1">
              <a:extLst>
                <a:ext uri="{63B3BB69-23CF-44E3-9099-C40C66FF867C}">
                  <a14:compatExt spid="_x0000_s7170"/>
                </a:ext>
                <a:ext uri="{FF2B5EF4-FFF2-40B4-BE49-F238E27FC236}">
                  <a16:creationId xmlns:a16="http://schemas.microsoft.com/office/drawing/2014/main" id="{00000000-0008-0000-0500-000002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4</xdr:col>
          <xdr:colOff>161925</xdr:colOff>
          <xdr:row>1</xdr:row>
          <xdr:rowOff>47625</xdr:rowOff>
        </xdr:from>
        <xdr:to>
          <xdr:col>11</xdr:col>
          <xdr:colOff>28575</xdr:colOff>
          <xdr:row>2</xdr:row>
          <xdr:rowOff>190500</xdr:rowOff>
        </xdr:to>
        <xdr:sp macro="" textlink="">
          <xdr:nvSpPr>
            <xdr:cNvPr id="7171" name="LA" hidden="1">
              <a:extLst>
                <a:ext uri="{63B3BB69-23CF-44E3-9099-C40C66FF867C}">
                  <a14:compatExt spid="_x0000_s7171"/>
                </a:ext>
                <a:ext uri="{FF2B5EF4-FFF2-40B4-BE49-F238E27FC236}">
                  <a16:creationId xmlns:a16="http://schemas.microsoft.com/office/drawing/2014/main" id="{00000000-0008-0000-0500-000003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editAs="absolute">
    <xdr:from>
      <xdr:col>0</xdr:col>
      <xdr:colOff>38100</xdr:colOff>
      <xdr:row>7</xdr:row>
      <xdr:rowOff>123825</xdr:rowOff>
    </xdr:from>
    <xdr:to>
      <xdr:col>13</xdr:col>
      <xdr:colOff>0</xdr:colOff>
      <xdr:row>16</xdr:row>
      <xdr:rowOff>38308</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absolute">
        <xdr:from>
          <xdr:col>16</xdr:col>
          <xdr:colOff>28575</xdr:colOff>
          <xdr:row>1</xdr:row>
          <xdr:rowOff>47625</xdr:rowOff>
        </xdr:from>
        <xdr:to>
          <xdr:col>18</xdr:col>
          <xdr:colOff>161925</xdr:colOff>
          <xdr:row>2</xdr:row>
          <xdr:rowOff>190500</xdr:rowOff>
        </xdr:to>
        <xdr:sp macro="" textlink="">
          <xdr:nvSpPr>
            <xdr:cNvPr id="7174" name="TextBox8" hidden="1">
              <a:extLst>
                <a:ext uri="{63B3BB69-23CF-44E3-9099-C40C66FF867C}">
                  <a14:compatExt spid="_x0000_s7174"/>
                </a:ext>
                <a:ext uri="{FF2B5EF4-FFF2-40B4-BE49-F238E27FC236}">
                  <a16:creationId xmlns:a16="http://schemas.microsoft.com/office/drawing/2014/main" id="{00000000-0008-0000-0500-000006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20</xdr:col>
          <xdr:colOff>180975</xdr:colOff>
          <xdr:row>1</xdr:row>
          <xdr:rowOff>47625</xdr:rowOff>
        </xdr:from>
        <xdr:to>
          <xdr:col>23</xdr:col>
          <xdr:colOff>66675</xdr:colOff>
          <xdr:row>2</xdr:row>
          <xdr:rowOff>190500</xdr:rowOff>
        </xdr:to>
        <xdr:sp macro="" textlink="">
          <xdr:nvSpPr>
            <xdr:cNvPr id="7175" name="TextBox11" hidden="1">
              <a:extLst>
                <a:ext uri="{63B3BB69-23CF-44E3-9099-C40C66FF867C}">
                  <a14:compatExt spid="_x0000_s7175"/>
                </a:ext>
                <a:ext uri="{FF2B5EF4-FFF2-40B4-BE49-F238E27FC236}">
                  <a16:creationId xmlns:a16="http://schemas.microsoft.com/office/drawing/2014/main" id="{00000000-0008-0000-0500-000007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180975</xdr:colOff>
          <xdr:row>15</xdr:row>
          <xdr:rowOff>123825</xdr:rowOff>
        </xdr:from>
        <xdr:to>
          <xdr:col>5</xdr:col>
          <xdr:colOff>180975</xdr:colOff>
          <xdr:row>18</xdr:row>
          <xdr:rowOff>9525</xdr:rowOff>
        </xdr:to>
        <xdr:sp macro="" textlink="">
          <xdr:nvSpPr>
            <xdr:cNvPr id="7178" name="TextBox13" hidden="1">
              <a:extLst>
                <a:ext uri="{63B3BB69-23CF-44E3-9099-C40C66FF867C}">
                  <a14:compatExt spid="_x0000_s7178"/>
                </a:ext>
                <a:ext uri="{FF2B5EF4-FFF2-40B4-BE49-F238E27FC236}">
                  <a16:creationId xmlns:a16="http://schemas.microsoft.com/office/drawing/2014/main" id="{00000000-0008-0000-0500-00000A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5</xdr:col>
          <xdr:colOff>381000</xdr:colOff>
          <xdr:row>15</xdr:row>
          <xdr:rowOff>123825</xdr:rowOff>
        </xdr:from>
        <xdr:to>
          <xdr:col>8</xdr:col>
          <xdr:colOff>361950</xdr:colOff>
          <xdr:row>18</xdr:row>
          <xdr:rowOff>9525</xdr:rowOff>
        </xdr:to>
        <xdr:sp macro="" textlink="">
          <xdr:nvSpPr>
            <xdr:cNvPr id="7179" name="TextBox14" hidden="1">
              <a:extLst>
                <a:ext uri="{63B3BB69-23CF-44E3-9099-C40C66FF867C}">
                  <a14:compatExt spid="_x0000_s7179"/>
                </a:ext>
                <a:ext uri="{FF2B5EF4-FFF2-40B4-BE49-F238E27FC236}">
                  <a16:creationId xmlns:a16="http://schemas.microsoft.com/office/drawing/2014/main" id="{00000000-0008-0000-0500-00000B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2</xdr:col>
      <xdr:colOff>734</xdr:colOff>
      <xdr:row>15</xdr:row>
      <xdr:rowOff>158823</xdr:rowOff>
    </xdr:from>
    <xdr:to>
      <xdr:col>2</xdr:col>
      <xdr:colOff>184124</xdr:colOff>
      <xdr:row>16</xdr:row>
      <xdr:rowOff>163839</xdr:rowOff>
    </xdr:to>
    <xdr:sp macro="" textlink="">
      <xdr:nvSpPr>
        <xdr:cNvPr id="20" name="Rectangle 19">
          <a:extLst>
            <a:ext uri="{FF2B5EF4-FFF2-40B4-BE49-F238E27FC236}">
              <a16:creationId xmlns:a16="http://schemas.microsoft.com/office/drawing/2014/main" id="{00000000-0008-0000-0500-000014000000}"/>
            </a:ext>
          </a:extLst>
        </xdr:cNvPr>
        <xdr:cNvSpPr/>
      </xdr:nvSpPr>
      <xdr:spPr>
        <a:xfrm>
          <a:off x="172184" y="2796116"/>
          <a:ext cx="187200" cy="191348"/>
        </a:xfrm>
        <a:prstGeom prst="rect">
          <a:avLst/>
        </a:prstGeom>
        <a:solidFill>
          <a:srgbClr val="6691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19051</xdr:colOff>
      <xdr:row>22</xdr:row>
      <xdr:rowOff>54108</xdr:rowOff>
    </xdr:from>
    <xdr:to>
      <xdr:col>12</xdr:col>
      <xdr:colOff>447676</xdr:colOff>
      <xdr:row>33</xdr:row>
      <xdr:rowOff>450</xdr:rowOff>
    </xdr:to>
    <xdr:graphicFrame macro="">
      <xdr:nvGraphicFramePr>
        <xdr:cNvPr id="23" name="Chart 22">
          <a:extLst>
            <a:ext uri="{FF2B5EF4-FFF2-40B4-BE49-F238E27FC236}">
              <a16:creationId xmlns:a16="http://schemas.microsoft.com/office/drawing/2014/main" id="{00000000-0008-0000-0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173298</xdr:colOff>
      <xdr:row>15</xdr:row>
      <xdr:rowOff>158823</xdr:rowOff>
    </xdr:from>
    <xdr:to>
      <xdr:col>5</xdr:col>
      <xdr:colOff>359564</xdr:colOff>
      <xdr:row>16</xdr:row>
      <xdr:rowOff>163839</xdr:rowOff>
    </xdr:to>
    <xdr:sp macro="" textlink="">
      <xdr:nvSpPr>
        <xdr:cNvPr id="22" name="Rectangle 21">
          <a:extLst>
            <a:ext uri="{FF2B5EF4-FFF2-40B4-BE49-F238E27FC236}">
              <a16:creationId xmlns:a16="http://schemas.microsoft.com/office/drawing/2014/main" id="{00000000-0008-0000-0500-000016000000}"/>
            </a:ext>
          </a:extLst>
        </xdr:cNvPr>
        <xdr:cNvSpPr/>
      </xdr:nvSpPr>
      <xdr:spPr>
        <a:xfrm>
          <a:off x="1743018" y="2796116"/>
          <a:ext cx="186266" cy="191348"/>
        </a:xfrm>
        <a:prstGeom prst="rect">
          <a:avLst/>
        </a:prstGeom>
        <a:solidFill>
          <a:srgbClr val="CEB5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xdr:from>
          <xdr:col>10</xdr:col>
          <xdr:colOff>19050</xdr:colOff>
          <xdr:row>21</xdr:row>
          <xdr:rowOff>9525</xdr:rowOff>
        </xdr:from>
        <xdr:to>
          <xdr:col>13</xdr:col>
          <xdr:colOff>0</xdr:colOff>
          <xdr:row>22</xdr:row>
          <xdr:rowOff>76200</xdr:rowOff>
        </xdr:to>
        <xdr:sp macro="" textlink="">
          <xdr:nvSpPr>
            <xdr:cNvPr id="7181" name="qaulitytype" hidden="1">
              <a:extLst>
                <a:ext uri="{63B3BB69-23CF-44E3-9099-C40C66FF867C}">
                  <a14:compatExt spid="_x0000_s7181"/>
                </a:ext>
                <a:ext uri="{FF2B5EF4-FFF2-40B4-BE49-F238E27FC236}">
                  <a16:creationId xmlns:a16="http://schemas.microsoft.com/office/drawing/2014/main" id="{00000000-0008-0000-0500-00000D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22</xdr:col>
          <xdr:colOff>142875</xdr:colOff>
          <xdr:row>20</xdr:row>
          <xdr:rowOff>200025</xdr:rowOff>
        </xdr:from>
        <xdr:to>
          <xdr:col>24</xdr:col>
          <xdr:colOff>476250</xdr:colOff>
          <xdr:row>21</xdr:row>
          <xdr:rowOff>152400</xdr:rowOff>
        </xdr:to>
        <xdr:sp macro="" textlink="">
          <xdr:nvSpPr>
            <xdr:cNvPr id="7182" name="TextBox1" hidden="1">
              <a:extLst>
                <a:ext uri="{63B3BB69-23CF-44E3-9099-C40C66FF867C}">
                  <a14:compatExt spid="_x0000_s7182"/>
                </a:ext>
                <a:ext uri="{FF2B5EF4-FFF2-40B4-BE49-F238E27FC236}">
                  <a16:creationId xmlns:a16="http://schemas.microsoft.com/office/drawing/2014/main" id="{00000000-0008-0000-0500-00000E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17</xdr:col>
          <xdr:colOff>447675</xdr:colOff>
          <xdr:row>20</xdr:row>
          <xdr:rowOff>200025</xdr:rowOff>
        </xdr:from>
        <xdr:to>
          <xdr:col>21</xdr:col>
          <xdr:colOff>57150</xdr:colOff>
          <xdr:row>21</xdr:row>
          <xdr:rowOff>152400</xdr:rowOff>
        </xdr:to>
        <xdr:sp macro="" textlink="">
          <xdr:nvSpPr>
            <xdr:cNvPr id="7183" name="TextBox2" hidden="1">
              <a:extLst>
                <a:ext uri="{63B3BB69-23CF-44E3-9099-C40C66FF867C}">
                  <a14:compatExt spid="_x0000_s7183"/>
                </a:ext>
                <a:ext uri="{FF2B5EF4-FFF2-40B4-BE49-F238E27FC236}">
                  <a16:creationId xmlns:a16="http://schemas.microsoft.com/office/drawing/2014/main" id="{00000000-0008-0000-0500-00000F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15</xdr:col>
          <xdr:colOff>28575</xdr:colOff>
          <xdr:row>20</xdr:row>
          <xdr:rowOff>190500</xdr:rowOff>
        </xdr:from>
        <xdr:to>
          <xdr:col>18</xdr:col>
          <xdr:colOff>0</xdr:colOff>
          <xdr:row>21</xdr:row>
          <xdr:rowOff>114300</xdr:rowOff>
        </xdr:to>
        <xdr:sp macro="" textlink="">
          <xdr:nvSpPr>
            <xdr:cNvPr id="7184" name="TextBox3" hidden="1">
              <a:extLst>
                <a:ext uri="{63B3BB69-23CF-44E3-9099-C40C66FF867C}">
                  <a14:compatExt spid="_x0000_s7184"/>
                </a:ext>
                <a:ext uri="{FF2B5EF4-FFF2-40B4-BE49-F238E27FC236}">
                  <a16:creationId xmlns:a16="http://schemas.microsoft.com/office/drawing/2014/main" id="{00000000-0008-0000-0500-000010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23</xdr:col>
          <xdr:colOff>47625</xdr:colOff>
          <xdr:row>1</xdr:row>
          <xdr:rowOff>0</xdr:rowOff>
        </xdr:from>
        <xdr:to>
          <xdr:col>24</xdr:col>
          <xdr:colOff>438150</xdr:colOff>
          <xdr:row>2</xdr:row>
          <xdr:rowOff>219075</xdr:rowOff>
        </xdr:to>
        <xdr:sp macro="" textlink="">
          <xdr:nvSpPr>
            <xdr:cNvPr id="7188" name="TextBox17" hidden="1">
              <a:extLst>
                <a:ext uri="{63B3BB69-23CF-44E3-9099-C40C66FF867C}">
                  <a14:compatExt spid="_x0000_s7188"/>
                </a:ext>
                <a:ext uri="{FF2B5EF4-FFF2-40B4-BE49-F238E27FC236}">
                  <a16:creationId xmlns:a16="http://schemas.microsoft.com/office/drawing/2014/main" id="{00000000-0008-0000-0500-000014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18</xdr:col>
          <xdr:colOff>180975</xdr:colOff>
          <xdr:row>1</xdr:row>
          <xdr:rowOff>0</xdr:rowOff>
        </xdr:from>
        <xdr:to>
          <xdr:col>20</xdr:col>
          <xdr:colOff>219075</xdr:colOff>
          <xdr:row>2</xdr:row>
          <xdr:rowOff>219075</xdr:rowOff>
        </xdr:to>
        <xdr:sp macro="" textlink="">
          <xdr:nvSpPr>
            <xdr:cNvPr id="7189" name="TextBox18" hidden="1">
              <a:extLst>
                <a:ext uri="{63B3BB69-23CF-44E3-9099-C40C66FF867C}">
                  <a14:compatExt spid="_x0000_s7189"/>
                </a:ext>
                <a:ext uri="{FF2B5EF4-FFF2-40B4-BE49-F238E27FC236}">
                  <a16:creationId xmlns:a16="http://schemas.microsoft.com/office/drawing/2014/main" id="{00000000-0008-0000-0500-000015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15</xdr:col>
          <xdr:colOff>66675</xdr:colOff>
          <xdr:row>31</xdr:row>
          <xdr:rowOff>104775</xdr:rowOff>
        </xdr:from>
        <xdr:to>
          <xdr:col>17</xdr:col>
          <xdr:colOff>171450</xdr:colOff>
          <xdr:row>32</xdr:row>
          <xdr:rowOff>104775</xdr:rowOff>
        </xdr:to>
        <xdr:sp macro="" textlink="">
          <xdr:nvSpPr>
            <xdr:cNvPr id="7205" name="TextBox31" hidden="1">
              <a:extLst>
                <a:ext uri="{63B3BB69-23CF-44E3-9099-C40C66FF867C}">
                  <a14:compatExt spid="_x0000_s7205"/>
                </a:ext>
                <a:ext uri="{FF2B5EF4-FFF2-40B4-BE49-F238E27FC236}">
                  <a16:creationId xmlns:a16="http://schemas.microsoft.com/office/drawing/2014/main" id="{00000000-0008-0000-0500-000025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16</xdr:col>
      <xdr:colOff>15240</xdr:colOff>
      <xdr:row>8</xdr:row>
      <xdr:rowOff>52917</xdr:rowOff>
    </xdr:from>
    <xdr:to>
      <xdr:col>16</xdr:col>
      <xdr:colOff>205740</xdr:colOff>
      <xdr:row>8</xdr:row>
      <xdr:rowOff>52917</xdr:rowOff>
    </xdr:to>
    <xdr:cxnSp macro="">
      <xdr:nvCxnSpPr>
        <xdr:cNvPr id="68" name="cnx one year left max">
          <a:extLst>
            <a:ext uri="{FF2B5EF4-FFF2-40B4-BE49-F238E27FC236}">
              <a16:creationId xmlns:a16="http://schemas.microsoft.com/office/drawing/2014/main" id="{00000000-0008-0000-0500-000044000000}"/>
            </a:ext>
          </a:extLst>
        </xdr:cNvPr>
        <xdr:cNvCxnSpPr/>
      </xdr:nvCxnSpPr>
      <xdr:spPr>
        <a:xfrm>
          <a:off x="5913120" y="1379220"/>
          <a:ext cx="190500" cy="0"/>
        </a:xfrm>
        <a:prstGeom prst="line">
          <a:avLst/>
        </a:prstGeom>
        <a:ln>
          <a:solidFill>
            <a:srgbClr val="104F75"/>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18</xdr:col>
      <xdr:colOff>449580</xdr:colOff>
      <xdr:row>8</xdr:row>
      <xdr:rowOff>52917</xdr:rowOff>
    </xdr:from>
    <xdr:to>
      <xdr:col>19</xdr:col>
      <xdr:colOff>167322</xdr:colOff>
      <xdr:row>8</xdr:row>
      <xdr:rowOff>52917</xdr:rowOff>
    </xdr:to>
    <xdr:cxnSp macro="">
      <xdr:nvCxnSpPr>
        <xdr:cNvPr id="62" name="cnx one year right max">
          <a:extLst>
            <a:ext uri="{FF2B5EF4-FFF2-40B4-BE49-F238E27FC236}">
              <a16:creationId xmlns:a16="http://schemas.microsoft.com/office/drawing/2014/main" id="{00000000-0008-0000-0500-00003E000000}"/>
            </a:ext>
          </a:extLst>
        </xdr:cNvPr>
        <xdr:cNvCxnSpPr/>
      </xdr:nvCxnSpPr>
      <xdr:spPr>
        <a:xfrm>
          <a:off x="7277100" y="1379220"/>
          <a:ext cx="190500" cy="0"/>
        </a:xfrm>
        <a:prstGeom prst="line">
          <a:avLst/>
        </a:prstGeom>
        <a:ln>
          <a:solidFill>
            <a:srgbClr val="104F75"/>
          </a:solidFill>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18</xdr:col>
          <xdr:colOff>447675</xdr:colOff>
          <xdr:row>8</xdr:row>
          <xdr:rowOff>66675</xdr:rowOff>
        </xdr:from>
        <xdr:to>
          <xdr:col>20</xdr:col>
          <xdr:colOff>238125</xdr:colOff>
          <xdr:row>11</xdr:row>
          <xdr:rowOff>28575</xdr:rowOff>
        </xdr:to>
        <xdr:sp macro="" textlink="">
          <xdr:nvSpPr>
            <xdr:cNvPr id="7207" name="for_lab1" hidden="1">
              <a:extLst>
                <a:ext uri="{63B3BB69-23CF-44E3-9099-C40C66FF867C}">
                  <a14:compatExt spid="_x0000_s7207"/>
                </a:ext>
                <a:ext uri="{FF2B5EF4-FFF2-40B4-BE49-F238E27FC236}">
                  <a16:creationId xmlns:a16="http://schemas.microsoft.com/office/drawing/2014/main" id="{00000000-0008-0000-0500-000027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28575</xdr:colOff>
          <xdr:row>8</xdr:row>
          <xdr:rowOff>66675</xdr:rowOff>
        </xdr:from>
        <xdr:to>
          <xdr:col>16</xdr:col>
          <xdr:colOff>247650</xdr:colOff>
          <xdr:row>11</xdr:row>
          <xdr:rowOff>28575</xdr:rowOff>
        </xdr:to>
        <xdr:sp macro="" textlink="">
          <xdr:nvSpPr>
            <xdr:cNvPr id="7208" name="For_lab2" hidden="1">
              <a:extLst>
                <a:ext uri="{63B3BB69-23CF-44E3-9099-C40C66FF867C}">
                  <a14:compatExt spid="_x0000_s7208"/>
                </a:ext>
                <a:ext uri="{FF2B5EF4-FFF2-40B4-BE49-F238E27FC236}">
                  <a16:creationId xmlns:a16="http://schemas.microsoft.com/office/drawing/2014/main" id="{00000000-0008-0000-0500-000028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28575</xdr:colOff>
          <xdr:row>14</xdr:row>
          <xdr:rowOff>152400</xdr:rowOff>
        </xdr:from>
        <xdr:to>
          <xdr:col>16</xdr:col>
          <xdr:colOff>247650</xdr:colOff>
          <xdr:row>17</xdr:row>
          <xdr:rowOff>9525</xdr:rowOff>
        </xdr:to>
        <xdr:sp macro="" textlink="">
          <xdr:nvSpPr>
            <xdr:cNvPr id="7211" name="for_lab4" hidden="1">
              <a:extLst>
                <a:ext uri="{63B3BB69-23CF-44E3-9099-C40C66FF867C}">
                  <a14:compatExt spid="_x0000_s7211"/>
                </a:ext>
                <a:ext uri="{FF2B5EF4-FFF2-40B4-BE49-F238E27FC236}">
                  <a16:creationId xmlns:a16="http://schemas.microsoft.com/office/drawing/2014/main" id="{00000000-0008-0000-0500-00002B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16</xdr:col>
      <xdr:colOff>15240</xdr:colOff>
      <xdr:row>14</xdr:row>
      <xdr:rowOff>124553</xdr:rowOff>
    </xdr:from>
    <xdr:to>
      <xdr:col>16</xdr:col>
      <xdr:colOff>205740</xdr:colOff>
      <xdr:row>14</xdr:row>
      <xdr:rowOff>124553</xdr:rowOff>
    </xdr:to>
    <xdr:cxnSp macro="">
      <xdr:nvCxnSpPr>
        <xdr:cNvPr id="77" name="cnx one year left max">
          <a:extLst>
            <a:ext uri="{FF2B5EF4-FFF2-40B4-BE49-F238E27FC236}">
              <a16:creationId xmlns:a16="http://schemas.microsoft.com/office/drawing/2014/main" id="{00000000-0008-0000-0500-00004D000000}"/>
            </a:ext>
          </a:extLst>
        </xdr:cNvPr>
        <xdr:cNvCxnSpPr/>
      </xdr:nvCxnSpPr>
      <xdr:spPr>
        <a:xfrm>
          <a:off x="6177915" y="2562746"/>
          <a:ext cx="190500" cy="0"/>
        </a:xfrm>
        <a:prstGeom prst="line">
          <a:avLst/>
        </a:prstGeom>
        <a:ln>
          <a:solidFill>
            <a:srgbClr val="104F75"/>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18</xdr:col>
      <xdr:colOff>449580</xdr:colOff>
      <xdr:row>14</xdr:row>
      <xdr:rowOff>124550</xdr:rowOff>
    </xdr:from>
    <xdr:to>
      <xdr:col>19</xdr:col>
      <xdr:colOff>167322</xdr:colOff>
      <xdr:row>14</xdr:row>
      <xdr:rowOff>124550</xdr:rowOff>
    </xdr:to>
    <xdr:cxnSp macro="">
      <xdr:nvCxnSpPr>
        <xdr:cNvPr id="78" name="cnx one year right max">
          <a:extLst>
            <a:ext uri="{FF2B5EF4-FFF2-40B4-BE49-F238E27FC236}">
              <a16:creationId xmlns:a16="http://schemas.microsoft.com/office/drawing/2014/main" id="{00000000-0008-0000-0500-00004E000000}"/>
            </a:ext>
          </a:extLst>
        </xdr:cNvPr>
        <xdr:cNvCxnSpPr/>
      </xdr:nvCxnSpPr>
      <xdr:spPr>
        <a:xfrm>
          <a:off x="7583805" y="2562743"/>
          <a:ext cx="211455" cy="0"/>
        </a:xfrm>
        <a:prstGeom prst="line">
          <a:avLst/>
        </a:prstGeom>
        <a:ln>
          <a:solidFill>
            <a:srgbClr val="104F75"/>
          </a:solidFill>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18</xdr:col>
          <xdr:colOff>447675</xdr:colOff>
          <xdr:row>14</xdr:row>
          <xdr:rowOff>152400</xdr:rowOff>
        </xdr:from>
        <xdr:to>
          <xdr:col>20</xdr:col>
          <xdr:colOff>219075</xdr:colOff>
          <xdr:row>17</xdr:row>
          <xdr:rowOff>9525</xdr:rowOff>
        </xdr:to>
        <xdr:sp macro="" textlink="">
          <xdr:nvSpPr>
            <xdr:cNvPr id="7210" name="for_lab3" hidden="1">
              <a:extLst>
                <a:ext uri="{63B3BB69-23CF-44E3-9099-C40C66FF867C}">
                  <a14:compatExt spid="_x0000_s7210"/>
                </a:ext>
                <a:ext uri="{FF2B5EF4-FFF2-40B4-BE49-F238E27FC236}">
                  <a16:creationId xmlns:a16="http://schemas.microsoft.com/office/drawing/2014/main" id="{00000000-0008-0000-0500-00002A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18</xdr:col>
          <xdr:colOff>0</xdr:colOff>
          <xdr:row>31</xdr:row>
          <xdr:rowOff>104775</xdr:rowOff>
        </xdr:from>
        <xdr:to>
          <xdr:col>20</xdr:col>
          <xdr:colOff>95250</xdr:colOff>
          <xdr:row>32</xdr:row>
          <xdr:rowOff>95250</xdr:rowOff>
        </xdr:to>
        <xdr:sp macro="" textlink="">
          <xdr:nvSpPr>
            <xdr:cNvPr id="7212" name="TextBox6" hidden="1">
              <a:extLst>
                <a:ext uri="{63B3BB69-23CF-44E3-9099-C40C66FF867C}">
                  <a14:compatExt spid="_x0000_s7212"/>
                </a:ext>
                <a:ext uri="{FF2B5EF4-FFF2-40B4-BE49-F238E27FC236}">
                  <a16:creationId xmlns:a16="http://schemas.microsoft.com/office/drawing/2014/main" id="{00000000-0008-0000-0500-00002C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22</xdr:col>
          <xdr:colOff>152400</xdr:colOff>
          <xdr:row>31</xdr:row>
          <xdr:rowOff>104775</xdr:rowOff>
        </xdr:from>
        <xdr:to>
          <xdr:col>24</xdr:col>
          <xdr:colOff>104775</xdr:colOff>
          <xdr:row>32</xdr:row>
          <xdr:rowOff>95250</xdr:rowOff>
        </xdr:to>
        <xdr:sp macro="" textlink="">
          <xdr:nvSpPr>
            <xdr:cNvPr id="7213" name="TextBox10" hidden="1">
              <a:extLst>
                <a:ext uri="{63B3BB69-23CF-44E3-9099-C40C66FF867C}">
                  <a14:compatExt spid="_x0000_s7213"/>
                </a:ext>
                <a:ext uri="{FF2B5EF4-FFF2-40B4-BE49-F238E27FC236}">
                  <a16:creationId xmlns:a16="http://schemas.microsoft.com/office/drawing/2014/main" id="{00000000-0008-0000-0500-00002D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14</xdr:col>
      <xdr:colOff>83503</xdr:colOff>
      <xdr:row>21</xdr:row>
      <xdr:rowOff>85933</xdr:rowOff>
    </xdr:from>
    <xdr:to>
      <xdr:col>17</xdr:col>
      <xdr:colOff>409575</xdr:colOff>
      <xdr:row>31</xdr:row>
      <xdr:rowOff>177488</xdr:rowOff>
    </xdr:to>
    <xdr:graphicFrame macro="">
      <xdr:nvGraphicFramePr>
        <xdr:cNvPr id="45" name="Chart 44">
          <a:extLst>
            <a:ext uri="{FF2B5EF4-FFF2-40B4-BE49-F238E27FC236}">
              <a16:creationId xmlns:a16="http://schemas.microsoft.com/office/drawing/2014/main" id="{00000000-0008-0000-05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17</xdr:col>
      <xdr:colOff>324802</xdr:colOff>
      <xdr:row>33</xdr:row>
      <xdr:rowOff>17341</xdr:rowOff>
    </xdr:from>
    <xdr:to>
      <xdr:col>18</xdr:col>
      <xdr:colOff>2683</xdr:colOff>
      <xdr:row>33</xdr:row>
      <xdr:rowOff>71341</xdr:rowOff>
    </xdr:to>
    <xdr:sp macro="" textlink="">
      <xdr:nvSpPr>
        <xdr:cNvPr id="52" name="Rectangle 51">
          <a:extLst>
            <a:ext uri="{FF2B5EF4-FFF2-40B4-BE49-F238E27FC236}">
              <a16:creationId xmlns:a16="http://schemas.microsoft.com/office/drawing/2014/main" id="{00000000-0008-0000-0500-000034000000}"/>
            </a:ext>
          </a:extLst>
        </xdr:cNvPr>
        <xdr:cNvSpPr/>
      </xdr:nvSpPr>
      <xdr:spPr>
        <a:xfrm>
          <a:off x="7025640" y="5716259"/>
          <a:ext cx="151200" cy="54000"/>
        </a:xfrm>
        <a:prstGeom prst="rect">
          <a:avLst/>
        </a:prstGeom>
        <a:solidFill>
          <a:srgbClr val="ED974B"/>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absolute">
        <xdr:from>
          <xdr:col>7</xdr:col>
          <xdr:colOff>428625</xdr:colOff>
          <xdr:row>6</xdr:row>
          <xdr:rowOff>28575</xdr:rowOff>
        </xdr:from>
        <xdr:to>
          <xdr:col>9</xdr:col>
          <xdr:colOff>266700</xdr:colOff>
          <xdr:row>7</xdr:row>
          <xdr:rowOff>104775</xdr:rowOff>
        </xdr:to>
        <xdr:sp macro="" textlink="">
          <xdr:nvSpPr>
            <xdr:cNvPr id="7214" name="TextBox7" hidden="1">
              <a:extLst>
                <a:ext uri="{63B3BB69-23CF-44E3-9099-C40C66FF867C}">
                  <a14:compatExt spid="_x0000_s7214"/>
                </a:ext>
                <a:ext uri="{FF2B5EF4-FFF2-40B4-BE49-F238E27FC236}">
                  <a16:creationId xmlns:a16="http://schemas.microsoft.com/office/drawing/2014/main" id="{00000000-0008-0000-0500-00002E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8</xdr:col>
      <xdr:colOff>348738</xdr:colOff>
      <xdr:row>15</xdr:row>
      <xdr:rowOff>158823</xdr:rowOff>
    </xdr:from>
    <xdr:to>
      <xdr:col>9</xdr:col>
      <xdr:colOff>70184</xdr:colOff>
      <xdr:row>16</xdr:row>
      <xdr:rowOff>163839</xdr:rowOff>
    </xdr:to>
    <xdr:sp macro="" textlink="">
      <xdr:nvSpPr>
        <xdr:cNvPr id="48" name="Rectangle 47">
          <a:extLst>
            <a:ext uri="{FF2B5EF4-FFF2-40B4-BE49-F238E27FC236}">
              <a16:creationId xmlns:a16="http://schemas.microsoft.com/office/drawing/2014/main" id="{00000000-0008-0000-0500-000030000000}"/>
            </a:ext>
          </a:extLst>
        </xdr:cNvPr>
        <xdr:cNvSpPr/>
      </xdr:nvSpPr>
      <xdr:spPr>
        <a:xfrm>
          <a:off x="3312918" y="2796116"/>
          <a:ext cx="186266" cy="191348"/>
        </a:xfrm>
        <a:prstGeom prst="rect">
          <a:avLst/>
        </a:prstGeom>
        <a:solidFill>
          <a:srgbClr val="E87D1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absolute">
        <xdr:from>
          <xdr:col>9</xdr:col>
          <xdr:colOff>104775</xdr:colOff>
          <xdr:row>15</xdr:row>
          <xdr:rowOff>123825</xdr:rowOff>
        </xdr:from>
        <xdr:to>
          <xdr:col>13</xdr:col>
          <xdr:colOff>19050</xdr:colOff>
          <xdr:row>18</xdr:row>
          <xdr:rowOff>9525</xdr:rowOff>
        </xdr:to>
        <xdr:sp macro="" textlink="">
          <xdr:nvSpPr>
            <xdr:cNvPr id="7215" name="TextBox9" hidden="1">
              <a:extLst>
                <a:ext uri="{63B3BB69-23CF-44E3-9099-C40C66FF867C}">
                  <a14:compatExt spid="_x0000_s7215"/>
                </a:ext>
                <a:ext uri="{FF2B5EF4-FFF2-40B4-BE49-F238E27FC236}">
                  <a16:creationId xmlns:a16="http://schemas.microsoft.com/office/drawing/2014/main" id="{00000000-0008-0000-0500-00002F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304800</xdr:colOff>
          <xdr:row>18</xdr:row>
          <xdr:rowOff>38100</xdr:rowOff>
        </xdr:from>
        <xdr:to>
          <xdr:col>6</xdr:col>
          <xdr:colOff>9525</xdr:colOff>
          <xdr:row>20</xdr:row>
          <xdr:rowOff>190500</xdr:rowOff>
        </xdr:to>
        <xdr:sp macro="" textlink="">
          <xdr:nvSpPr>
            <xdr:cNvPr id="7216" name="TextBox16" hidden="1">
              <a:extLst>
                <a:ext uri="{63B3BB69-23CF-44E3-9099-C40C66FF867C}">
                  <a14:compatExt spid="_x0000_s7216"/>
                </a:ext>
                <a:ext uri="{FF2B5EF4-FFF2-40B4-BE49-F238E27FC236}">
                  <a16:creationId xmlns:a16="http://schemas.microsoft.com/office/drawing/2014/main" id="{00000000-0008-0000-0500-000030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10</xdr:col>
          <xdr:colOff>85725</xdr:colOff>
          <xdr:row>19</xdr:row>
          <xdr:rowOff>123825</xdr:rowOff>
        </xdr:from>
        <xdr:to>
          <xdr:col>11</xdr:col>
          <xdr:colOff>247650</xdr:colOff>
          <xdr:row>20</xdr:row>
          <xdr:rowOff>161925</xdr:rowOff>
        </xdr:to>
        <xdr:sp macro="" textlink="">
          <xdr:nvSpPr>
            <xdr:cNvPr id="7217" name="TextBox19" hidden="1">
              <a:extLst>
                <a:ext uri="{63B3BB69-23CF-44E3-9099-C40C66FF867C}">
                  <a14:compatExt spid="_x0000_s7217"/>
                </a:ext>
                <a:ext uri="{FF2B5EF4-FFF2-40B4-BE49-F238E27FC236}">
                  <a16:creationId xmlns:a16="http://schemas.microsoft.com/office/drawing/2014/main" id="{00000000-0008-0000-0500-000031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6</xdr:col>
          <xdr:colOff>38100</xdr:colOff>
          <xdr:row>18</xdr:row>
          <xdr:rowOff>28575</xdr:rowOff>
        </xdr:from>
        <xdr:to>
          <xdr:col>8</xdr:col>
          <xdr:colOff>285750</xdr:colOff>
          <xdr:row>20</xdr:row>
          <xdr:rowOff>180975</xdr:rowOff>
        </xdr:to>
        <xdr:sp macro="" textlink="">
          <xdr:nvSpPr>
            <xdr:cNvPr id="7218" name="TextBox20" hidden="1">
              <a:extLst>
                <a:ext uri="{63B3BB69-23CF-44E3-9099-C40C66FF867C}">
                  <a14:compatExt spid="_x0000_s7218"/>
                </a:ext>
                <a:ext uri="{FF2B5EF4-FFF2-40B4-BE49-F238E27FC236}">
                  <a16:creationId xmlns:a16="http://schemas.microsoft.com/office/drawing/2014/main" id="{00000000-0008-0000-0500-000032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16</xdr:col>
          <xdr:colOff>0</xdr:colOff>
          <xdr:row>18</xdr:row>
          <xdr:rowOff>38100</xdr:rowOff>
        </xdr:from>
        <xdr:to>
          <xdr:col>16383</xdr:col>
          <xdr:colOff>0</xdr:colOff>
          <xdr:row>20</xdr:row>
          <xdr:rowOff>85725</xdr:rowOff>
        </xdr:to>
        <xdr:sp macro="" textlink="">
          <xdr:nvSpPr>
            <xdr:cNvPr id="7219" name="TextBox21" hidden="1">
              <a:extLst>
                <a:ext uri="{63B3BB69-23CF-44E3-9099-C40C66FF867C}">
                  <a14:compatExt spid="_x0000_s7219"/>
                </a:ext>
                <a:ext uri="{FF2B5EF4-FFF2-40B4-BE49-F238E27FC236}">
                  <a16:creationId xmlns:a16="http://schemas.microsoft.com/office/drawing/2014/main" id="{00000000-0008-0000-0500-000033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15</xdr:col>
      <xdr:colOff>7620</xdr:colOff>
      <xdr:row>33</xdr:row>
      <xdr:rowOff>26241</xdr:rowOff>
    </xdr:from>
    <xdr:to>
      <xdr:col>15</xdr:col>
      <xdr:colOff>158820</xdr:colOff>
      <xdr:row>33</xdr:row>
      <xdr:rowOff>79581</xdr:rowOff>
    </xdr:to>
    <xdr:sp macro="" textlink="">
      <xdr:nvSpPr>
        <xdr:cNvPr id="53" name="Rectangle 52">
          <a:extLst>
            <a:ext uri="{FF2B5EF4-FFF2-40B4-BE49-F238E27FC236}">
              <a16:creationId xmlns:a16="http://schemas.microsoft.com/office/drawing/2014/main" id="{00000000-0008-0000-0500-000035000000}"/>
            </a:ext>
          </a:extLst>
        </xdr:cNvPr>
        <xdr:cNvSpPr/>
      </xdr:nvSpPr>
      <xdr:spPr>
        <a:xfrm>
          <a:off x="5684520" y="5725159"/>
          <a:ext cx="151200" cy="53340"/>
        </a:xfrm>
        <a:prstGeom prst="rect">
          <a:avLst/>
        </a:prstGeom>
        <a:solidFill>
          <a:srgbClr val="104F7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18</xdr:col>
      <xdr:colOff>39689</xdr:colOff>
      <xdr:row>21</xdr:row>
      <xdr:rowOff>85932</xdr:rowOff>
    </xdr:from>
    <xdr:to>
      <xdr:col>20</xdr:col>
      <xdr:colOff>292100</xdr:colOff>
      <xdr:row>31</xdr:row>
      <xdr:rowOff>172900</xdr:rowOff>
    </xdr:to>
    <xdr:graphicFrame macro="">
      <xdr:nvGraphicFramePr>
        <xdr:cNvPr id="57" name="Chart 56">
          <a:extLst>
            <a:ext uri="{FF2B5EF4-FFF2-40B4-BE49-F238E27FC236}">
              <a16:creationId xmlns:a16="http://schemas.microsoft.com/office/drawing/2014/main" id="{00000000-0008-0000-05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22</xdr:col>
      <xdr:colOff>146049</xdr:colOff>
      <xdr:row>21</xdr:row>
      <xdr:rowOff>109746</xdr:rowOff>
    </xdr:from>
    <xdr:to>
      <xdr:col>24</xdr:col>
      <xdr:colOff>492126</xdr:colOff>
      <xdr:row>32</xdr:row>
      <xdr:rowOff>55084</xdr:rowOff>
    </xdr:to>
    <xdr:graphicFrame macro="">
      <xdr:nvGraphicFramePr>
        <xdr:cNvPr id="58" name="Chart 57">
          <a:extLst>
            <a:ext uri="{FF2B5EF4-FFF2-40B4-BE49-F238E27FC236}">
              <a16:creationId xmlns:a16="http://schemas.microsoft.com/office/drawing/2014/main" id="{00000000-0008-0000-05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absolute">
        <xdr:from>
          <xdr:col>7</xdr:col>
          <xdr:colOff>85725</xdr:colOff>
          <xdr:row>4</xdr:row>
          <xdr:rowOff>0</xdr:rowOff>
        </xdr:from>
        <xdr:to>
          <xdr:col>10</xdr:col>
          <xdr:colOff>0</xdr:colOff>
          <xdr:row>6</xdr:row>
          <xdr:rowOff>0</xdr:rowOff>
        </xdr:to>
        <xdr:sp macro="" textlink="">
          <xdr:nvSpPr>
            <xdr:cNvPr id="7221" name="TextBox15" hidden="1">
              <a:extLst>
                <a:ext uri="{63B3BB69-23CF-44E3-9099-C40C66FF867C}">
                  <a14:compatExt spid="_x0000_s7221"/>
                </a:ext>
                <a:ext uri="{FF2B5EF4-FFF2-40B4-BE49-F238E27FC236}">
                  <a16:creationId xmlns:a16="http://schemas.microsoft.com/office/drawing/2014/main" id="{00000000-0008-0000-0500-000035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447675</xdr:colOff>
          <xdr:row>4</xdr:row>
          <xdr:rowOff>0</xdr:rowOff>
        </xdr:from>
        <xdr:to>
          <xdr:col>6</xdr:col>
          <xdr:colOff>485775</xdr:colOff>
          <xdr:row>7</xdr:row>
          <xdr:rowOff>142875</xdr:rowOff>
        </xdr:to>
        <xdr:sp macro="" textlink="">
          <xdr:nvSpPr>
            <xdr:cNvPr id="7222" name="TextBox23" hidden="1">
              <a:extLst>
                <a:ext uri="{63B3BB69-23CF-44E3-9099-C40C66FF867C}">
                  <a14:compatExt spid="_x0000_s7222"/>
                </a:ext>
                <a:ext uri="{FF2B5EF4-FFF2-40B4-BE49-F238E27FC236}">
                  <a16:creationId xmlns:a16="http://schemas.microsoft.com/office/drawing/2014/main" id="{00000000-0008-0000-0500-000036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17</xdr:col>
      <xdr:colOff>316230</xdr:colOff>
      <xdr:row>5</xdr:row>
      <xdr:rowOff>22437</xdr:rowOff>
    </xdr:from>
    <xdr:to>
      <xdr:col>17</xdr:col>
      <xdr:colOff>316230</xdr:colOff>
      <xdr:row>5</xdr:row>
      <xdr:rowOff>76437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flipV="1">
          <a:off x="6964680" y="760625"/>
          <a:ext cx="0" cy="54000"/>
        </a:xfrm>
        <a:prstGeom prst="line">
          <a:avLst/>
        </a:prstGeom>
        <a:ln>
          <a:solidFill>
            <a:srgbClr val="104F75"/>
          </a:solidFill>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11</xdr:col>
          <xdr:colOff>295275</xdr:colOff>
          <xdr:row>19</xdr:row>
          <xdr:rowOff>133350</xdr:rowOff>
        </xdr:from>
        <xdr:to>
          <xdr:col>13</xdr:col>
          <xdr:colOff>0</xdr:colOff>
          <xdr:row>20</xdr:row>
          <xdr:rowOff>171450</xdr:rowOff>
        </xdr:to>
        <xdr:sp macro="" textlink="">
          <xdr:nvSpPr>
            <xdr:cNvPr id="7224" name="TextBox24" hidden="1">
              <a:extLst>
                <a:ext uri="{63B3BB69-23CF-44E3-9099-C40C66FF867C}">
                  <a14:compatExt spid="_x0000_s7224"/>
                </a:ext>
                <a:ext uri="{FF2B5EF4-FFF2-40B4-BE49-F238E27FC236}">
                  <a16:creationId xmlns:a16="http://schemas.microsoft.com/office/drawing/2014/main" id="{00000000-0008-0000-0500-000038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10</xdr:col>
          <xdr:colOff>142875</xdr:colOff>
          <xdr:row>18</xdr:row>
          <xdr:rowOff>38100</xdr:rowOff>
        </xdr:from>
        <xdr:to>
          <xdr:col>11</xdr:col>
          <xdr:colOff>209550</xdr:colOff>
          <xdr:row>19</xdr:row>
          <xdr:rowOff>161925</xdr:rowOff>
        </xdr:to>
        <xdr:sp macro="" textlink="">
          <xdr:nvSpPr>
            <xdr:cNvPr id="7225" name="TextBox25" hidden="1">
              <a:extLst>
                <a:ext uri="{63B3BB69-23CF-44E3-9099-C40C66FF867C}">
                  <a14:compatExt spid="_x0000_s7225"/>
                </a:ext>
                <a:ext uri="{FF2B5EF4-FFF2-40B4-BE49-F238E27FC236}">
                  <a16:creationId xmlns:a16="http://schemas.microsoft.com/office/drawing/2014/main" id="{00000000-0008-0000-0500-000039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8</xdr:col>
          <xdr:colOff>409575</xdr:colOff>
          <xdr:row>18</xdr:row>
          <xdr:rowOff>38100</xdr:rowOff>
        </xdr:from>
        <xdr:to>
          <xdr:col>10</xdr:col>
          <xdr:colOff>19050</xdr:colOff>
          <xdr:row>19</xdr:row>
          <xdr:rowOff>161925</xdr:rowOff>
        </xdr:to>
        <xdr:sp macro="" textlink="">
          <xdr:nvSpPr>
            <xdr:cNvPr id="7226" name="TextBox26" hidden="1">
              <a:extLst>
                <a:ext uri="{63B3BB69-23CF-44E3-9099-C40C66FF867C}">
                  <a14:compatExt spid="_x0000_s7226"/>
                </a:ext>
                <a:ext uri="{FF2B5EF4-FFF2-40B4-BE49-F238E27FC236}">
                  <a16:creationId xmlns:a16="http://schemas.microsoft.com/office/drawing/2014/main" id="{00000000-0008-0000-0500-00003A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17</xdr:col>
      <xdr:colOff>323850</xdr:colOff>
      <xdr:row>11</xdr:row>
      <xdr:rowOff>67508</xdr:rowOff>
    </xdr:from>
    <xdr:to>
      <xdr:col>17</xdr:col>
      <xdr:colOff>323850</xdr:colOff>
      <xdr:row>11</xdr:row>
      <xdr:rowOff>118545</xdr:rowOff>
    </xdr:to>
    <xdr:cxnSp macro="">
      <xdr:nvCxnSpPr>
        <xdr:cNvPr id="63" name="Straight Connector 62">
          <a:extLst>
            <a:ext uri="{FF2B5EF4-FFF2-40B4-BE49-F238E27FC236}">
              <a16:creationId xmlns:a16="http://schemas.microsoft.com/office/drawing/2014/main" id="{00000000-0008-0000-0500-00003F000000}"/>
            </a:ext>
          </a:extLst>
        </xdr:cNvPr>
        <xdr:cNvCxnSpPr/>
      </xdr:nvCxnSpPr>
      <xdr:spPr>
        <a:xfrm flipV="1">
          <a:off x="6972300" y="1962776"/>
          <a:ext cx="0" cy="51037"/>
        </a:xfrm>
        <a:prstGeom prst="line">
          <a:avLst/>
        </a:prstGeom>
        <a:ln>
          <a:solidFill>
            <a:srgbClr val="104F75"/>
          </a:solidFill>
        </a:ln>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8</xdr:col>
          <xdr:colOff>352425</xdr:colOff>
          <xdr:row>19</xdr:row>
          <xdr:rowOff>123825</xdr:rowOff>
        </xdr:from>
        <xdr:to>
          <xdr:col>10</xdr:col>
          <xdr:colOff>57150</xdr:colOff>
          <xdr:row>20</xdr:row>
          <xdr:rowOff>161925</xdr:rowOff>
        </xdr:to>
        <xdr:sp macro="" textlink="">
          <xdr:nvSpPr>
            <xdr:cNvPr id="7229" name="TextBox28" hidden="1">
              <a:extLst>
                <a:ext uri="{63B3BB69-23CF-44E3-9099-C40C66FF867C}">
                  <a14:compatExt spid="_x0000_s7229"/>
                </a:ext>
                <a:ext uri="{FF2B5EF4-FFF2-40B4-BE49-F238E27FC236}">
                  <a16:creationId xmlns:a16="http://schemas.microsoft.com/office/drawing/2014/main" id="{00000000-0008-0000-0500-00003D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333375</xdr:colOff>
          <xdr:row>18</xdr:row>
          <xdr:rowOff>28575</xdr:rowOff>
        </xdr:from>
        <xdr:to>
          <xdr:col>12</xdr:col>
          <xdr:colOff>400050</xdr:colOff>
          <xdr:row>19</xdr:row>
          <xdr:rowOff>152400</xdr:rowOff>
        </xdr:to>
        <xdr:sp macro="" textlink="">
          <xdr:nvSpPr>
            <xdr:cNvPr id="7230" name="TextBox29" hidden="1">
              <a:extLst>
                <a:ext uri="{63B3BB69-23CF-44E3-9099-C40C66FF867C}">
                  <a14:compatExt spid="_x0000_s7230"/>
                </a:ext>
                <a:ext uri="{FF2B5EF4-FFF2-40B4-BE49-F238E27FC236}">
                  <a16:creationId xmlns:a16="http://schemas.microsoft.com/office/drawing/2014/main" id="{00000000-0008-0000-0500-00003E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28575</xdr:colOff>
          <xdr:row>22</xdr:row>
          <xdr:rowOff>47625</xdr:rowOff>
        </xdr:from>
        <xdr:to>
          <xdr:col>4</xdr:col>
          <xdr:colOff>95250</xdr:colOff>
          <xdr:row>24</xdr:row>
          <xdr:rowOff>19050</xdr:rowOff>
        </xdr:to>
        <xdr:sp macro="" textlink="">
          <xdr:nvSpPr>
            <xdr:cNvPr id="7232" name="TextBox12" hidden="1">
              <a:extLst>
                <a:ext uri="{63B3BB69-23CF-44E3-9099-C40C66FF867C}">
                  <a14:compatExt spid="_x0000_s7232"/>
                </a:ext>
                <a:ext uri="{FF2B5EF4-FFF2-40B4-BE49-F238E27FC236}">
                  <a16:creationId xmlns:a16="http://schemas.microsoft.com/office/drawing/2014/main" id="{00000000-0008-0000-0500-000040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28575</xdr:colOff>
          <xdr:row>25</xdr:row>
          <xdr:rowOff>180975</xdr:rowOff>
        </xdr:from>
        <xdr:to>
          <xdr:col>4</xdr:col>
          <xdr:colOff>95250</xdr:colOff>
          <xdr:row>27</xdr:row>
          <xdr:rowOff>152400</xdr:rowOff>
        </xdr:to>
        <xdr:sp macro="" textlink="">
          <xdr:nvSpPr>
            <xdr:cNvPr id="7233" name="TextBox30" hidden="1">
              <a:extLst>
                <a:ext uri="{63B3BB69-23CF-44E3-9099-C40C66FF867C}">
                  <a14:compatExt spid="_x0000_s7233"/>
                </a:ext>
                <a:ext uri="{FF2B5EF4-FFF2-40B4-BE49-F238E27FC236}">
                  <a16:creationId xmlns:a16="http://schemas.microsoft.com/office/drawing/2014/main" id="{00000000-0008-0000-0500-000041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28575</xdr:colOff>
          <xdr:row>27</xdr:row>
          <xdr:rowOff>152400</xdr:rowOff>
        </xdr:from>
        <xdr:to>
          <xdr:col>4</xdr:col>
          <xdr:colOff>95250</xdr:colOff>
          <xdr:row>29</xdr:row>
          <xdr:rowOff>123825</xdr:rowOff>
        </xdr:to>
        <xdr:sp macro="" textlink="">
          <xdr:nvSpPr>
            <xdr:cNvPr id="7234" name="TextBox32" hidden="1">
              <a:extLst>
                <a:ext uri="{63B3BB69-23CF-44E3-9099-C40C66FF867C}">
                  <a14:compatExt spid="_x0000_s7234"/>
                </a:ext>
                <a:ext uri="{FF2B5EF4-FFF2-40B4-BE49-F238E27FC236}">
                  <a16:creationId xmlns:a16="http://schemas.microsoft.com/office/drawing/2014/main" id="{00000000-0008-0000-0500-000042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28575</xdr:colOff>
          <xdr:row>24</xdr:row>
          <xdr:rowOff>19050</xdr:rowOff>
        </xdr:from>
        <xdr:to>
          <xdr:col>4</xdr:col>
          <xdr:colOff>95250</xdr:colOff>
          <xdr:row>25</xdr:row>
          <xdr:rowOff>180975</xdr:rowOff>
        </xdr:to>
        <xdr:sp macro="" textlink="">
          <xdr:nvSpPr>
            <xdr:cNvPr id="7235" name="TextBox33" hidden="1">
              <a:extLst>
                <a:ext uri="{63B3BB69-23CF-44E3-9099-C40C66FF867C}">
                  <a14:compatExt spid="_x0000_s7235"/>
                </a:ext>
                <a:ext uri="{FF2B5EF4-FFF2-40B4-BE49-F238E27FC236}">
                  <a16:creationId xmlns:a16="http://schemas.microsoft.com/office/drawing/2014/main" id="{00000000-0008-0000-0500-000043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38100</xdr:colOff>
          <xdr:row>31</xdr:row>
          <xdr:rowOff>28575</xdr:rowOff>
        </xdr:from>
        <xdr:to>
          <xdr:col>2</xdr:col>
          <xdr:colOff>409575</xdr:colOff>
          <xdr:row>32</xdr:row>
          <xdr:rowOff>180975</xdr:rowOff>
        </xdr:to>
        <xdr:sp macro="" textlink="">
          <xdr:nvSpPr>
            <xdr:cNvPr id="7236" name="Qualitygraphhider" hidden="1">
              <a:extLst>
                <a:ext uri="{63B3BB69-23CF-44E3-9099-C40C66FF867C}">
                  <a14:compatExt spid="_x0000_s7236"/>
                </a:ext>
                <a:ext uri="{FF2B5EF4-FFF2-40B4-BE49-F238E27FC236}">
                  <a16:creationId xmlns:a16="http://schemas.microsoft.com/office/drawing/2014/main" id="{00000000-0008-0000-0500-000044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17</xdr:col>
      <xdr:colOff>15240</xdr:colOff>
      <xdr:row>4</xdr:row>
      <xdr:rowOff>52917</xdr:rowOff>
    </xdr:from>
    <xdr:to>
      <xdr:col>18</xdr:col>
      <xdr:colOff>167640</xdr:colOff>
      <xdr:row>5</xdr:row>
      <xdr:rowOff>45297</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663690" y="600605"/>
          <a:ext cx="63817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a:solidFill>
                <a:srgbClr val="104F75"/>
              </a:solidFill>
            </a:rPr>
            <a:t>Accurate</a:t>
          </a:r>
        </a:p>
      </xdr:txBody>
    </xdr:sp>
    <xdr:clientData/>
  </xdr:twoCellAnchor>
  <mc:AlternateContent xmlns:mc="http://schemas.openxmlformats.org/markup-compatibility/2006">
    <mc:Choice xmlns:a14="http://schemas.microsoft.com/office/drawing/2010/main" Requires="a14">
      <xdr:twoCellAnchor editAs="absolute">
        <xdr:from>
          <xdr:col>22</xdr:col>
          <xdr:colOff>9525</xdr:colOff>
          <xdr:row>4</xdr:row>
          <xdr:rowOff>180975</xdr:rowOff>
        </xdr:from>
        <xdr:to>
          <xdr:col>24</xdr:col>
          <xdr:colOff>609600</xdr:colOff>
          <xdr:row>7</xdr:row>
          <xdr:rowOff>47625</xdr:rowOff>
        </xdr:to>
        <xdr:sp macro="" textlink="">
          <xdr:nvSpPr>
            <xdr:cNvPr id="7238" name="TextBox35" hidden="1">
              <a:extLst>
                <a:ext uri="{63B3BB69-23CF-44E3-9099-C40C66FF867C}">
                  <a14:compatExt spid="_x0000_s7238"/>
                </a:ext>
                <a:ext uri="{FF2B5EF4-FFF2-40B4-BE49-F238E27FC236}">
                  <a16:creationId xmlns:a16="http://schemas.microsoft.com/office/drawing/2014/main" id="{00000000-0008-0000-0500-000046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absolute">
    <xdr:from>
      <xdr:col>17</xdr:col>
      <xdr:colOff>22860</xdr:colOff>
      <xdr:row>10</xdr:row>
      <xdr:rowOff>71315</xdr:rowOff>
    </xdr:from>
    <xdr:to>
      <xdr:col>18</xdr:col>
      <xdr:colOff>175260</xdr:colOff>
      <xdr:row>11</xdr:row>
      <xdr:rowOff>71316</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6671310" y="1785609"/>
          <a:ext cx="6381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a:solidFill>
                <a:srgbClr val="104F75"/>
              </a:solidFill>
            </a:rPr>
            <a:t>Accurate</a:t>
          </a:r>
        </a:p>
      </xdr:txBody>
    </xdr:sp>
    <xdr:clientData/>
  </xdr:twoCellAnchor>
  <xdr:twoCellAnchor editAs="absolute">
    <xdr:from>
      <xdr:col>22</xdr:col>
      <xdr:colOff>96836</xdr:colOff>
      <xdr:row>10</xdr:row>
      <xdr:rowOff>108951</xdr:rowOff>
    </xdr:from>
    <xdr:to>
      <xdr:col>24</xdr:col>
      <xdr:colOff>735012</xdr:colOff>
      <xdr:row>17</xdr:row>
      <xdr:rowOff>32752</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absolute">
        <xdr:from>
          <xdr:col>23</xdr:col>
          <xdr:colOff>466725</xdr:colOff>
          <xdr:row>8</xdr:row>
          <xdr:rowOff>219075</xdr:rowOff>
        </xdr:from>
        <xdr:to>
          <xdr:col>24</xdr:col>
          <xdr:colOff>419100</xdr:colOff>
          <xdr:row>10</xdr:row>
          <xdr:rowOff>76200</xdr:rowOff>
        </xdr:to>
        <xdr:sp macro="" textlink="">
          <xdr:nvSpPr>
            <xdr:cNvPr id="7239" name="TextBox36" hidden="1">
              <a:extLst>
                <a:ext uri="{63B3BB69-23CF-44E3-9099-C40C66FF867C}">
                  <a14:compatExt spid="_x0000_s7239"/>
                </a:ext>
                <a:ext uri="{FF2B5EF4-FFF2-40B4-BE49-F238E27FC236}">
                  <a16:creationId xmlns:a16="http://schemas.microsoft.com/office/drawing/2014/main" id="{00000000-0008-0000-0500-000047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22</xdr:col>
          <xdr:colOff>9525</xdr:colOff>
          <xdr:row>9</xdr:row>
          <xdr:rowOff>19050</xdr:rowOff>
        </xdr:from>
        <xdr:to>
          <xdr:col>23</xdr:col>
          <xdr:colOff>466725</xdr:colOff>
          <xdr:row>10</xdr:row>
          <xdr:rowOff>95250</xdr:rowOff>
        </xdr:to>
        <xdr:sp macro="" textlink="">
          <xdr:nvSpPr>
            <xdr:cNvPr id="7241" name="TextBox37" hidden="1">
              <a:extLst>
                <a:ext uri="{63B3BB69-23CF-44E3-9099-C40C66FF867C}">
                  <a14:compatExt spid="_x0000_s7241"/>
                </a:ext>
                <a:ext uri="{FF2B5EF4-FFF2-40B4-BE49-F238E27FC236}">
                  <a16:creationId xmlns:a16="http://schemas.microsoft.com/office/drawing/2014/main" id="{00000000-0008-0000-0500-000049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23</xdr:col>
          <xdr:colOff>466725</xdr:colOff>
          <xdr:row>7</xdr:row>
          <xdr:rowOff>76200</xdr:rowOff>
        </xdr:from>
        <xdr:to>
          <xdr:col>24</xdr:col>
          <xdr:colOff>419100</xdr:colOff>
          <xdr:row>8</xdr:row>
          <xdr:rowOff>152400</xdr:rowOff>
        </xdr:to>
        <xdr:sp macro="" textlink="">
          <xdr:nvSpPr>
            <xdr:cNvPr id="7242" name="TextBox38" hidden="1">
              <a:extLst>
                <a:ext uri="{63B3BB69-23CF-44E3-9099-C40C66FF867C}">
                  <a14:compatExt spid="_x0000_s7242"/>
                </a:ext>
                <a:ext uri="{FF2B5EF4-FFF2-40B4-BE49-F238E27FC236}">
                  <a16:creationId xmlns:a16="http://schemas.microsoft.com/office/drawing/2014/main" id="{00000000-0008-0000-0500-00004A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22</xdr:col>
          <xdr:colOff>9525</xdr:colOff>
          <xdr:row>7</xdr:row>
          <xdr:rowOff>114300</xdr:rowOff>
        </xdr:from>
        <xdr:to>
          <xdr:col>23</xdr:col>
          <xdr:colOff>485775</xdr:colOff>
          <xdr:row>8</xdr:row>
          <xdr:rowOff>190500</xdr:rowOff>
        </xdr:to>
        <xdr:sp macro="" textlink="">
          <xdr:nvSpPr>
            <xdr:cNvPr id="7243" name="TextBox39" hidden="1">
              <a:extLst>
                <a:ext uri="{63B3BB69-23CF-44E3-9099-C40C66FF867C}">
                  <a14:compatExt spid="_x0000_s7243"/>
                </a:ext>
                <a:ext uri="{FF2B5EF4-FFF2-40B4-BE49-F238E27FC236}">
                  <a16:creationId xmlns:a16="http://schemas.microsoft.com/office/drawing/2014/main" id="{00000000-0008-0000-0500-00004B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24</xdr:col>
      <xdr:colOff>300037</xdr:colOff>
      <xdr:row>14</xdr:row>
      <xdr:rowOff>23812</xdr:rowOff>
    </xdr:from>
    <xdr:to>
      <xdr:col>26</xdr:col>
      <xdr:colOff>0</xdr:colOff>
      <xdr:row>15</xdr:row>
      <xdr:rowOff>108584</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9244012" y="2424112"/>
          <a:ext cx="290513" cy="265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latin typeface="Webdings" panose="05030102010509060703" pitchFamily="18" charset="2"/>
            </a:rPr>
            <a:t>=</a:t>
          </a:r>
          <a:endParaRPr lang="en-GB" sz="1100">
            <a:solidFill>
              <a:schemeClr val="bg1"/>
            </a:solidFill>
            <a:latin typeface="Webdings" panose="05030102010509060703" pitchFamily="18" charset="2"/>
          </a:endParaRPr>
        </a:p>
      </xdr:txBody>
    </xdr:sp>
    <xdr:clientData/>
  </xdr:twoCellAnchor>
  <mc:AlternateContent xmlns:mc="http://schemas.openxmlformats.org/markup-compatibility/2006">
    <mc:Choice xmlns:a14="http://schemas.microsoft.com/office/drawing/2010/main" Requires="a14">
      <xdr:twoCellAnchor editAs="absolute">
        <xdr:from>
          <xdr:col>7</xdr:col>
          <xdr:colOff>0</xdr:colOff>
          <xdr:row>22</xdr:row>
          <xdr:rowOff>152400</xdr:rowOff>
        </xdr:from>
        <xdr:to>
          <xdr:col>9</xdr:col>
          <xdr:colOff>161925</xdr:colOff>
          <xdr:row>24</xdr:row>
          <xdr:rowOff>0</xdr:rowOff>
        </xdr:to>
        <xdr:sp macro="" textlink="">
          <xdr:nvSpPr>
            <xdr:cNvPr id="7248" name="TextBox34" hidden="1">
              <a:extLst>
                <a:ext uri="{63B3BB69-23CF-44E3-9099-C40C66FF867C}">
                  <a14:compatExt spid="_x0000_s7248"/>
                </a:ext>
                <a:ext uri="{FF2B5EF4-FFF2-40B4-BE49-F238E27FC236}">
                  <a16:creationId xmlns:a16="http://schemas.microsoft.com/office/drawing/2014/main" id="{00000000-0008-0000-0500-000050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10</xdr:col>
          <xdr:colOff>304800</xdr:colOff>
          <xdr:row>6</xdr:row>
          <xdr:rowOff>28575</xdr:rowOff>
        </xdr:from>
        <xdr:to>
          <xdr:col>12</xdr:col>
          <xdr:colOff>142875</xdr:colOff>
          <xdr:row>7</xdr:row>
          <xdr:rowOff>104775</xdr:rowOff>
        </xdr:to>
        <xdr:sp macro="" textlink="">
          <xdr:nvSpPr>
            <xdr:cNvPr id="7250" name="TextBox27" hidden="1">
              <a:extLst>
                <a:ext uri="{63B3BB69-23CF-44E3-9099-C40C66FF867C}">
                  <a14:compatExt spid="_x0000_s7250"/>
                </a:ext>
                <a:ext uri="{FF2B5EF4-FFF2-40B4-BE49-F238E27FC236}">
                  <a16:creationId xmlns:a16="http://schemas.microsoft.com/office/drawing/2014/main" id="{00000000-0008-0000-0500-000052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10</xdr:col>
          <xdr:colOff>104775</xdr:colOff>
          <xdr:row>3</xdr:row>
          <xdr:rowOff>66675</xdr:rowOff>
        </xdr:from>
        <xdr:to>
          <xdr:col>12</xdr:col>
          <xdr:colOff>409575</xdr:colOff>
          <xdr:row>6</xdr:row>
          <xdr:rowOff>0</xdr:rowOff>
        </xdr:to>
        <xdr:sp macro="" textlink="">
          <xdr:nvSpPr>
            <xdr:cNvPr id="7253" name="TextBox22" hidden="1">
              <a:extLst>
                <a:ext uri="{63B3BB69-23CF-44E3-9099-C40C66FF867C}">
                  <a14:compatExt spid="_x0000_s7253"/>
                </a:ext>
                <a:ext uri="{FF2B5EF4-FFF2-40B4-BE49-F238E27FC236}">
                  <a16:creationId xmlns:a16="http://schemas.microsoft.com/office/drawing/2014/main" id="{00000000-0008-0000-0500-000055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400050</xdr:colOff>
          <xdr:row>20</xdr:row>
          <xdr:rowOff>47625</xdr:rowOff>
        </xdr:from>
        <xdr:to>
          <xdr:col>16383</xdr:col>
          <xdr:colOff>400050</xdr:colOff>
          <xdr:row>21</xdr:row>
          <xdr:rowOff>28575</xdr:rowOff>
        </xdr:to>
        <xdr:sp macro="" textlink="">
          <xdr:nvSpPr>
            <xdr:cNvPr id="7258" name="TextBox40" hidden="1">
              <a:extLst>
                <a:ext uri="{63B3BB69-23CF-44E3-9099-C40C66FF867C}">
                  <a14:compatExt spid="_x0000_s7258"/>
                </a:ext>
                <a:ext uri="{FF2B5EF4-FFF2-40B4-BE49-F238E27FC236}">
                  <a16:creationId xmlns:a16="http://schemas.microsoft.com/office/drawing/2014/main" id="{00000000-0008-0000-0500-00005A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mcgovern\OneDrive%20-%20Department%20for%20Education\Documents\Scorecard\2018_School%20Places%20Scorecard%20-%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Version Control"/>
      <sheetName val="Meta Data"/>
      <sheetName val="Calculations"/>
      <sheetName val="Data"/>
      <sheetName val="Data - SJ QA"/>
      <sheetName val="SQL Output LA w QA"/>
      <sheetName val="Scorecard"/>
      <sheetName val="Technical Notes"/>
      <sheetName val="Primary Summary Data"/>
      <sheetName val="Secondary Summary Data"/>
      <sheetName val="Secondary Summary Data - SJ QA"/>
      <sheetName val="Secondary forecasts from SQL"/>
      <sheetName val="SQL SelenaA6 "/>
    </sheetNames>
    <sheetDataSet>
      <sheetData sheetId="0" refreshError="1"/>
      <sheetData sheetId="1" refreshError="1"/>
      <sheetData sheetId="2" refreshError="1"/>
      <sheetData sheetId="3">
        <row r="2">
          <cell r="A2">
            <v>0</v>
          </cell>
          <cell r="B2" t="str">
            <v>England</v>
          </cell>
          <cell r="C2" t="str">
            <v>Primary</v>
          </cell>
          <cell r="D2" t="str">
            <v>Ofsted Rating</v>
          </cell>
          <cell r="E2" t="str">
            <v>England</v>
          </cell>
          <cell r="F2" t="str">
            <v>Secondary</v>
          </cell>
          <cell r="G2" t="str">
            <v>Reading progress</v>
          </cell>
          <cell r="H2">
            <v>1</v>
          </cell>
          <cell r="I2" t="str">
            <v/>
          </cell>
        </row>
        <row r="3">
          <cell r="A3">
            <v>301</v>
          </cell>
          <cell r="B3" t="str">
            <v>Barking and Dagenham</v>
          </cell>
          <cell r="C3" t="str">
            <v>Secondary</v>
          </cell>
          <cell r="D3" t="str">
            <v>Progress 8 Score</v>
          </cell>
        </row>
        <row r="4">
          <cell r="A4">
            <v>302</v>
          </cell>
          <cell r="B4" t="str">
            <v>Barnet</v>
          </cell>
          <cell r="D4" t="str">
            <v>Maths progress</v>
          </cell>
          <cell r="L4" t="str">
            <v>Total places created between 2009/10 and 2017/18</v>
          </cell>
          <cell r="S4" t="str">
            <v>Places created since 2009/10, places planned to 2020/21 and estimated place pressure in 2020/21</v>
          </cell>
        </row>
        <row r="5">
          <cell r="A5">
            <v>370</v>
          </cell>
          <cell r="B5" t="str">
            <v>Barnsley</v>
          </cell>
          <cell r="D5" t="str">
            <v>Reading progress</v>
          </cell>
          <cell r="L5" t="str">
            <v>New places planned for delivery 2018/19 to 2020/21</v>
          </cell>
        </row>
        <row r="6">
          <cell r="A6">
            <v>800</v>
          </cell>
          <cell r="B6" t="str">
            <v>Bath and North East Somerset</v>
          </cell>
          <cell r="L6" t="str">
            <v>Estimated number of additional places needed to meet demand in 2020/21</v>
          </cell>
          <cell r="Q6" t="str">
            <v>42,560</v>
          </cell>
        </row>
        <row r="7">
          <cell r="A7">
            <v>822</v>
          </cell>
          <cell r="B7" t="str">
            <v>Bedford Borough</v>
          </cell>
          <cell r="L7" t="str">
            <v>Estimated percentage of spare places in 2020/21</v>
          </cell>
          <cell r="Q7" t="str">
            <v>11.0%</v>
          </cell>
        </row>
        <row r="8">
          <cell r="A8">
            <v>303</v>
          </cell>
          <cell r="B8" t="str">
            <v>Bexley</v>
          </cell>
        </row>
        <row r="9">
          <cell r="A9">
            <v>330</v>
          </cell>
          <cell r="B9" t="str">
            <v>Birmingham</v>
          </cell>
        </row>
        <row r="10">
          <cell r="A10">
            <v>889</v>
          </cell>
          <cell r="B10" t="str">
            <v>Blackburn with Darwen</v>
          </cell>
        </row>
        <row r="11">
          <cell r="A11">
            <v>890</v>
          </cell>
          <cell r="B11" t="str">
            <v>Blackpool</v>
          </cell>
          <cell r="L11" t="str">
            <v>+1.5%</v>
          </cell>
        </row>
        <row r="12">
          <cell r="A12">
            <v>350</v>
          </cell>
          <cell r="B12" t="str">
            <v>Bolton</v>
          </cell>
          <cell r="L12" t="str">
            <v>+2.6%</v>
          </cell>
        </row>
        <row r="13">
          <cell r="A13">
            <v>837</v>
          </cell>
          <cell r="B13" t="str">
            <v>Bournemouth</v>
          </cell>
        </row>
        <row r="14">
          <cell r="A14">
            <v>867</v>
          </cell>
          <cell r="B14" t="str">
            <v>Bracknell Forest</v>
          </cell>
        </row>
        <row r="15">
          <cell r="A15">
            <v>380</v>
          </cell>
          <cell r="B15" t="str">
            <v>Bradford</v>
          </cell>
          <cell r="K15" t="str">
            <v>Largest overforecast - all LAs (+9.1%)</v>
          </cell>
          <cell r="L15" t="str">
            <v>Largest underforecast - all LAs (-7.6%)</v>
          </cell>
          <cell r="M15" t="str">
            <v>Largest overforecast - all LAs (+16.5%)</v>
          </cell>
          <cell r="N15" t="str">
            <v>Largest underforecast - all LAs (-5.3%)</v>
          </cell>
        </row>
        <row r="16">
          <cell r="A16">
            <v>304</v>
          </cell>
          <cell r="B16" t="str">
            <v>Brent</v>
          </cell>
        </row>
        <row r="17">
          <cell r="A17">
            <v>846</v>
          </cell>
          <cell r="B17" t="str">
            <v>Brighton and Hove</v>
          </cell>
        </row>
        <row r="18">
          <cell r="A18">
            <v>801</v>
          </cell>
          <cell r="B18" t="str">
            <v>Bristol City of</v>
          </cell>
        </row>
        <row r="19">
          <cell r="A19">
            <v>305</v>
          </cell>
          <cell r="B19" t="str">
            <v>Bromley</v>
          </cell>
        </row>
        <row r="20">
          <cell r="A20">
            <v>825</v>
          </cell>
          <cell r="B20" t="str">
            <v>Buckinghamshire</v>
          </cell>
          <cell r="L20" t="str">
            <v>Existing places</v>
          </cell>
          <cell r="Y20" t="str">
            <v>-</v>
          </cell>
        </row>
        <row r="21">
          <cell r="A21">
            <v>351</v>
          </cell>
          <cell r="B21" t="str">
            <v>Bury</v>
          </cell>
          <cell r="L21" t="str">
            <v>New places</v>
          </cell>
        </row>
        <row r="22">
          <cell r="A22">
            <v>381</v>
          </cell>
          <cell r="B22" t="str">
            <v>Calderdale</v>
          </cell>
          <cell r="Y22" t="str">
            <v>-</v>
          </cell>
        </row>
        <row r="23">
          <cell r="A23">
            <v>873</v>
          </cell>
          <cell r="B23" t="str">
            <v>Cambridgeshire</v>
          </cell>
          <cell r="Y23" t="str">
            <v>LA Rank</v>
          </cell>
        </row>
        <row r="24">
          <cell r="A24">
            <v>202</v>
          </cell>
          <cell r="B24" t="str">
            <v>Camden</v>
          </cell>
          <cell r="K24" t="str">
            <v/>
          </cell>
          <cell r="Y24" t="str">
            <v xml:space="preserve"> /</v>
          </cell>
        </row>
        <row r="25">
          <cell r="A25">
            <v>823</v>
          </cell>
          <cell r="B25" t="str">
            <v>Central Bedfordshire</v>
          </cell>
          <cell r="K25" t="str">
            <v>Quality of places created between 2016/17 and 2017/18</v>
          </cell>
          <cell r="L25" t="str">
            <v>Proportion of new places created in well above and above average schools</v>
          </cell>
          <cell r="P25" t="str">
            <v>LA</v>
          </cell>
          <cell r="Q25" t="str">
            <v>England</v>
          </cell>
        </row>
        <row r="26">
          <cell r="A26">
            <v>895</v>
          </cell>
          <cell r="B26" t="str">
            <v>Cheshire East</v>
          </cell>
        </row>
        <row r="27">
          <cell r="A27">
            <v>896</v>
          </cell>
          <cell r="B27" t="str">
            <v>Cheshire West and Chester</v>
          </cell>
        </row>
        <row r="28">
          <cell r="A28">
            <v>201</v>
          </cell>
          <cell r="B28" t="str">
            <v>City of London</v>
          </cell>
        </row>
        <row r="29">
          <cell r="A29">
            <v>908</v>
          </cell>
          <cell r="B29" t="str">
            <v>Cornwall</v>
          </cell>
        </row>
        <row r="30">
          <cell r="A30">
            <v>331</v>
          </cell>
          <cell r="B30" t="str">
            <v>Coventry</v>
          </cell>
          <cell r="L30" t="str">
            <v>0 Project(s)</v>
          </cell>
        </row>
        <row r="31">
          <cell r="A31">
            <v>306</v>
          </cell>
          <cell r="B31" t="str">
            <v>Croydon</v>
          </cell>
          <cell r="L31" t="str">
            <v>0 Project(s)</v>
          </cell>
        </row>
        <row r="32">
          <cell r="A32">
            <v>909</v>
          </cell>
          <cell r="B32" t="str">
            <v>Cumbria</v>
          </cell>
          <cell r="L32" t="str">
            <v>0 Project(s)</v>
          </cell>
        </row>
        <row r="33">
          <cell r="A33">
            <v>841</v>
          </cell>
          <cell r="B33" t="str">
            <v>Darlington</v>
          </cell>
        </row>
        <row r="34">
          <cell r="A34">
            <v>831</v>
          </cell>
          <cell r="B34" t="str">
            <v>Derby</v>
          </cell>
          <cell r="K34" t="str">
            <v>Average cost per additional mainstream place from LA reported projects between 2015/16 and 2017/18, adjusted for inflation and regional variation</v>
          </cell>
        </row>
        <row r="35">
          <cell r="A35">
            <v>830</v>
          </cell>
          <cell r="B35" t="str">
            <v>Derbyshire</v>
          </cell>
        </row>
        <row r="36">
          <cell r="A36">
            <v>878</v>
          </cell>
          <cell r="B36" t="str">
            <v>Devon</v>
          </cell>
        </row>
        <row r="37">
          <cell r="A37">
            <v>371</v>
          </cell>
          <cell r="B37" t="str">
            <v>Doncaster</v>
          </cell>
        </row>
        <row r="38">
          <cell r="A38">
            <v>835</v>
          </cell>
          <cell r="B38" t="str">
            <v>Dorset</v>
          </cell>
        </row>
        <row r="39">
          <cell r="A39">
            <v>332</v>
          </cell>
          <cell r="B39" t="str">
            <v>Dudley</v>
          </cell>
        </row>
        <row r="40">
          <cell r="A40">
            <v>840</v>
          </cell>
          <cell r="B40" t="str">
            <v>Durham</v>
          </cell>
        </row>
        <row r="41">
          <cell r="A41">
            <v>307</v>
          </cell>
          <cell r="B41" t="str">
            <v>Ealing</v>
          </cell>
        </row>
        <row r="42">
          <cell r="A42">
            <v>811</v>
          </cell>
          <cell r="B42" t="str">
            <v>East Riding of Yorkshire</v>
          </cell>
        </row>
        <row r="43">
          <cell r="A43">
            <v>845</v>
          </cell>
          <cell r="B43" t="str">
            <v>East Sussex</v>
          </cell>
        </row>
        <row r="44">
          <cell r="A44">
            <v>308</v>
          </cell>
          <cell r="B44" t="str">
            <v>Enfield</v>
          </cell>
        </row>
        <row r="45">
          <cell r="A45">
            <v>881</v>
          </cell>
          <cell r="B45" t="str">
            <v>Essex</v>
          </cell>
        </row>
        <row r="46">
          <cell r="A46">
            <v>390</v>
          </cell>
          <cell r="B46" t="str">
            <v>Gateshead</v>
          </cell>
        </row>
        <row r="47">
          <cell r="A47">
            <v>916</v>
          </cell>
          <cell r="B47" t="str">
            <v>Gloucestershire</v>
          </cell>
        </row>
        <row r="48">
          <cell r="A48">
            <v>203</v>
          </cell>
          <cell r="B48" t="str">
            <v>Greenwich</v>
          </cell>
        </row>
        <row r="49">
          <cell r="A49">
            <v>204</v>
          </cell>
          <cell r="B49" t="str">
            <v>Hackney</v>
          </cell>
        </row>
        <row r="50">
          <cell r="A50">
            <v>876</v>
          </cell>
          <cell r="B50" t="str">
            <v>Halton</v>
          </cell>
        </row>
        <row r="51">
          <cell r="A51">
            <v>205</v>
          </cell>
          <cell r="B51" t="str">
            <v>Hammersmith and Fulham</v>
          </cell>
        </row>
        <row r="52">
          <cell r="A52">
            <v>850</v>
          </cell>
          <cell r="B52" t="str">
            <v>Hampshire</v>
          </cell>
        </row>
        <row r="53">
          <cell r="A53">
            <v>309</v>
          </cell>
          <cell r="B53" t="str">
            <v>Haringey</v>
          </cell>
        </row>
        <row r="54">
          <cell r="A54">
            <v>310</v>
          </cell>
          <cell r="B54" t="str">
            <v>Harrow</v>
          </cell>
        </row>
        <row r="55">
          <cell r="A55">
            <v>805</v>
          </cell>
          <cell r="B55" t="str">
            <v>Hartlepool</v>
          </cell>
        </row>
        <row r="56">
          <cell r="A56">
            <v>311</v>
          </cell>
          <cell r="B56" t="str">
            <v>Havering</v>
          </cell>
        </row>
        <row r="57">
          <cell r="A57">
            <v>884</v>
          </cell>
          <cell r="B57" t="str">
            <v>Herefordshire</v>
          </cell>
        </row>
        <row r="58">
          <cell r="A58">
            <v>919</v>
          </cell>
          <cell r="B58" t="str">
            <v>Hertfordshire</v>
          </cell>
        </row>
        <row r="59">
          <cell r="A59">
            <v>312</v>
          </cell>
          <cell r="B59" t="str">
            <v>Hillingdon</v>
          </cell>
        </row>
        <row r="60">
          <cell r="A60">
            <v>313</v>
          </cell>
          <cell r="B60" t="str">
            <v>Hounslow</v>
          </cell>
        </row>
        <row r="61">
          <cell r="A61">
            <v>921</v>
          </cell>
          <cell r="B61" t="str">
            <v>Isle of Wight</v>
          </cell>
        </row>
        <row r="62">
          <cell r="A62">
            <v>420</v>
          </cell>
          <cell r="B62" t="str">
            <v>Isles Of Scilly</v>
          </cell>
        </row>
        <row r="63">
          <cell r="A63">
            <v>206</v>
          </cell>
          <cell r="B63" t="str">
            <v>Islington</v>
          </cell>
        </row>
        <row r="64">
          <cell r="A64">
            <v>207</v>
          </cell>
          <cell r="B64" t="str">
            <v>Kensington and Chelsea</v>
          </cell>
        </row>
        <row r="65">
          <cell r="A65">
            <v>886</v>
          </cell>
          <cell r="B65" t="str">
            <v>Kent</v>
          </cell>
        </row>
        <row r="66">
          <cell r="A66">
            <v>810</v>
          </cell>
          <cell r="B66" t="str">
            <v>Kingston upon Hull City of</v>
          </cell>
        </row>
        <row r="67">
          <cell r="A67">
            <v>314</v>
          </cell>
          <cell r="B67" t="str">
            <v>Kingston upon Thames</v>
          </cell>
        </row>
        <row r="68">
          <cell r="A68">
            <v>382</v>
          </cell>
          <cell r="B68" t="str">
            <v>Kirklees</v>
          </cell>
        </row>
        <row r="69">
          <cell r="A69">
            <v>340</v>
          </cell>
          <cell r="B69" t="str">
            <v>Knowsley</v>
          </cell>
        </row>
        <row r="70">
          <cell r="A70">
            <v>208</v>
          </cell>
          <cell r="B70" t="str">
            <v>Lambeth</v>
          </cell>
          <cell r="K70" t="str">
            <v>Total primary and secondary basic need funding 2011-21</v>
          </cell>
        </row>
        <row r="71">
          <cell r="A71">
            <v>888</v>
          </cell>
          <cell r="B71" t="str">
            <v>Lancashire</v>
          </cell>
          <cell r="M71" t="str">
            <v>£11.55bn</v>
          </cell>
        </row>
        <row r="72">
          <cell r="A72">
            <v>383</v>
          </cell>
          <cell r="B72" t="str">
            <v>Leeds</v>
          </cell>
        </row>
        <row r="73">
          <cell r="A73">
            <v>856</v>
          </cell>
          <cell r="B73" t="str">
            <v>Leicester</v>
          </cell>
          <cell r="K73" t="str">
            <v>Growth in secondary pupil numbers 2009/10 to 2020/21</v>
          </cell>
        </row>
        <row r="74">
          <cell r="A74">
            <v>855</v>
          </cell>
          <cell r="B74" t="str">
            <v>Leicestershire</v>
          </cell>
        </row>
        <row r="75">
          <cell r="A75">
            <v>209</v>
          </cell>
          <cell r="B75" t="str">
            <v>Lewisham</v>
          </cell>
        </row>
        <row r="76">
          <cell r="A76">
            <v>925</v>
          </cell>
          <cell r="B76" t="str">
            <v>Lincolnshire</v>
          </cell>
          <cell r="L76" t="str">
            <v>16%</v>
          </cell>
        </row>
        <row r="77">
          <cell r="A77">
            <v>341</v>
          </cell>
          <cell r="B77" t="str">
            <v>Liverpool</v>
          </cell>
        </row>
        <row r="78">
          <cell r="A78">
            <v>821</v>
          </cell>
          <cell r="B78" t="str">
            <v>Luton</v>
          </cell>
        </row>
        <row r="79">
          <cell r="A79">
            <v>352</v>
          </cell>
          <cell r="B79" t="str">
            <v>Manchester</v>
          </cell>
        </row>
        <row r="80">
          <cell r="A80">
            <v>887</v>
          </cell>
          <cell r="B80" t="str">
            <v>Medway</v>
          </cell>
          <cell r="K80" t="str">
            <v>Proportion of applicants who received an offer of one of their top three preferences for September 2018 entry</v>
          </cell>
        </row>
        <row r="81">
          <cell r="A81">
            <v>315</v>
          </cell>
          <cell r="B81" t="str">
            <v>Merton</v>
          </cell>
        </row>
        <row r="82">
          <cell r="A82">
            <v>806</v>
          </cell>
          <cell r="B82" t="str">
            <v>Middlesbrough</v>
          </cell>
        </row>
        <row r="83">
          <cell r="A83">
            <v>826</v>
          </cell>
          <cell r="B83" t="str">
            <v>Milton Keynes</v>
          </cell>
        </row>
        <row r="84">
          <cell r="A84">
            <v>391</v>
          </cell>
          <cell r="B84" t="str">
            <v>Newcastle upon Tyne</v>
          </cell>
          <cell r="O84" t="str">
            <v>93.8%</v>
          </cell>
          <cell r="P84" t="str">
            <v>94.6%</v>
          </cell>
        </row>
        <row r="85">
          <cell r="A85">
            <v>316</v>
          </cell>
          <cell r="B85" t="str">
            <v>Newham</v>
          </cell>
        </row>
        <row r="86">
          <cell r="A86">
            <v>926</v>
          </cell>
          <cell r="B86" t="str">
            <v>Norfolk</v>
          </cell>
        </row>
        <row r="87">
          <cell r="A87">
            <v>812</v>
          </cell>
          <cell r="B87" t="str">
            <v>North East Lincolnshire</v>
          </cell>
        </row>
        <row r="88">
          <cell r="A88">
            <v>813</v>
          </cell>
          <cell r="B88" t="str">
            <v>North Lincolnshire</v>
          </cell>
        </row>
        <row r="89">
          <cell r="A89">
            <v>802</v>
          </cell>
          <cell r="B89" t="str">
            <v>North Somerset</v>
          </cell>
        </row>
        <row r="90">
          <cell r="A90">
            <v>392</v>
          </cell>
          <cell r="B90" t="str">
            <v>North Tyneside</v>
          </cell>
        </row>
        <row r="91">
          <cell r="A91">
            <v>815</v>
          </cell>
          <cell r="B91" t="str">
            <v>North Yorkshire</v>
          </cell>
        </row>
        <row r="92">
          <cell r="A92">
            <v>928</v>
          </cell>
          <cell r="B92" t="str">
            <v>Northamptonshire</v>
          </cell>
        </row>
        <row r="93">
          <cell r="A93">
            <v>929</v>
          </cell>
          <cell r="B93" t="str">
            <v>Northumberland</v>
          </cell>
        </row>
        <row r="94">
          <cell r="A94">
            <v>892</v>
          </cell>
          <cell r="B94" t="str">
            <v>Nottingham</v>
          </cell>
        </row>
        <row r="95">
          <cell r="A95">
            <v>891</v>
          </cell>
          <cell r="B95" t="str">
            <v>Nottinghamshire</v>
          </cell>
        </row>
        <row r="96">
          <cell r="A96">
            <v>353</v>
          </cell>
          <cell r="B96" t="str">
            <v>Oldham</v>
          </cell>
        </row>
        <row r="97">
          <cell r="A97">
            <v>931</v>
          </cell>
          <cell r="B97" t="str">
            <v>Oxfordshire</v>
          </cell>
        </row>
        <row r="98">
          <cell r="A98">
            <v>874</v>
          </cell>
          <cell r="B98" t="str">
            <v>Peterborough</v>
          </cell>
        </row>
        <row r="99">
          <cell r="A99">
            <v>879</v>
          </cell>
          <cell r="B99" t="str">
            <v>Plymouth</v>
          </cell>
        </row>
        <row r="100">
          <cell r="A100">
            <v>836</v>
          </cell>
          <cell r="B100" t="str">
            <v>Poole</v>
          </cell>
        </row>
        <row r="101">
          <cell r="A101">
            <v>851</v>
          </cell>
          <cell r="B101" t="str">
            <v>Portsmouth</v>
          </cell>
        </row>
        <row r="102">
          <cell r="A102">
            <v>870</v>
          </cell>
          <cell r="B102" t="str">
            <v>Reading</v>
          </cell>
        </row>
        <row r="103">
          <cell r="A103">
            <v>317</v>
          </cell>
          <cell r="B103" t="str">
            <v>Redbridge</v>
          </cell>
        </row>
        <row r="104">
          <cell r="A104">
            <v>807</v>
          </cell>
          <cell r="B104" t="str">
            <v>Redcar and Cleveland</v>
          </cell>
        </row>
        <row r="105">
          <cell r="A105">
            <v>318</v>
          </cell>
          <cell r="B105" t="str">
            <v>Richmond upon Thames</v>
          </cell>
        </row>
        <row r="106">
          <cell r="A106">
            <v>354</v>
          </cell>
          <cell r="B106" t="str">
            <v>Rochdale</v>
          </cell>
        </row>
        <row r="107">
          <cell r="A107">
            <v>372</v>
          </cell>
          <cell r="B107" t="str">
            <v>Rotherham</v>
          </cell>
        </row>
        <row r="108">
          <cell r="A108">
            <v>857</v>
          </cell>
          <cell r="B108" t="str">
            <v>Rutland</v>
          </cell>
        </row>
        <row r="109">
          <cell r="A109">
            <v>355</v>
          </cell>
          <cell r="B109" t="str">
            <v>Salford</v>
          </cell>
        </row>
        <row r="110">
          <cell r="A110">
            <v>333</v>
          </cell>
          <cell r="B110" t="str">
            <v>Sandwell</v>
          </cell>
        </row>
        <row r="111">
          <cell r="A111">
            <v>343</v>
          </cell>
          <cell r="B111" t="str">
            <v>Sefton</v>
          </cell>
        </row>
        <row r="112">
          <cell r="A112">
            <v>373</v>
          </cell>
          <cell r="B112" t="str">
            <v>Sheffield</v>
          </cell>
        </row>
        <row r="113">
          <cell r="A113">
            <v>893</v>
          </cell>
          <cell r="B113" t="str">
            <v>Shropshire</v>
          </cell>
        </row>
        <row r="114">
          <cell r="A114">
            <v>871</v>
          </cell>
          <cell r="B114" t="str">
            <v>Slough</v>
          </cell>
        </row>
        <row r="115">
          <cell r="A115">
            <v>334</v>
          </cell>
          <cell r="B115" t="str">
            <v>Solihull</v>
          </cell>
        </row>
        <row r="116">
          <cell r="A116">
            <v>933</v>
          </cell>
          <cell r="B116" t="str">
            <v>Somerset</v>
          </cell>
        </row>
        <row r="117">
          <cell r="A117">
            <v>803</v>
          </cell>
          <cell r="B117" t="str">
            <v>South Gloucestershire</v>
          </cell>
        </row>
        <row r="118">
          <cell r="A118">
            <v>393</v>
          </cell>
          <cell r="B118" t="str">
            <v>South Tyneside</v>
          </cell>
        </row>
        <row r="119">
          <cell r="A119">
            <v>852</v>
          </cell>
          <cell r="B119" t="str">
            <v>Southampton</v>
          </cell>
        </row>
        <row r="120">
          <cell r="A120">
            <v>882</v>
          </cell>
          <cell r="B120" t="str">
            <v>Southend-on-Sea</v>
          </cell>
        </row>
        <row r="121">
          <cell r="A121">
            <v>210</v>
          </cell>
          <cell r="B121" t="str">
            <v>Southwark</v>
          </cell>
        </row>
        <row r="122">
          <cell r="A122">
            <v>342</v>
          </cell>
          <cell r="B122" t="str">
            <v>St Helens</v>
          </cell>
        </row>
        <row r="123">
          <cell r="A123">
            <v>860</v>
          </cell>
          <cell r="B123" t="str">
            <v>Staffordshire</v>
          </cell>
        </row>
        <row r="124">
          <cell r="A124">
            <v>356</v>
          </cell>
          <cell r="B124" t="str">
            <v>Stockport</v>
          </cell>
        </row>
        <row r="125">
          <cell r="A125">
            <v>808</v>
          </cell>
          <cell r="B125" t="str">
            <v>Stockton-on-Tees</v>
          </cell>
        </row>
        <row r="126">
          <cell r="A126">
            <v>861</v>
          </cell>
          <cell r="B126" t="str">
            <v>Stoke-on-Trent</v>
          </cell>
        </row>
        <row r="127">
          <cell r="A127">
            <v>935</v>
          </cell>
          <cell r="B127" t="str">
            <v>Suffolk</v>
          </cell>
        </row>
        <row r="128">
          <cell r="A128">
            <v>394</v>
          </cell>
          <cell r="B128" t="str">
            <v>Sunderland</v>
          </cell>
        </row>
        <row r="129">
          <cell r="A129">
            <v>936</v>
          </cell>
          <cell r="B129" t="str">
            <v>Surrey</v>
          </cell>
        </row>
        <row r="130">
          <cell r="A130">
            <v>319</v>
          </cell>
          <cell r="B130" t="str">
            <v>Sutton</v>
          </cell>
        </row>
        <row r="131">
          <cell r="A131">
            <v>866</v>
          </cell>
          <cell r="B131" t="str">
            <v>Swindon</v>
          </cell>
        </row>
        <row r="132">
          <cell r="A132">
            <v>357</v>
          </cell>
          <cell r="B132" t="str">
            <v>Tameside</v>
          </cell>
        </row>
        <row r="133">
          <cell r="A133">
            <v>894</v>
          </cell>
          <cell r="B133" t="str">
            <v>Telford and Wrekin</v>
          </cell>
        </row>
        <row r="134">
          <cell r="A134">
            <v>883</v>
          </cell>
          <cell r="B134" t="str">
            <v>Thurrock</v>
          </cell>
        </row>
        <row r="135">
          <cell r="A135">
            <v>880</v>
          </cell>
          <cell r="B135" t="str">
            <v>Torbay</v>
          </cell>
        </row>
        <row r="136">
          <cell r="A136">
            <v>211</v>
          </cell>
          <cell r="B136" t="str">
            <v>Tower Hamlets</v>
          </cell>
        </row>
        <row r="137">
          <cell r="A137">
            <v>358</v>
          </cell>
          <cell r="B137" t="str">
            <v>Trafford</v>
          </cell>
        </row>
        <row r="138">
          <cell r="A138">
            <v>384</v>
          </cell>
          <cell r="B138" t="str">
            <v>Wakefield</v>
          </cell>
        </row>
        <row r="139">
          <cell r="A139">
            <v>335</v>
          </cell>
          <cell r="B139" t="str">
            <v>Walsall</v>
          </cell>
        </row>
        <row r="140">
          <cell r="A140">
            <v>320</v>
          </cell>
          <cell r="B140" t="str">
            <v>Waltham Forest</v>
          </cell>
        </row>
        <row r="141">
          <cell r="A141">
            <v>212</v>
          </cell>
          <cell r="B141" t="str">
            <v>Wandsworth</v>
          </cell>
        </row>
        <row r="142">
          <cell r="A142">
            <v>877</v>
          </cell>
          <cell r="B142" t="str">
            <v>Warrington</v>
          </cell>
        </row>
        <row r="143">
          <cell r="A143">
            <v>937</v>
          </cell>
          <cell r="B143" t="str">
            <v>Warwickshire</v>
          </cell>
        </row>
        <row r="144">
          <cell r="A144">
            <v>869</v>
          </cell>
          <cell r="B144" t="str">
            <v>West Berkshire</v>
          </cell>
        </row>
        <row r="145">
          <cell r="A145">
            <v>938</v>
          </cell>
          <cell r="B145" t="str">
            <v>West Sussex</v>
          </cell>
        </row>
        <row r="146">
          <cell r="A146">
            <v>213</v>
          </cell>
          <cell r="B146" t="str">
            <v>Westminster</v>
          </cell>
        </row>
        <row r="147">
          <cell r="A147">
            <v>359</v>
          </cell>
          <cell r="B147" t="str">
            <v>Wigan</v>
          </cell>
        </row>
        <row r="148">
          <cell r="A148">
            <v>865</v>
          </cell>
          <cell r="B148" t="str">
            <v>Wiltshire</v>
          </cell>
        </row>
        <row r="149">
          <cell r="A149">
            <v>868</v>
          </cell>
          <cell r="B149" t="str">
            <v>Windsor and Maidenhead</v>
          </cell>
        </row>
        <row r="150">
          <cell r="A150">
            <v>344</v>
          </cell>
          <cell r="B150" t="str">
            <v>Wirral</v>
          </cell>
        </row>
        <row r="151">
          <cell r="A151">
            <v>872</v>
          </cell>
          <cell r="B151" t="str">
            <v>Wokingham</v>
          </cell>
        </row>
        <row r="152">
          <cell r="A152">
            <v>336</v>
          </cell>
          <cell r="B152" t="str">
            <v>Wolverhampton</v>
          </cell>
        </row>
        <row r="153">
          <cell r="A153">
            <v>885</v>
          </cell>
          <cell r="B153" t="str">
            <v>Worcestershire</v>
          </cell>
        </row>
        <row r="154">
          <cell r="A154">
            <v>816</v>
          </cell>
          <cell r="B154" t="str">
            <v>York</v>
          </cell>
        </row>
      </sheetData>
      <sheetData sheetId="4">
        <row r="2">
          <cell r="A2">
            <v>0</v>
          </cell>
          <cell r="B2">
            <v>2.0927289474356708E-2</v>
          </cell>
          <cell r="C2">
            <v>1.0533309778327395E-2</v>
          </cell>
          <cell r="D2">
            <v>2.5628538051784226E-2</v>
          </cell>
          <cell r="E2">
            <v>1.4557330675173357E-2</v>
          </cell>
          <cell r="F2">
            <v>635802</v>
          </cell>
          <cell r="G2">
            <v>284924</v>
          </cell>
          <cell r="H2">
            <v>45600</v>
          </cell>
          <cell r="I2">
            <v>42560</v>
          </cell>
          <cell r="J2">
            <v>9.3162832236290696E-2</v>
          </cell>
          <cell r="K2">
            <v>0.10968005989792148</v>
          </cell>
          <cell r="L2">
            <v>93749</v>
          </cell>
          <cell r="M2">
            <v>91516</v>
          </cell>
          <cell r="CZ2">
            <v>0.20179879960397698</v>
          </cell>
          <cell r="DA2">
            <v>0.16032655667715637</v>
          </cell>
          <cell r="DB2">
            <v>11548849640.02</v>
          </cell>
          <cell r="DC2">
            <v>91</v>
          </cell>
          <cell r="DD2">
            <v>5.3</v>
          </cell>
          <cell r="DE2">
            <v>1.4</v>
          </cell>
          <cell r="DF2">
            <v>82.1</v>
          </cell>
          <cell r="DG2">
            <v>8.6999999999999993</v>
          </cell>
          <cell r="DH2">
            <v>3</v>
          </cell>
          <cell r="DI2">
            <v>97.7</v>
          </cell>
          <cell r="DJ2">
            <v>93.8</v>
          </cell>
        </row>
        <row r="3">
          <cell r="A3">
            <v>201</v>
          </cell>
          <cell r="B3" t="str">
            <v>N/A</v>
          </cell>
          <cell r="C3" t="str">
            <v>N/A</v>
          </cell>
          <cell r="D3" t="str">
            <v>N/A</v>
          </cell>
          <cell r="E3" t="str">
            <v>N/A</v>
          </cell>
          <cell r="F3">
            <v>0</v>
          </cell>
          <cell r="G3">
            <v>0</v>
          </cell>
          <cell r="H3">
            <v>30</v>
          </cell>
          <cell r="I3">
            <v>0</v>
          </cell>
          <cell r="J3">
            <v>0.125</v>
          </cell>
          <cell r="K3" t="str">
            <v>N/A</v>
          </cell>
          <cell r="L3">
            <v>30</v>
          </cell>
          <cell r="M3">
            <v>0</v>
          </cell>
          <cell r="N3">
            <v>0</v>
          </cell>
          <cell r="O3">
            <v>0</v>
          </cell>
          <cell r="P3">
            <v>0</v>
          </cell>
          <cell r="Q3">
            <v>0</v>
          </cell>
          <cell r="R3">
            <v>0</v>
          </cell>
          <cell r="S3">
            <v>210</v>
          </cell>
          <cell r="T3">
            <v>0</v>
          </cell>
          <cell r="U3">
            <v>0</v>
          </cell>
          <cell r="V3">
            <v>0</v>
          </cell>
          <cell r="W3">
            <v>0</v>
          </cell>
          <cell r="X3" t="str">
            <v>NULL</v>
          </cell>
          <cell r="Y3" t="str">
            <v>NULL</v>
          </cell>
          <cell r="Z3">
            <v>0</v>
          </cell>
          <cell r="AA3">
            <v>0</v>
          </cell>
          <cell r="AB3">
            <v>0</v>
          </cell>
          <cell r="AC3">
            <v>0</v>
          </cell>
          <cell r="AD3">
            <v>0</v>
          </cell>
          <cell r="AE3">
            <v>0</v>
          </cell>
          <cell r="AF3">
            <v>0</v>
          </cell>
          <cell r="AG3">
            <v>0</v>
          </cell>
          <cell r="AH3">
            <v>0</v>
          </cell>
          <cell r="AI3">
            <v>0</v>
          </cell>
          <cell r="AJ3" t="str">
            <v>NULL</v>
          </cell>
          <cell r="AK3" t="str">
            <v>NULL</v>
          </cell>
          <cell r="AL3">
            <v>0</v>
          </cell>
          <cell r="AM3">
            <v>0</v>
          </cell>
          <cell r="AN3">
            <v>0</v>
          </cell>
          <cell r="AO3">
            <v>0</v>
          </cell>
          <cell r="AP3">
            <v>0</v>
          </cell>
          <cell r="AQ3">
            <v>0</v>
          </cell>
          <cell r="AX3">
            <v>0</v>
          </cell>
          <cell r="AY3">
            <v>0</v>
          </cell>
          <cell r="AZ3">
            <v>0</v>
          </cell>
          <cell r="BA3">
            <v>0</v>
          </cell>
          <cell r="BB3">
            <v>0</v>
          </cell>
          <cell r="BC3">
            <v>0</v>
          </cell>
          <cell r="BD3">
            <v>0</v>
          </cell>
          <cell r="BE3">
            <v>0</v>
          </cell>
          <cell r="BF3" t="str">
            <v>NULL</v>
          </cell>
          <cell r="BH3">
            <v>0</v>
          </cell>
          <cell r="BI3">
            <v>210</v>
          </cell>
          <cell r="BJ3">
            <v>0</v>
          </cell>
          <cell r="BK3">
            <v>0</v>
          </cell>
          <cell r="BL3">
            <v>0</v>
          </cell>
          <cell r="BM3">
            <v>0</v>
          </cell>
          <cell r="BN3">
            <v>0</v>
          </cell>
          <cell r="BO3">
            <v>0</v>
          </cell>
          <cell r="BP3">
            <v>0</v>
          </cell>
          <cell r="BQ3">
            <v>0</v>
          </cell>
          <cell r="BR3">
            <v>0</v>
          </cell>
          <cell r="BS3">
            <v>0</v>
          </cell>
          <cell r="BT3" t="str">
            <v>NULL</v>
          </cell>
          <cell r="BV3">
            <v>0</v>
          </cell>
          <cell r="BX3">
            <v>210</v>
          </cell>
          <cell r="BY3">
            <v>0</v>
          </cell>
          <cell r="BZ3">
            <v>0</v>
          </cell>
          <cell r="CA3">
            <v>0</v>
          </cell>
          <cell r="CB3">
            <v>0</v>
          </cell>
          <cell r="CC3">
            <v>0</v>
          </cell>
          <cell r="CD3">
            <v>0</v>
          </cell>
          <cell r="CE3">
            <v>0</v>
          </cell>
          <cell r="CF3">
            <v>0</v>
          </cell>
          <cell r="CG3">
            <v>0</v>
          </cell>
          <cell r="CM3">
            <v>0</v>
          </cell>
          <cell r="CZ3">
            <v>0.18048780487804877</v>
          </cell>
          <cell r="DA3" t="str">
            <v>N/A</v>
          </cell>
          <cell r="DB3">
            <v>3270832.0700000003</v>
          </cell>
          <cell r="DC3">
            <v>85.3</v>
          </cell>
          <cell r="DD3">
            <v>14.7</v>
          </cell>
          <cell r="DE3">
            <v>0</v>
          </cell>
          <cell r="DF3">
            <v>52.6</v>
          </cell>
          <cell r="DG3">
            <v>36.799999999999997</v>
          </cell>
          <cell r="DH3">
            <v>0</v>
          </cell>
          <cell r="DI3">
            <v>100</v>
          </cell>
          <cell r="DJ3">
            <v>89.5</v>
          </cell>
        </row>
        <row r="4">
          <cell r="A4">
            <v>202</v>
          </cell>
          <cell r="B4">
            <v>4.8143053645116902E-2</v>
          </cell>
          <cell r="C4">
            <v>2.7968821641448899E-2</v>
          </cell>
          <cell r="D4">
            <v>1.0880566801619401E-2</v>
          </cell>
          <cell r="E4">
            <v>1.21457489878543E-2</v>
          </cell>
          <cell r="F4">
            <v>1413</v>
          </cell>
          <cell r="G4">
            <v>1768</v>
          </cell>
          <cell r="H4">
            <v>0</v>
          </cell>
          <cell r="I4">
            <v>0</v>
          </cell>
          <cell r="J4">
            <v>0.1092856548240889</v>
          </cell>
          <cell r="K4">
            <v>0.10898485153854749</v>
          </cell>
          <cell r="L4">
            <v>0</v>
          </cell>
          <cell r="M4">
            <v>0</v>
          </cell>
          <cell r="N4">
            <v>293</v>
          </cell>
          <cell r="O4">
            <v>0</v>
          </cell>
          <cell r="P4">
            <v>0</v>
          </cell>
          <cell r="Q4">
            <v>0</v>
          </cell>
          <cell r="R4">
            <v>0</v>
          </cell>
          <cell r="S4">
            <v>4721</v>
          </cell>
          <cell r="T4">
            <v>6975</v>
          </cell>
          <cell r="U4">
            <v>428</v>
          </cell>
          <cell r="V4">
            <v>0</v>
          </cell>
          <cell r="W4">
            <v>0</v>
          </cell>
          <cell r="X4">
            <v>1</v>
          </cell>
          <cell r="Y4">
            <v>1</v>
          </cell>
          <cell r="Z4">
            <v>61</v>
          </cell>
          <cell r="AA4">
            <v>38</v>
          </cell>
          <cell r="AB4">
            <v>0</v>
          </cell>
          <cell r="AC4">
            <v>0</v>
          </cell>
          <cell r="AD4">
            <v>0</v>
          </cell>
          <cell r="AE4">
            <v>1073</v>
          </cell>
          <cell r="AF4">
            <v>9509</v>
          </cell>
          <cell r="AG4">
            <v>1224</v>
          </cell>
          <cell r="AH4">
            <v>0</v>
          </cell>
          <cell r="AI4">
            <v>0</v>
          </cell>
          <cell r="AJ4">
            <v>1</v>
          </cell>
          <cell r="AK4">
            <v>1</v>
          </cell>
          <cell r="AL4">
            <v>99</v>
          </cell>
          <cell r="AM4">
            <v>0</v>
          </cell>
          <cell r="AN4">
            <v>0</v>
          </cell>
          <cell r="AO4">
            <v>0</v>
          </cell>
          <cell r="AP4">
            <v>0</v>
          </cell>
          <cell r="AQ4">
            <v>0</v>
          </cell>
          <cell r="AX4">
            <v>0</v>
          </cell>
          <cell r="AY4">
            <v>0</v>
          </cell>
          <cell r="AZ4">
            <v>263</v>
          </cell>
          <cell r="BA4">
            <v>0</v>
          </cell>
          <cell r="BB4">
            <v>30</v>
          </cell>
          <cell r="BC4">
            <v>0</v>
          </cell>
          <cell r="BD4">
            <v>0</v>
          </cell>
          <cell r="BE4">
            <v>0</v>
          </cell>
          <cell r="BF4">
            <v>0.89761092150170696</v>
          </cell>
          <cell r="BH4">
            <v>3120</v>
          </cell>
          <cell r="BI4">
            <v>3429</v>
          </cell>
          <cell r="BJ4">
            <v>4525</v>
          </cell>
          <cell r="BK4">
            <v>0</v>
          </cell>
          <cell r="BL4">
            <v>210</v>
          </cell>
          <cell r="BM4">
            <v>840</v>
          </cell>
          <cell r="BN4">
            <v>263</v>
          </cell>
          <cell r="BO4">
            <v>30</v>
          </cell>
          <cell r="BP4">
            <v>0</v>
          </cell>
          <cell r="BQ4">
            <v>0</v>
          </cell>
          <cell r="BR4">
            <v>0</v>
          </cell>
          <cell r="BS4">
            <v>0</v>
          </cell>
          <cell r="BT4">
            <v>1</v>
          </cell>
          <cell r="BV4">
            <v>4323</v>
          </cell>
          <cell r="BX4">
            <v>5743</v>
          </cell>
          <cell r="BY4">
            <v>0</v>
          </cell>
          <cell r="BZ4">
            <v>0</v>
          </cell>
          <cell r="CA4">
            <v>840</v>
          </cell>
          <cell r="CB4">
            <v>32577.748067298478</v>
          </cell>
          <cell r="CC4">
            <v>0</v>
          </cell>
          <cell r="CD4">
            <v>22570.20011120498</v>
          </cell>
          <cell r="CE4">
            <v>0</v>
          </cell>
          <cell r="CF4">
            <v>0</v>
          </cell>
          <cell r="CG4">
            <v>0</v>
          </cell>
          <cell r="CM4">
            <v>0</v>
          </cell>
          <cell r="CZ4">
            <v>6.7361513221385838E-2</v>
          </cell>
          <cell r="DA4">
            <v>0.13568923657944429</v>
          </cell>
          <cell r="DB4">
            <v>18217771.499999996</v>
          </cell>
          <cell r="DC4">
            <v>76.5</v>
          </cell>
          <cell r="DD4">
            <v>8.6999999999999993</v>
          </cell>
          <cell r="DE4">
            <v>4.2</v>
          </cell>
          <cell r="DF4">
            <v>67.2</v>
          </cell>
          <cell r="DG4">
            <v>15.7</v>
          </cell>
          <cell r="DH4">
            <v>5.7</v>
          </cell>
          <cell r="DI4">
            <v>89.4</v>
          </cell>
          <cell r="DJ4">
            <v>88.6</v>
          </cell>
        </row>
        <row r="5">
          <cell r="A5">
            <v>203</v>
          </cell>
          <cell r="B5">
            <v>4.7354670150228602E-2</v>
          </cell>
          <cell r="C5">
            <v>1.17978445460483E-2</v>
          </cell>
          <cell r="D5">
            <v>2.0120405576679299E-2</v>
          </cell>
          <cell r="E5">
            <v>1.69518377693283E-2</v>
          </cell>
          <cell r="F5">
            <v>5836</v>
          </cell>
          <cell r="G5">
            <v>1666</v>
          </cell>
          <cell r="H5">
            <v>520</v>
          </cell>
          <cell r="I5">
            <v>0</v>
          </cell>
          <cell r="J5">
            <v>9.9147640915221671E-2</v>
          </cell>
          <cell r="K5">
            <v>9.1566586199096453E-2</v>
          </cell>
          <cell r="L5">
            <v>630</v>
          </cell>
          <cell r="M5">
            <v>2310</v>
          </cell>
          <cell r="N5">
            <v>242</v>
          </cell>
          <cell r="O5">
            <v>562</v>
          </cell>
          <cell r="P5">
            <v>0</v>
          </cell>
          <cell r="Q5">
            <v>0</v>
          </cell>
          <cell r="R5">
            <v>0</v>
          </cell>
          <cell r="S5">
            <v>8545</v>
          </cell>
          <cell r="T5">
            <v>17538</v>
          </cell>
          <cell r="U5">
            <v>240</v>
          </cell>
          <cell r="V5">
            <v>0</v>
          </cell>
          <cell r="W5">
            <v>0</v>
          </cell>
          <cell r="X5">
            <v>1</v>
          </cell>
          <cell r="Y5">
            <v>1</v>
          </cell>
          <cell r="Z5">
            <v>0</v>
          </cell>
          <cell r="AA5">
            <v>0</v>
          </cell>
          <cell r="AB5">
            <v>0</v>
          </cell>
          <cell r="AC5">
            <v>0</v>
          </cell>
          <cell r="AD5">
            <v>0</v>
          </cell>
          <cell r="AE5">
            <v>5002</v>
          </cell>
          <cell r="AF5">
            <v>7600</v>
          </cell>
          <cell r="AG5">
            <v>600</v>
          </cell>
          <cell r="AH5">
            <v>1352</v>
          </cell>
          <cell r="AI5">
            <v>765</v>
          </cell>
          <cell r="AJ5" t="str">
            <v>NULL</v>
          </cell>
          <cell r="AK5" t="str">
            <v>NULL</v>
          </cell>
          <cell r="AL5">
            <v>0</v>
          </cell>
          <cell r="AM5">
            <v>0</v>
          </cell>
          <cell r="AN5">
            <v>0</v>
          </cell>
          <cell r="AO5">
            <v>0</v>
          </cell>
          <cell r="AP5">
            <v>0</v>
          </cell>
          <cell r="AQ5">
            <v>0</v>
          </cell>
          <cell r="AX5">
            <v>3152</v>
          </cell>
          <cell r="AY5">
            <v>1725</v>
          </cell>
          <cell r="AZ5">
            <v>210</v>
          </cell>
          <cell r="BA5">
            <v>0</v>
          </cell>
          <cell r="BB5">
            <v>575</v>
          </cell>
          <cell r="BC5">
            <v>19</v>
          </cell>
          <cell r="BD5">
            <v>0</v>
          </cell>
          <cell r="BE5">
            <v>0</v>
          </cell>
          <cell r="BF5">
            <v>0.26119402985074602</v>
          </cell>
          <cell r="BH5">
            <v>3961</v>
          </cell>
          <cell r="BI5">
            <v>3518</v>
          </cell>
          <cell r="BJ5">
            <v>12796</v>
          </cell>
          <cell r="BK5">
            <v>4366</v>
          </cell>
          <cell r="BL5">
            <v>842</v>
          </cell>
          <cell r="BM5">
            <v>840</v>
          </cell>
          <cell r="BN5">
            <v>0</v>
          </cell>
          <cell r="BO5">
            <v>210</v>
          </cell>
          <cell r="BP5">
            <v>60</v>
          </cell>
          <cell r="BQ5">
            <v>515</v>
          </cell>
          <cell r="BR5">
            <v>19</v>
          </cell>
          <cell r="BS5">
            <v>0</v>
          </cell>
          <cell r="BT5">
            <v>0.26119402985074602</v>
          </cell>
          <cell r="BV5">
            <v>2520</v>
          </cell>
          <cell r="BX5">
            <v>13870</v>
          </cell>
          <cell r="BY5">
            <v>3729</v>
          </cell>
          <cell r="BZ5">
            <v>3343</v>
          </cell>
          <cell r="CA5">
            <v>840</v>
          </cell>
          <cell r="CB5">
            <v>17730.277185885509</v>
          </cell>
          <cell r="CC5">
            <v>14085.634347451612</v>
          </cell>
          <cell r="CD5">
            <v>0</v>
          </cell>
          <cell r="CE5">
            <v>0</v>
          </cell>
          <cell r="CF5">
            <v>9936.0575459340962</v>
          </cell>
          <cell r="CG5">
            <v>0</v>
          </cell>
          <cell r="CM5">
            <v>0</v>
          </cell>
          <cell r="CZ5">
            <v>0.35997016674657717</v>
          </cell>
          <cell r="DA5">
            <v>0.43264100609756095</v>
          </cell>
          <cell r="DB5">
            <v>143248963</v>
          </cell>
          <cell r="DC5">
            <v>86.5</v>
          </cell>
          <cell r="DD5">
            <v>6.9</v>
          </cell>
          <cell r="DE5">
            <v>2.4</v>
          </cell>
          <cell r="DF5">
            <v>61.8</v>
          </cell>
          <cell r="DG5">
            <v>14.1</v>
          </cell>
          <cell r="DH5">
            <v>6.6</v>
          </cell>
          <cell r="DI5">
            <v>95.8</v>
          </cell>
          <cell r="DJ5">
            <v>82.5</v>
          </cell>
        </row>
        <row r="6">
          <cell r="A6">
            <v>204</v>
          </cell>
          <cell r="B6">
            <v>6.3118076195622805E-2</v>
          </cell>
          <cell r="C6">
            <v>1.5725479600108099E-2</v>
          </cell>
          <cell r="D6">
            <v>2.2162114998691199E-2</v>
          </cell>
          <cell r="E6">
            <v>-1.86720181485036E-2</v>
          </cell>
          <cell r="F6">
            <v>4275</v>
          </cell>
          <cell r="G6">
            <v>7250</v>
          </cell>
          <cell r="H6">
            <v>0</v>
          </cell>
          <cell r="I6">
            <v>0</v>
          </cell>
          <cell r="J6">
            <v>0.1936474933796283</v>
          </cell>
          <cell r="K6">
            <v>9.4291807757954357E-2</v>
          </cell>
          <cell r="L6">
            <v>210</v>
          </cell>
          <cell r="M6">
            <v>286</v>
          </cell>
          <cell r="N6">
            <v>213</v>
          </cell>
          <cell r="O6">
            <v>0</v>
          </cell>
          <cell r="P6">
            <v>0</v>
          </cell>
          <cell r="Q6">
            <v>0</v>
          </cell>
          <cell r="R6">
            <v>0</v>
          </cell>
          <cell r="S6">
            <v>7763</v>
          </cell>
          <cell r="T6">
            <v>12538</v>
          </cell>
          <cell r="U6">
            <v>1260</v>
          </cell>
          <cell r="V6">
            <v>0</v>
          </cell>
          <cell r="W6">
            <v>0</v>
          </cell>
          <cell r="X6">
            <v>1</v>
          </cell>
          <cell r="Y6">
            <v>1</v>
          </cell>
          <cell r="Z6">
            <v>0</v>
          </cell>
          <cell r="AA6">
            <v>0</v>
          </cell>
          <cell r="AB6">
            <v>0</v>
          </cell>
          <cell r="AC6">
            <v>0</v>
          </cell>
          <cell r="AD6">
            <v>1140</v>
          </cell>
          <cell r="AE6">
            <v>3755</v>
          </cell>
          <cell r="AF6">
            <v>10802</v>
          </cell>
          <cell r="AG6">
            <v>0</v>
          </cell>
          <cell r="AH6">
            <v>526</v>
          </cell>
          <cell r="AI6">
            <v>0</v>
          </cell>
          <cell r="AJ6" t="str">
            <v>NULL</v>
          </cell>
          <cell r="AK6" t="str">
            <v>NULL</v>
          </cell>
          <cell r="AL6">
            <v>0</v>
          </cell>
          <cell r="AM6">
            <v>0</v>
          </cell>
          <cell r="AN6">
            <v>0</v>
          </cell>
          <cell r="AO6">
            <v>0</v>
          </cell>
          <cell r="AP6">
            <v>0</v>
          </cell>
          <cell r="AQ6">
            <v>1140</v>
          </cell>
          <cell r="AX6">
            <v>0</v>
          </cell>
          <cell r="AY6">
            <v>990</v>
          </cell>
          <cell r="AZ6">
            <v>0</v>
          </cell>
          <cell r="BA6">
            <v>213</v>
          </cell>
          <cell r="BB6">
            <v>0</v>
          </cell>
          <cell r="BC6">
            <v>0</v>
          </cell>
          <cell r="BD6">
            <v>0</v>
          </cell>
          <cell r="BE6">
            <v>0</v>
          </cell>
          <cell r="BF6">
            <v>1</v>
          </cell>
          <cell r="BH6">
            <v>2885</v>
          </cell>
          <cell r="BI6">
            <v>4343</v>
          </cell>
          <cell r="BJ6">
            <v>9866</v>
          </cell>
          <cell r="BK6">
            <v>1617</v>
          </cell>
          <cell r="BL6">
            <v>0</v>
          </cell>
          <cell r="BM6">
            <v>2850</v>
          </cell>
          <cell r="BN6">
            <v>0</v>
          </cell>
          <cell r="BO6">
            <v>0</v>
          </cell>
          <cell r="BP6">
            <v>213</v>
          </cell>
          <cell r="BQ6">
            <v>0</v>
          </cell>
          <cell r="BR6">
            <v>0</v>
          </cell>
          <cell r="BS6">
            <v>0</v>
          </cell>
          <cell r="BT6">
            <v>0</v>
          </cell>
          <cell r="BV6">
            <v>4423</v>
          </cell>
          <cell r="BX6">
            <v>8885</v>
          </cell>
          <cell r="BY6">
            <v>690</v>
          </cell>
          <cell r="BZ6">
            <v>840</v>
          </cell>
          <cell r="CA6">
            <v>2850</v>
          </cell>
          <cell r="CB6">
            <v>13105.413105413107</v>
          </cell>
          <cell r="CC6">
            <v>0</v>
          </cell>
          <cell r="CD6">
            <v>18685.925166191835</v>
          </cell>
          <cell r="CE6">
            <v>0</v>
          </cell>
          <cell r="CF6">
            <v>0</v>
          </cell>
          <cell r="CG6">
            <v>0</v>
          </cell>
          <cell r="CM6">
            <v>0</v>
          </cell>
          <cell r="CZ6">
            <v>0.1248581873187949</v>
          </cell>
          <cell r="DA6">
            <v>1.3432835820895523</v>
          </cell>
          <cell r="DB6">
            <v>47590725.320000008</v>
          </cell>
          <cell r="DC6">
            <v>87.6</v>
          </cell>
          <cell r="DD6">
            <v>7</v>
          </cell>
          <cell r="DE6">
            <v>2.2000000000000002</v>
          </cell>
          <cell r="DF6">
            <v>63.4</v>
          </cell>
          <cell r="DG6">
            <v>16.5</v>
          </cell>
          <cell r="DH6">
            <v>8.8000000000000007</v>
          </cell>
          <cell r="DI6">
            <v>96.8</v>
          </cell>
          <cell r="DJ6">
            <v>88.6</v>
          </cell>
        </row>
        <row r="7">
          <cell r="A7">
            <v>205</v>
          </cell>
          <cell r="B7">
            <v>5.11438739196746E-2</v>
          </cell>
          <cell r="C7">
            <v>7.6258261311642102E-3</v>
          </cell>
          <cell r="D7">
            <v>3.9906103286384997E-2</v>
          </cell>
          <cell r="E7">
            <v>1.4671361502347401E-2</v>
          </cell>
          <cell r="F7">
            <v>2591</v>
          </cell>
          <cell r="G7">
            <v>2788</v>
          </cell>
          <cell r="H7">
            <v>0</v>
          </cell>
          <cell r="I7">
            <v>0</v>
          </cell>
          <cell r="J7">
            <v>0.20969726757468873</v>
          </cell>
          <cell r="K7">
            <v>0.1360164621460028</v>
          </cell>
          <cell r="L7">
            <v>0</v>
          </cell>
          <cell r="M7">
            <v>0</v>
          </cell>
          <cell r="N7">
            <v>0</v>
          </cell>
          <cell r="O7">
            <v>0</v>
          </cell>
          <cell r="P7">
            <v>0</v>
          </cell>
          <cell r="Q7">
            <v>0</v>
          </cell>
          <cell r="R7">
            <v>0</v>
          </cell>
          <cell r="S7">
            <v>4801</v>
          </cell>
          <cell r="T7">
            <v>6949</v>
          </cell>
          <cell r="U7">
            <v>210</v>
          </cell>
          <cell r="V7">
            <v>0</v>
          </cell>
          <cell r="W7">
            <v>0</v>
          </cell>
          <cell r="X7" t="str">
            <v>NULL</v>
          </cell>
          <cell r="Y7" t="str">
            <v>NULL</v>
          </cell>
          <cell r="Z7">
            <v>130</v>
          </cell>
          <cell r="AA7">
            <v>0</v>
          </cell>
          <cell r="AB7">
            <v>0</v>
          </cell>
          <cell r="AC7">
            <v>0</v>
          </cell>
          <cell r="AD7">
            <v>0</v>
          </cell>
          <cell r="AE7">
            <v>4485</v>
          </cell>
          <cell r="AF7">
            <v>4125</v>
          </cell>
          <cell r="AG7">
            <v>0</v>
          </cell>
          <cell r="AH7">
            <v>0</v>
          </cell>
          <cell r="AI7">
            <v>0</v>
          </cell>
          <cell r="AJ7">
            <v>1</v>
          </cell>
          <cell r="AK7">
            <v>1</v>
          </cell>
          <cell r="AL7">
            <v>130</v>
          </cell>
          <cell r="AM7">
            <v>0</v>
          </cell>
          <cell r="AN7">
            <v>0</v>
          </cell>
          <cell r="AO7">
            <v>0</v>
          </cell>
          <cell r="AP7">
            <v>0</v>
          </cell>
          <cell r="AQ7">
            <v>0</v>
          </cell>
          <cell r="AX7">
            <v>0</v>
          </cell>
          <cell r="AY7">
            <v>900</v>
          </cell>
          <cell r="AZ7">
            <v>0</v>
          </cell>
          <cell r="BA7">
            <v>0</v>
          </cell>
          <cell r="BB7">
            <v>0</v>
          </cell>
          <cell r="BC7">
            <v>0</v>
          </cell>
          <cell r="BD7">
            <v>0</v>
          </cell>
          <cell r="BE7">
            <v>0</v>
          </cell>
          <cell r="BF7" t="str">
            <v>NULL</v>
          </cell>
          <cell r="BH7">
            <v>2740</v>
          </cell>
          <cell r="BI7">
            <v>1766</v>
          </cell>
          <cell r="BJ7">
            <v>6194</v>
          </cell>
          <cell r="BK7">
            <v>210</v>
          </cell>
          <cell r="BL7">
            <v>0</v>
          </cell>
          <cell r="BM7">
            <v>1050</v>
          </cell>
          <cell r="BN7">
            <v>0</v>
          </cell>
          <cell r="BO7">
            <v>0</v>
          </cell>
          <cell r="BP7">
            <v>0</v>
          </cell>
          <cell r="BQ7">
            <v>0</v>
          </cell>
          <cell r="BR7">
            <v>0</v>
          </cell>
          <cell r="BS7">
            <v>0</v>
          </cell>
          <cell r="BT7" t="str">
            <v>NULL</v>
          </cell>
          <cell r="BV7">
            <v>2318</v>
          </cell>
          <cell r="BX7">
            <v>5142</v>
          </cell>
          <cell r="BY7">
            <v>210</v>
          </cell>
          <cell r="BZ7">
            <v>0</v>
          </cell>
          <cell r="CA7">
            <v>1050</v>
          </cell>
          <cell r="CB7">
            <v>19731.198169859883</v>
          </cell>
          <cell r="CC7">
            <v>0</v>
          </cell>
          <cell r="CD7">
            <v>0</v>
          </cell>
          <cell r="CE7">
            <v>0</v>
          </cell>
          <cell r="CF7">
            <v>0</v>
          </cell>
          <cell r="CG7">
            <v>0</v>
          </cell>
          <cell r="CM7">
            <v>0</v>
          </cell>
          <cell r="CZ7">
            <v>9.702767338571916E-2</v>
          </cell>
          <cell r="DA7">
            <v>0.52570828961175231</v>
          </cell>
          <cell r="DB7">
            <v>65121935.779999986</v>
          </cell>
          <cell r="DC7">
            <v>76.599999999999994</v>
          </cell>
          <cell r="DD7">
            <v>9.1</v>
          </cell>
          <cell r="DE7">
            <v>4.5999999999999996</v>
          </cell>
          <cell r="DF7">
            <v>51.4</v>
          </cell>
          <cell r="DG7">
            <v>16.399999999999999</v>
          </cell>
          <cell r="DH7">
            <v>7.7</v>
          </cell>
          <cell r="DI7">
            <v>90.3</v>
          </cell>
          <cell r="DJ7">
            <v>75.5</v>
          </cell>
        </row>
        <row r="8">
          <cell r="A8">
            <v>206</v>
          </cell>
          <cell r="B8">
            <v>7.0837907061836805E-2</v>
          </cell>
          <cell r="C8">
            <v>1.7197219173069898E-2</v>
          </cell>
          <cell r="D8">
            <v>4.2701227830832203E-2</v>
          </cell>
          <cell r="E8">
            <v>2.4420190995907198E-2</v>
          </cell>
          <cell r="F8">
            <v>1173</v>
          </cell>
          <cell r="G8">
            <v>219</v>
          </cell>
          <cell r="H8">
            <v>20</v>
          </cell>
          <cell r="I8">
            <v>0</v>
          </cell>
          <cell r="J8">
            <v>0.15074010637900659</v>
          </cell>
          <cell r="K8">
            <v>0.10397918225786257</v>
          </cell>
          <cell r="L8">
            <v>315</v>
          </cell>
          <cell r="M8">
            <v>300</v>
          </cell>
          <cell r="N8">
            <v>80</v>
          </cell>
          <cell r="O8">
            <v>0</v>
          </cell>
          <cell r="P8">
            <v>0</v>
          </cell>
          <cell r="Q8">
            <v>0</v>
          </cell>
          <cell r="R8">
            <v>120</v>
          </cell>
          <cell r="S8">
            <v>2880</v>
          </cell>
          <cell r="T8">
            <v>11712</v>
          </cell>
          <cell r="U8">
            <v>0</v>
          </cell>
          <cell r="V8">
            <v>0</v>
          </cell>
          <cell r="W8">
            <v>0</v>
          </cell>
          <cell r="X8">
            <v>1</v>
          </cell>
          <cell r="Y8">
            <v>1</v>
          </cell>
          <cell r="Z8">
            <v>232</v>
          </cell>
          <cell r="AA8">
            <v>30</v>
          </cell>
          <cell r="AB8">
            <v>0</v>
          </cell>
          <cell r="AC8">
            <v>0</v>
          </cell>
          <cell r="AD8">
            <v>0</v>
          </cell>
          <cell r="AE8">
            <v>3568</v>
          </cell>
          <cell r="AF8">
            <v>3355</v>
          </cell>
          <cell r="AG8">
            <v>900</v>
          </cell>
          <cell r="AH8">
            <v>0</v>
          </cell>
          <cell r="AI8">
            <v>0</v>
          </cell>
          <cell r="AJ8">
            <v>1</v>
          </cell>
          <cell r="AK8">
            <v>1</v>
          </cell>
          <cell r="AL8">
            <v>172</v>
          </cell>
          <cell r="AM8">
            <v>0</v>
          </cell>
          <cell r="AN8">
            <v>60</v>
          </cell>
          <cell r="AO8">
            <v>30</v>
          </cell>
          <cell r="AP8">
            <v>0</v>
          </cell>
          <cell r="AQ8">
            <v>0</v>
          </cell>
          <cell r="AX8">
            <v>900</v>
          </cell>
          <cell r="AY8">
            <v>0</v>
          </cell>
          <cell r="AZ8">
            <v>0</v>
          </cell>
          <cell r="BA8">
            <v>0</v>
          </cell>
          <cell r="BB8">
            <v>80</v>
          </cell>
          <cell r="BC8">
            <v>0</v>
          </cell>
          <cell r="BD8">
            <v>0</v>
          </cell>
          <cell r="BE8">
            <v>120</v>
          </cell>
          <cell r="BF8">
            <v>0</v>
          </cell>
          <cell r="BH8">
            <v>2685</v>
          </cell>
          <cell r="BI8">
            <v>3573</v>
          </cell>
          <cell r="BJ8">
            <v>6660</v>
          </cell>
          <cell r="BK8">
            <v>1254</v>
          </cell>
          <cell r="BL8">
            <v>0</v>
          </cell>
          <cell r="BM8">
            <v>420</v>
          </cell>
          <cell r="BN8">
            <v>80</v>
          </cell>
          <cell r="BO8">
            <v>0</v>
          </cell>
          <cell r="BP8">
            <v>0</v>
          </cell>
          <cell r="BQ8">
            <v>0</v>
          </cell>
          <cell r="BR8">
            <v>0</v>
          </cell>
          <cell r="BS8">
            <v>120</v>
          </cell>
          <cell r="BT8">
            <v>1</v>
          </cell>
          <cell r="BV8">
            <v>4693</v>
          </cell>
          <cell r="BX8">
            <v>6849</v>
          </cell>
          <cell r="BY8">
            <v>840</v>
          </cell>
          <cell r="BZ8">
            <v>420</v>
          </cell>
          <cell r="CA8">
            <v>420</v>
          </cell>
          <cell r="CB8">
            <v>25265.542923535493</v>
          </cell>
          <cell r="CC8">
            <v>0</v>
          </cell>
          <cell r="CD8">
            <v>11669.837818247714</v>
          </cell>
          <cell r="CE8">
            <v>0</v>
          </cell>
          <cell r="CF8">
            <v>0</v>
          </cell>
          <cell r="CG8">
            <v>0</v>
          </cell>
          <cell r="CM8">
            <v>0</v>
          </cell>
          <cell r="CZ8">
            <v>0.10238211780062001</v>
          </cell>
          <cell r="DA8">
            <v>0.24613422604814283</v>
          </cell>
          <cell r="DB8">
            <v>27581656.440000001</v>
          </cell>
          <cell r="DC8">
            <v>79.8</v>
          </cell>
          <cell r="DD8">
            <v>9</v>
          </cell>
          <cell r="DE8">
            <v>3.9</v>
          </cell>
          <cell r="DF8">
            <v>64.599999999999994</v>
          </cell>
          <cell r="DG8">
            <v>16.399999999999999</v>
          </cell>
          <cell r="DH8">
            <v>6.5</v>
          </cell>
          <cell r="DI8">
            <v>92.8</v>
          </cell>
          <cell r="DJ8">
            <v>87.5</v>
          </cell>
        </row>
        <row r="9">
          <cell r="A9">
            <v>207</v>
          </cell>
          <cell r="B9">
            <v>2.60500512220108E-2</v>
          </cell>
          <cell r="C9">
            <v>-1.08297965754427E-2</v>
          </cell>
          <cell r="D9">
            <v>-2.64417597447003E-2</v>
          </cell>
          <cell r="E9">
            <v>1.70959653521769E-2</v>
          </cell>
          <cell r="F9">
            <v>827</v>
          </cell>
          <cell r="G9">
            <v>1108</v>
          </cell>
          <cell r="H9">
            <v>0</v>
          </cell>
          <cell r="I9">
            <v>80</v>
          </cell>
          <cell r="J9">
            <v>0.17037036973463887</v>
          </cell>
          <cell r="K9">
            <v>2.896306195593399E-2</v>
          </cell>
          <cell r="L9">
            <v>105</v>
          </cell>
          <cell r="M9">
            <v>0</v>
          </cell>
          <cell r="N9">
            <v>25</v>
          </cell>
          <cell r="O9">
            <v>0</v>
          </cell>
          <cell r="P9">
            <v>0</v>
          </cell>
          <cell r="Q9">
            <v>0</v>
          </cell>
          <cell r="R9">
            <v>0</v>
          </cell>
          <cell r="S9">
            <v>3710</v>
          </cell>
          <cell r="T9">
            <v>3780</v>
          </cell>
          <cell r="U9">
            <v>0</v>
          </cell>
          <cell r="V9">
            <v>0</v>
          </cell>
          <cell r="W9">
            <v>0</v>
          </cell>
          <cell r="X9">
            <v>1</v>
          </cell>
          <cell r="Y9">
            <v>1</v>
          </cell>
          <cell r="Z9">
            <v>0</v>
          </cell>
          <cell r="AA9">
            <v>0</v>
          </cell>
          <cell r="AB9">
            <v>0</v>
          </cell>
          <cell r="AC9">
            <v>0</v>
          </cell>
          <cell r="AD9">
            <v>0</v>
          </cell>
          <cell r="AE9">
            <v>5211</v>
          </cell>
          <cell r="AF9">
            <v>628</v>
          </cell>
          <cell r="AG9">
            <v>0</v>
          </cell>
          <cell r="AH9">
            <v>0</v>
          </cell>
          <cell r="AI9">
            <v>0</v>
          </cell>
          <cell r="AJ9" t="str">
            <v>NULL</v>
          </cell>
          <cell r="AK9" t="str">
            <v>NULL</v>
          </cell>
          <cell r="AL9">
            <v>0</v>
          </cell>
          <cell r="AM9">
            <v>0</v>
          </cell>
          <cell r="AN9">
            <v>0</v>
          </cell>
          <cell r="AO9">
            <v>0</v>
          </cell>
          <cell r="AP9">
            <v>0</v>
          </cell>
          <cell r="AQ9">
            <v>0</v>
          </cell>
          <cell r="AX9">
            <v>0</v>
          </cell>
          <cell r="AY9">
            <v>1140</v>
          </cell>
          <cell r="AZ9">
            <v>25</v>
          </cell>
          <cell r="BA9">
            <v>0</v>
          </cell>
          <cell r="BB9">
            <v>0</v>
          </cell>
          <cell r="BC9">
            <v>0</v>
          </cell>
          <cell r="BD9">
            <v>0</v>
          </cell>
          <cell r="BE9">
            <v>0</v>
          </cell>
          <cell r="BF9">
            <v>1</v>
          </cell>
          <cell r="BH9">
            <v>2625</v>
          </cell>
          <cell r="BI9">
            <v>1190</v>
          </cell>
          <cell r="BJ9">
            <v>3255</v>
          </cell>
          <cell r="BK9">
            <v>420</v>
          </cell>
          <cell r="BL9">
            <v>0</v>
          </cell>
          <cell r="BM9">
            <v>0</v>
          </cell>
          <cell r="BN9">
            <v>25</v>
          </cell>
          <cell r="BO9">
            <v>0</v>
          </cell>
          <cell r="BP9">
            <v>0</v>
          </cell>
          <cell r="BQ9">
            <v>0</v>
          </cell>
          <cell r="BR9">
            <v>0</v>
          </cell>
          <cell r="BS9">
            <v>0</v>
          </cell>
          <cell r="BT9">
            <v>1</v>
          </cell>
          <cell r="BV9">
            <v>2415</v>
          </cell>
          <cell r="BX9">
            <v>3885</v>
          </cell>
          <cell r="BY9">
            <v>420</v>
          </cell>
          <cell r="BZ9">
            <v>0</v>
          </cell>
          <cell r="CA9">
            <v>0</v>
          </cell>
          <cell r="CB9">
            <v>29210.682275748946</v>
          </cell>
          <cell r="CC9">
            <v>0</v>
          </cell>
          <cell r="CD9">
            <v>73431.108450563697</v>
          </cell>
          <cell r="CE9">
            <v>0</v>
          </cell>
          <cell r="CF9">
            <v>0</v>
          </cell>
          <cell r="CG9">
            <v>0</v>
          </cell>
          <cell r="CM9">
            <v>0</v>
          </cell>
          <cell r="CZ9">
            <v>1.8181818181818181E-2</v>
          </cell>
          <cell r="DA9">
            <v>0.63732154996600954</v>
          </cell>
          <cell r="DB9">
            <v>9657699</v>
          </cell>
          <cell r="DC9">
            <v>68.400000000000006</v>
          </cell>
          <cell r="DD9">
            <v>10</v>
          </cell>
          <cell r="DE9">
            <v>4.5999999999999996</v>
          </cell>
          <cell r="DF9">
            <v>54.3</v>
          </cell>
          <cell r="DG9">
            <v>19.7</v>
          </cell>
          <cell r="DH9">
            <v>6.5</v>
          </cell>
          <cell r="DI9">
            <v>83</v>
          </cell>
          <cell r="DJ9">
            <v>80.400000000000006</v>
          </cell>
        </row>
        <row r="10">
          <cell r="A10">
            <v>208</v>
          </cell>
          <cell r="B10">
            <v>0.109674748125316</v>
          </cell>
          <cell r="C10">
            <v>7.5125362285503997E-2</v>
          </cell>
          <cell r="D10">
            <v>0.128066864383931</v>
          </cell>
          <cell r="E10">
            <v>9.1129684551091897E-2</v>
          </cell>
          <cell r="F10">
            <v>4072</v>
          </cell>
          <cell r="G10">
            <v>7113</v>
          </cell>
          <cell r="H10">
            <v>370</v>
          </cell>
          <cell r="I10">
            <v>0</v>
          </cell>
          <cell r="J10">
            <v>0.17446891112614474</v>
          </cell>
          <cell r="K10">
            <v>0.11151677846137803</v>
          </cell>
          <cell r="L10">
            <v>735</v>
          </cell>
          <cell r="M10">
            <v>0</v>
          </cell>
          <cell r="N10">
            <v>89</v>
          </cell>
          <cell r="O10">
            <v>0</v>
          </cell>
          <cell r="P10">
            <v>0</v>
          </cell>
          <cell r="Q10">
            <v>0</v>
          </cell>
          <cell r="R10">
            <v>0</v>
          </cell>
          <cell r="S10">
            <v>11769</v>
          </cell>
          <cell r="T10">
            <v>12449</v>
          </cell>
          <cell r="U10">
            <v>1470</v>
          </cell>
          <cell r="V10">
            <v>0</v>
          </cell>
          <cell r="W10">
            <v>0</v>
          </cell>
          <cell r="X10">
            <v>1</v>
          </cell>
          <cell r="Y10">
            <v>1</v>
          </cell>
          <cell r="Z10">
            <v>247</v>
          </cell>
          <cell r="AA10">
            <v>793</v>
          </cell>
          <cell r="AB10">
            <v>100</v>
          </cell>
          <cell r="AC10">
            <v>0</v>
          </cell>
          <cell r="AD10">
            <v>0</v>
          </cell>
          <cell r="AE10">
            <v>5705</v>
          </cell>
          <cell r="AF10">
            <v>7691</v>
          </cell>
          <cell r="AG10">
            <v>1100</v>
          </cell>
          <cell r="AH10">
            <v>540</v>
          </cell>
          <cell r="AI10">
            <v>600</v>
          </cell>
          <cell r="AJ10">
            <v>0.91228070175438603</v>
          </cell>
          <cell r="AK10">
            <v>70</v>
          </cell>
          <cell r="AL10">
            <v>0</v>
          </cell>
          <cell r="AM10">
            <v>0</v>
          </cell>
          <cell r="AN10">
            <v>528</v>
          </cell>
          <cell r="AO10">
            <v>322</v>
          </cell>
          <cell r="AP10">
            <v>200</v>
          </cell>
          <cell r="AQ10">
            <v>90</v>
          </cell>
          <cell r="AX10">
            <v>1625</v>
          </cell>
          <cell r="AY10">
            <v>1440</v>
          </cell>
          <cell r="AZ10">
            <v>0</v>
          </cell>
          <cell r="BA10">
            <v>0</v>
          </cell>
          <cell r="BB10">
            <v>89</v>
          </cell>
          <cell r="BC10">
            <v>0</v>
          </cell>
          <cell r="BD10">
            <v>0</v>
          </cell>
          <cell r="BE10">
            <v>0</v>
          </cell>
          <cell r="BF10">
            <v>0</v>
          </cell>
          <cell r="BH10">
            <v>7499</v>
          </cell>
          <cell r="BI10">
            <v>4260</v>
          </cell>
          <cell r="BJ10">
            <v>10415</v>
          </cell>
          <cell r="BK10">
            <v>840</v>
          </cell>
          <cell r="BL10">
            <v>2074</v>
          </cell>
          <cell r="BM10">
            <v>600</v>
          </cell>
          <cell r="BN10">
            <v>0</v>
          </cell>
          <cell r="BO10">
            <v>0</v>
          </cell>
          <cell r="BP10">
            <v>89</v>
          </cell>
          <cell r="BQ10">
            <v>0</v>
          </cell>
          <cell r="BR10">
            <v>0</v>
          </cell>
          <cell r="BS10">
            <v>0</v>
          </cell>
          <cell r="BT10">
            <v>0</v>
          </cell>
          <cell r="BV10">
            <v>6729</v>
          </cell>
          <cell r="BX10">
            <v>9234</v>
          </cell>
          <cell r="BY10">
            <v>2520</v>
          </cell>
          <cell r="BZ10">
            <v>870</v>
          </cell>
          <cell r="CA10">
            <v>600</v>
          </cell>
          <cell r="CB10">
            <v>13610.803522817358</v>
          </cell>
          <cell r="CC10">
            <v>2301.9731198169861</v>
          </cell>
          <cell r="CD10">
            <v>0</v>
          </cell>
          <cell r="CE10">
            <v>24190.725328193959</v>
          </cell>
          <cell r="CF10">
            <v>0</v>
          </cell>
          <cell r="CG10">
            <v>0</v>
          </cell>
          <cell r="CM10">
            <v>0</v>
          </cell>
          <cell r="CZ10">
            <v>0.1960837054171822</v>
          </cell>
          <cell r="DA10">
            <v>0.6220291336570406</v>
          </cell>
          <cell r="DB10">
            <v>114848438.38999999</v>
          </cell>
          <cell r="DC10">
            <v>84.2</v>
          </cell>
          <cell r="DD10">
            <v>8.9</v>
          </cell>
          <cell r="DE10">
            <v>2.9</v>
          </cell>
          <cell r="DF10">
            <v>55.2</v>
          </cell>
          <cell r="DG10">
            <v>18.2</v>
          </cell>
          <cell r="DH10">
            <v>8.9</v>
          </cell>
          <cell r="DI10">
            <v>96</v>
          </cell>
          <cell r="DJ10">
            <v>82.2</v>
          </cell>
        </row>
        <row r="11">
          <cell r="A11">
            <v>209</v>
          </cell>
          <cell r="B11">
            <v>4.8717438854643101E-2</v>
          </cell>
          <cell r="C11">
            <v>1.32431895008948E-2</v>
          </cell>
          <cell r="D11">
            <v>0.131429079907457</v>
          </cell>
          <cell r="E11">
            <v>3.3101975440469798E-2</v>
          </cell>
          <cell r="F11">
            <v>4881</v>
          </cell>
          <cell r="G11">
            <v>2235</v>
          </cell>
          <cell r="H11">
            <v>10</v>
          </cell>
          <cell r="I11">
            <v>0</v>
          </cell>
          <cell r="J11">
            <v>0.12939482447748885</v>
          </cell>
          <cell r="K11">
            <v>0.16302328599163163</v>
          </cell>
          <cell r="L11">
            <v>255</v>
          </cell>
          <cell r="M11">
            <v>0</v>
          </cell>
          <cell r="N11">
            <v>90</v>
          </cell>
          <cell r="O11">
            <v>0</v>
          </cell>
          <cell r="P11">
            <v>210</v>
          </cell>
          <cell r="Q11">
            <v>0</v>
          </cell>
          <cell r="R11">
            <v>0</v>
          </cell>
          <cell r="S11">
            <v>8859</v>
          </cell>
          <cell r="T11">
            <v>17731</v>
          </cell>
          <cell r="U11">
            <v>1050</v>
          </cell>
          <cell r="V11">
            <v>0</v>
          </cell>
          <cell r="W11">
            <v>0</v>
          </cell>
          <cell r="X11">
            <v>0.3</v>
          </cell>
          <cell r="Y11">
            <v>132</v>
          </cell>
          <cell r="Z11">
            <v>300</v>
          </cell>
          <cell r="AA11">
            <v>0</v>
          </cell>
          <cell r="AB11">
            <v>0</v>
          </cell>
          <cell r="AC11">
            <v>0</v>
          </cell>
          <cell r="AD11">
            <v>0</v>
          </cell>
          <cell r="AE11">
            <v>2843</v>
          </cell>
          <cell r="AF11">
            <v>4609</v>
          </cell>
          <cell r="AG11">
            <v>7511</v>
          </cell>
          <cell r="AH11">
            <v>0</v>
          </cell>
          <cell r="AI11">
            <v>0</v>
          </cell>
          <cell r="AJ11">
            <v>1</v>
          </cell>
          <cell r="AK11">
            <v>1</v>
          </cell>
          <cell r="AL11">
            <v>0</v>
          </cell>
          <cell r="AM11">
            <v>0</v>
          </cell>
          <cell r="AN11">
            <v>300</v>
          </cell>
          <cell r="AO11">
            <v>0</v>
          </cell>
          <cell r="AP11">
            <v>0</v>
          </cell>
          <cell r="AQ11">
            <v>0</v>
          </cell>
          <cell r="AX11">
            <v>2691</v>
          </cell>
          <cell r="AY11">
            <v>0</v>
          </cell>
          <cell r="AZ11">
            <v>60</v>
          </cell>
          <cell r="BA11">
            <v>0</v>
          </cell>
          <cell r="BB11">
            <v>0</v>
          </cell>
          <cell r="BC11">
            <v>240</v>
          </cell>
          <cell r="BD11">
            <v>0</v>
          </cell>
          <cell r="BE11">
            <v>0</v>
          </cell>
          <cell r="BF11">
            <v>0.2</v>
          </cell>
          <cell r="BH11">
            <v>1436</v>
          </cell>
          <cell r="BI11">
            <v>6103</v>
          </cell>
          <cell r="BJ11">
            <v>11755</v>
          </cell>
          <cell r="BK11">
            <v>4453</v>
          </cell>
          <cell r="BL11">
            <v>734</v>
          </cell>
          <cell r="BM11">
            <v>3159</v>
          </cell>
          <cell r="BN11">
            <v>60</v>
          </cell>
          <cell r="BO11">
            <v>0</v>
          </cell>
          <cell r="BP11">
            <v>240</v>
          </cell>
          <cell r="BQ11">
            <v>0</v>
          </cell>
          <cell r="BR11">
            <v>0</v>
          </cell>
          <cell r="BS11">
            <v>0</v>
          </cell>
          <cell r="BT11">
            <v>0.2</v>
          </cell>
          <cell r="BV11">
            <v>2559</v>
          </cell>
          <cell r="BX11">
            <v>14011</v>
          </cell>
          <cell r="BY11">
            <v>2117</v>
          </cell>
          <cell r="BZ11">
            <v>1904</v>
          </cell>
          <cell r="CA11">
            <v>2949</v>
          </cell>
          <cell r="CB11">
            <v>24859.83717726302</v>
          </cell>
          <cell r="CC11">
            <v>10751.346986740058</v>
          </cell>
          <cell r="CD11">
            <v>0</v>
          </cell>
          <cell r="CE11">
            <v>0</v>
          </cell>
          <cell r="CF11">
            <v>0</v>
          </cell>
          <cell r="CG11">
            <v>0</v>
          </cell>
          <cell r="CM11">
            <v>0</v>
          </cell>
          <cell r="CZ11">
            <v>0.26928756938432552</v>
          </cell>
          <cell r="DA11">
            <v>0.30572170183952152</v>
          </cell>
          <cell r="DB11">
            <v>121272643.90999998</v>
          </cell>
          <cell r="DC11">
            <v>83.8</v>
          </cell>
          <cell r="DD11">
            <v>9.5</v>
          </cell>
          <cell r="DE11">
            <v>2.6</v>
          </cell>
          <cell r="DF11">
            <v>56.2</v>
          </cell>
          <cell r="DG11">
            <v>17.3</v>
          </cell>
          <cell r="DH11">
            <v>7.7</v>
          </cell>
          <cell r="DI11">
            <v>95.9</v>
          </cell>
          <cell r="DJ11">
            <v>81.2</v>
          </cell>
        </row>
        <row r="12">
          <cell r="A12">
            <v>210</v>
          </cell>
          <cell r="B12">
            <v>2.2832221652129302E-2</v>
          </cell>
          <cell r="C12">
            <v>6.2254147426030401E-2</v>
          </cell>
          <cell r="D12">
            <v>-1.17862371888726E-2</v>
          </cell>
          <cell r="E12">
            <v>-5.27086383601757E-3</v>
          </cell>
          <cell r="F12">
            <v>4436</v>
          </cell>
          <cell r="G12">
            <v>4587</v>
          </cell>
          <cell r="H12">
            <v>0</v>
          </cell>
          <cell r="I12">
            <v>0</v>
          </cell>
          <cell r="J12">
            <v>0.17300587570402326</v>
          </cell>
          <cell r="K12">
            <v>9.2226885313406476E-2</v>
          </cell>
          <cell r="L12">
            <v>900</v>
          </cell>
          <cell r="M12">
            <v>610</v>
          </cell>
          <cell r="N12">
            <v>310</v>
          </cell>
          <cell r="O12">
            <v>285</v>
          </cell>
          <cell r="P12">
            <v>105</v>
          </cell>
          <cell r="Q12">
            <v>0</v>
          </cell>
          <cell r="R12">
            <v>0</v>
          </cell>
          <cell r="S12">
            <v>7300</v>
          </cell>
          <cell r="T12">
            <v>15191</v>
          </cell>
          <cell r="U12">
            <v>3745</v>
          </cell>
          <cell r="V12">
            <v>315</v>
          </cell>
          <cell r="W12">
            <v>420</v>
          </cell>
          <cell r="X12">
            <v>0.85</v>
          </cell>
          <cell r="Y12">
            <v>105</v>
          </cell>
          <cell r="Z12">
            <v>150</v>
          </cell>
          <cell r="AA12">
            <v>0</v>
          </cell>
          <cell r="AB12">
            <v>0</v>
          </cell>
          <cell r="AC12">
            <v>0</v>
          </cell>
          <cell r="AD12">
            <v>200</v>
          </cell>
          <cell r="AE12">
            <v>9434</v>
          </cell>
          <cell r="AF12">
            <v>7275</v>
          </cell>
          <cell r="AG12">
            <v>0</v>
          </cell>
          <cell r="AH12">
            <v>0</v>
          </cell>
          <cell r="AI12">
            <v>1200</v>
          </cell>
          <cell r="AJ12">
            <v>1</v>
          </cell>
          <cell r="AK12">
            <v>1</v>
          </cell>
          <cell r="AL12">
            <v>0</v>
          </cell>
          <cell r="AM12">
            <v>0</v>
          </cell>
          <cell r="AN12">
            <v>150</v>
          </cell>
          <cell r="AO12">
            <v>0</v>
          </cell>
          <cell r="AP12">
            <v>0</v>
          </cell>
          <cell r="AQ12">
            <v>200</v>
          </cell>
          <cell r="AX12">
            <v>600</v>
          </cell>
          <cell r="AY12">
            <v>2100</v>
          </cell>
          <cell r="AZ12">
            <v>60</v>
          </cell>
          <cell r="BA12">
            <v>235</v>
          </cell>
          <cell r="BB12">
            <v>390</v>
          </cell>
          <cell r="BC12">
            <v>0</v>
          </cell>
          <cell r="BD12">
            <v>0</v>
          </cell>
          <cell r="BE12">
            <v>15</v>
          </cell>
          <cell r="BF12">
            <v>0.43065693430656898</v>
          </cell>
          <cell r="BH12">
            <v>4370</v>
          </cell>
          <cell r="BI12">
            <v>6205</v>
          </cell>
          <cell r="BJ12">
            <v>12520</v>
          </cell>
          <cell r="BK12">
            <v>840</v>
          </cell>
          <cell r="BL12">
            <v>516</v>
          </cell>
          <cell r="BM12">
            <v>2520</v>
          </cell>
          <cell r="BN12">
            <v>310</v>
          </cell>
          <cell r="BO12">
            <v>30</v>
          </cell>
          <cell r="BP12">
            <v>360</v>
          </cell>
          <cell r="BQ12">
            <v>0</v>
          </cell>
          <cell r="BR12">
            <v>0</v>
          </cell>
          <cell r="BS12">
            <v>0</v>
          </cell>
          <cell r="BT12">
            <v>0.48571428571428599</v>
          </cell>
          <cell r="BV12">
            <v>6240</v>
          </cell>
          <cell r="BX12">
            <v>15090</v>
          </cell>
          <cell r="BY12">
            <v>690</v>
          </cell>
          <cell r="BZ12">
            <v>516</v>
          </cell>
          <cell r="CA12">
            <v>2130</v>
          </cell>
          <cell r="CB12">
            <v>29516.937901007437</v>
          </cell>
          <cell r="CC12">
            <v>21314.564299620099</v>
          </cell>
          <cell r="CD12">
            <v>0</v>
          </cell>
          <cell r="CE12">
            <v>15121.630506245891</v>
          </cell>
          <cell r="CF12">
            <v>0</v>
          </cell>
          <cell r="CG12">
            <v>0</v>
          </cell>
          <cell r="CM12">
            <v>0</v>
          </cell>
          <cell r="CZ12">
            <v>0.17637637637637638</v>
          </cell>
          <cell r="DA12">
            <v>1.8783157113708031</v>
          </cell>
          <cell r="DB12">
            <v>70111011.330000013</v>
          </cell>
          <cell r="DC12">
            <v>88.1</v>
          </cell>
          <cell r="DD12">
            <v>6.8</v>
          </cell>
          <cell r="DE12">
            <v>2.4</v>
          </cell>
          <cell r="DF12">
            <v>59.7</v>
          </cell>
          <cell r="DG12">
            <v>17.3</v>
          </cell>
          <cell r="DH12">
            <v>8.3000000000000007</v>
          </cell>
          <cell r="DI12">
            <v>97.2</v>
          </cell>
          <cell r="DJ12">
            <v>85.3</v>
          </cell>
        </row>
        <row r="13">
          <cell r="A13">
            <v>211</v>
          </cell>
          <cell r="B13">
            <v>5.99046970728387E-2</v>
          </cell>
          <cell r="C13">
            <v>6.8924438393464897E-3</v>
          </cell>
          <cell r="D13">
            <v>5.2746325339334699E-3</v>
          </cell>
          <cell r="E13">
            <v>1.2096490611154099E-2</v>
          </cell>
          <cell r="F13">
            <v>4451</v>
          </cell>
          <cell r="G13">
            <v>6246</v>
          </cell>
          <cell r="H13">
            <v>0</v>
          </cell>
          <cell r="I13">
            <v>0</v>
          </cell>
          <cell r="J13">
            <v>0.13041999003975654</v>
          </cell>
          <cell r="K13">
            <v>0.11942813090285101</v>
          </cell>
          <cell r="L13">
            <v>0</v>
          </cell>
          <cell r="M13">
            <v>0</v>
          </cell>
          <cell r="N13">
            <v>68</v>
          </cell>
          <cell r="O13">
            <v>167</v>
          </cell>
          <cell r="P13">
            <v>0</v>
          </cell>
          <cell r="Q13">
            <v>0</v>
          </cell>
          <cell r="R13">
            <v>0</v>
          </cell>
          <cell r="S13">
            <v>8176</v>
          </cell>
          <cell r="T13">
            <v>18042</v>
          </cell>
          <cell r="U13">
            <v>0</v>
          </cell>
          <cell r="V13">
            <v>0</v>
          </cell>
          <cell r="W13">
            <v>0</v>
          </cell>
          <cell r="X13">
            <v>1</v>
          </cell>
          <cell r="Y13">
            <v>1</v>
          </cell>
          <cell r="Z13">
            <v>273</v>
          </cell>
          <cell r="AA13">
            <v>302</v>
          </cell>
          <cell r="AB13">
            <v>278</v>
          </cell>
          <cell r="AC13">
            <v>0</v>
          </cell>
          <cell r="AD13">
            <v>1190</v>
          </cell>
          <cell r="AE13">
            <v>8946</v>
          </cell>
          <cell r="AF13">
            <v>7926</v>
          </cell>
          <cell r="AG13">
            <v>1511</v>
          </cell>
          <cell r="AH13">
            <v>0</v>
          </cell>
          <cell r="AI13">
            <v>810</v>
          </cell>
          <cell r="AJ13">
            <v>0.67409144196951898</v>
          </cell>
          <cell r="AK13">
            <v>85</v>
          </cell>
          <cell r="AL13">
            <v>0</v>
          </cell>
          <cell r="AM13">
            <v>32</v>
          </cell>
          <cell r="AN13">
            <v>363</v>
          </cell>
          <cell r="AO13">
            <v>0</v>
          </cell>
          <cell r="AP13">
            <v>278</v>
          </cell>
          <cell r="AQ13">
            <v>1370</v>
          </cell>
          <cell r="AX13">
            <v>911</v>
          </cell>
          <cell r="AY13">
            <v>2445</v>
          </cell>
          <cell r="AZ13">
            <v>17</v>
          </cell>
          <cell r="BA13">
            <v>35</v>
          </cell>
          <cell r="BB13">
            <v>136</v>
          </cell>
          <cell r="BC13">
            <v>0</v>
          </cell>
          <cell r="BD13">
            <v>0</v>
          </cell>
          <cell r="BE13">
            <v>47</v>
          </cell>
          <cell r="BF13">
            <v>0.27659574468085102</v>
          </cell>
          <cell r="BH13">
            <v>6984</v>
          </cell>
          <cell r="BI13">
            <v>6919</v>
          </cell>
          <cell r="BJ13">
            <v>8934</v>
          </cell>
          <cell r="BK13">
            <v>1155</v>
          </cell>
          <cell r="BL13">
            <v>0</v>
          </cell>
          <cell r="BM13">
            <v>2226</v>
          </cell>
          <cell r="BN13">
            <v>17</v>
          </cell>
          <cell r="BO13">
            <v>0</v>
          </cell>
          <cell r="BP13">
            <v>171</v>
          </cell>
          <cell r="BQ13">
            <v>0</v>
          </cell>
          <cell r="BR13">
            <v>0</v>
          </cell>
          <cell r="BS13">
            <v>47</v>
          </cell>
          <cell r="BT13">
            <v>9.0425531914893595E-2</v>
          </cell>
          <cell r="BV13">
            <v>4262</v>
          </cell>
          <cell r="BX13">
            <v>13646</v>
          </cell>
          <cell r="BY13">
            <v>1332</v>
          </cell>
          <cell r="BZ13">
            <v>0</v>
          </cell>
          <cell r="CA13">
            <v>2226</v>
          </cell>
          <cell r="CB13">
            <v>11041.66767641029</v>
          </cell>
          <cell r="CC13">
            <v>0</v>
          </cell>
          <cell r="CD13">
            <v>0</v>
          </cell>
          <cell r="CE13">
            <v>0</v>
          </cell>
          <cell r="CF13">
            <v>0</v>
          </cell>
          <cell r="CG13">
            <v>0</v>
          </cell>
          <cell r="CM13">
            <v>0</v>
          </cell>
          <cell r="CZ13">
            <v>0.12341277593279938</v>
          </cell>
          <cell r="DA13">
            <v>0.17753877328345413</v>
          </cell>
          <cell r="DB13">
            <v>85665679.799999997</v>
          </cell>
          <cell r="DC13">
            <v>89.2</v>
          </cell>
          <cell r="DD13">
            <v>5.4</v>
          </cell>
          <cell r="DE13">
            <v>1.9</v>
          </cell>
          <cell r="DF13">
            <v>71</v>
          </cell>
          <cell r="DG13">
            <v>13.8</v>
          </cell>
          <cell r="DH13">
            <v>6.4</v>
          </cell>
          <cell r="DI13">
            <v>96.5</v>
          </cell>
          <cell r="DJ13">
            <v>91.2</v>
          </cell>
        </row>
        <row r="14">
          <cell r="A14">
            <v>212</v>
          </cell>
          <cell r="B14">
            <v>4.6096256684492E-2</v>
          </cell>
          <cell r="C14">
            <v>3.3155080213903697E-2</v>
          </cell>
          <cell r="D14">
            <v>2.09828823854224E-3</v>
          </cell>
          <cell r="E14">
            <v>1.5240198785201499E-2</v>
          </cell>
          <cell r="F14">
            <v>6200</v>
          </cell>
          <cell r="G14">
            <v>1430</v>
          </cell>
          <cell r="H14">
            <v>80</v>
          </cell>
          <cell r="I14">
            <v>0</v>
          </cell>
          <cell r="J14">
            <v>0.19687010989848494</v>
          </cell>
          <cell r="K14">
            <v>0.10304819159223426</v>
          </cell>
          <cell r="L14">
            <v>0</v>
          </cell>
          <cell r="M14">
            <v>94</v>
          </cell>
          <cell r="N14">
            <v>0</v>
          </cell>
          <cell r="O14">
            <v>400</v>
          </cell>
          <cell r="P14">
            <v>0</v>
          </cell>
          <cell r="Q14">
            <v>0</v>
          </cell>
          <cell r="R14">
            <v>0</v>
          </cell>
          <cell r="S14">
            <v>7890</v>
          </cell>
          <cell r="T14">
            <v>12293</v>
          </cell>
          <cell r="U14">
            <v>840</v>
          </cell>
          <cell r="V14">
            <v>525</v>
          </cell>
          <cell r="W14">
            <v>0</v>
          </cell>
          <cell r="X14">
            <v>1</v>
          </cell>
          <cell r="Y14">
            <v>1</v>
          </cell>
          <cell r="Z14">
            <v>400</v>
          </cell>
          <cell r="AA14">
            <v>110</v>
          </cell>
          <cell r="AB14">
            <v>0</v>
          </cell>
          <cell r="AC14">
            <v>0</v>
          </cell>
          <cell r="AD14">
            <v>0</v>
          </cell>
          <cell r="AE14">
            <v>6485</v>
          </cell>
          <cell r="AF14">
            <v>7640</v>
          </cell>
          <cell r="AG14">
            <v>0</v>
          </cell>
          <cell r="AH14">
            <v>0</v>
          </cell>
          <cell r="AI14">
            <v>0</v>
          </cell>
          <cell r="AJ14">
            <v>1</v>
          </cell>
          <cell r="AK14">
            <v>1</v>
          </cell>
          <cell r="AL14">
            <v>235</v>
          </cell>
          <cell r="AM14">
            <v>275</v>
          </cell>
          <cell r="AN14">
            <v>0</v>
          </cell>
          <cell r="AO14">
            <v>0</v>
          </cell>
          <cell r="AP14">
            <v>0</v>
          </cell>
          <cell r="AQ14">
            <v>0</v>
          </cell>
          <cell r="AX14">
            <v>0</v>
          </cell>
          <cell r="AY14">
            <v>0</v>
          </cell>
          <cell r="AZ14">
            <v>308</v>
          </cell>
          <cell r="BA14">
            <v>62</v>
          </cell>
          <cell r="BB14">
            <v>30</v>
          </cell>
          <cell r="BC14">
            <v>0</v>
          </cell>
          <cell r="BD14">
            <v>0</v>
          </cell>
          <cell r="BE14">
            <v>0</v>
          </cell>
          <cell r="BF14">
            <v>0.92500000000000004</v>
          </cell>
          <cell r="BH14">
            <v>3435</v>
          </cell>
          <cell r="BI14">
            <v>3766</v>
          </cell>
          <cell r="BJ14">
            <v>11666</v>
          </cell>
          <cell r="BK14">
            <v>0</v>
          </cell>
          <cell r="BL14">
            <v>210</v>
          </cell>
          <cell r="BM14">
            <v>2471</v>
          </cell>
          <cell r="BN14">
            <v>48</v>
          </cell>
          <cell r="BO14">
            <v>0</v>
          </cell>
          <cell r="BP14">
            <v>352</v>
          </cell>
          <cell r="BQ14">
            <v>0</v>
          </cell>
          <cell r="BR14">
            <v>0</v>
          </cell>
          <cell r="BS14">
            <v>0</v>
          </cell>
          <cell r="BT14">
            <v>0.12</v>
          </cell>
          <cell r="BV14">
            <v>2887</v>
          </cell>
          <cell r="BX14">
            <v>12686</v>
          </cell>
          <cell r="BY14">
            <v>1680</v>
          </cell>
          <cell r="BZ14">
            <v>210</v>
          </cell>
          <cell r="CA14">
            <v>2261</v>
          </cell>
          <cell r="CB14">
            <v>25532.546306439774</v>
          </cell>
          <cell r="CC14">
            <v>9104.5146321864286</v>
          </cell>
          <cell r="CD14">
            <v>11323.717614581708</v>
          </cell>
          <cell r="CE14">
            <v>19974.212224038896</v>
          </cell>
          <cell r="CF14">
            <v>0</v>
          </cell>
          <cell r="CG14">
            <v>0</v>
          </cell>
          <cell r="CM14">
            <v>0</v>
          </cell>
          <cell r="CZ14">
            <v>0.19230277458125558</v>
          </cell>
          <cell r="DA14">
            <v>0.2753481553872465</v>
          </cell>
          <cell r="DB14">
            <v>62105498.010000005</v>
          </cell>
          <cell r="DC14">
            <v>76.900000000000006</v>
          </cell>
          <cell r="DD14">
            <v>8.4</v>
          </cell>
          <cell r="DE14">
            <v>4.5</v>
          </cell>
          <cell r="DF14">
            <v>56.9</v>
          </cell>
          <cell r="DG14">
            <v>17.100000000000001</v>
          </cell>
          <cell r="DH14">
            <v>9.3000000000000007</v>
          </cell>
          <cell r="DI14">
            <v>89.8</v>
          </cell>
          <cell r="DJ14">
            <v>83.3</v>
          </cell>
        </row>
        <row r="15">
          <cell r="A15">
            <v>213</v>
          </cell>
          <cell r="B15">
            <v>0.132280947147567</v>
          </cell>
          <cell r="C15">
            <v>-5.7947846937756002E-3</v>
          </cell>
          <cell r="D15">
            <v>3.59195402298851E-4</v>
          </cell>
          <cell r="E15">
            <v>2.2509578544061298E-2</v>
          </cell>
          <cell r="F15">
            <v>283</v>
          </cell>
          <cell r="G15">
            <v>2825</v>
          </cell>
          <cell r="H15">
            <v>0</v>
          </cell>
          <cell r="I15">
            <v>110</v>
          </cell>
          <cell r="J15">
            <v>0.20217678100263853</v>
          </cell>
          <cell r="K15">
            <v>4.0741127751585067E-2</v>
          </cell>
          <cell r="L15">
            <v>0</v>
          </cell>
          <cell r="M15">
            <v>450</v>
          </cell>
          <cell r="N15">
            <v>20</v>
          </cell>
          <cell r="O15">
            <v>30</v>
          </cell>
          <cell r="P15">
            <v>0</v>
          </cell>
          <cell r="Q15">
            <v>0</v>
          </cell>
          <cell r="R15">
            <v>0</v>
          </cell>
          <cell r="S15">
            <v>3634</v>
          </cell>
          <cell r="T15">
            <v>7604</v>
          </cell>
          <cell r="U15">
            <v>420</v>
          </cell>
          <cell r="V15">
            <v>0</v>
          </cell>
          <cell r="W15">
            <v>0</v>
          </cell>
          <cell r="X15">
            <v>1</v>
          </cell>
          <cell r="Y15">
            <v>1</v>
          </cell>
          <cell r="Z15">
            <v>0</v>
          </cell>
          <cell r="AA15">
            <v>0</v>
          </cell>
          <cell r="AB15">
            <v>0</v>
          </cell>
          <cell r="AC15">
            <v>0</v>
          </cell>
          <cell r="AD15">
            <v>550</v>
          </cell>
          <cell r="AE15">
            <v>7973</v>
          </cell>
          <cell r="AF15">
            <v>1750</v>
          </cell>
          <cell r="AG15">
            <v>0</v>
          </cell>
          <cell r="AH15">
            <v>0</v>
          </cell>
          <cell r="AI15">
            <v>0</v>
          </cell>
          <cell r="AJ15" t="str">
            <v>NULL</v>
          </cell>
          <cell r="AK15" t="str">
            <v>NULL</v>
          </cell>
          <cell r="AL15">
            <v>0</v>
          </cell>
          <cell r="AM15">
            <v>0</v>
          </cell>
          <cell r="AN15">
            <v>0</v>
          </cell>
          <cell r="AO15">
            <v>0</v>
          </cell>
          <cell r="AP15">
            <v>0</v>
          </cell>
          <cell r="AQ15">
            <v>550</v>
          </cell>
          <cell r="AX15">
            <v>0</v>
          </cell>
          <cell r="AY15">
            <v>900</v>
          </cell>
          <cell r="AZ15">
            <v>50</v>
          </cell>
          <cell r="BA15">
            <v>0</v>
          </cell>
          <cell r="BB15">
            <v>0</v>
          </cell>
          <cell r="BC15">
            <v>0</v>
          </cell>
          <cell r="BD15">
            <v>0</v>
          </cell>
          <cell r="BE15">
            <v>0</v>
          </cell>
          <cell r="BF15">
            <v>1</v>
          </cell>
          <cell r="BH15">
            <v>2030</v>
          </cell>
          <cell r="BI15">
            <v>2291</v>
          </cell>
          <cell r="BJ15">
            <v>5519</v>
          </cell>
          <cell r="BK15">
            <v>798</v>
          </cell>
          <cell r="BL15">
            <v>0</v>
          </cell>
          <cell r="BM15">
            <v>1020</v>
          </cell>
          <cell r="BN15">
            <v>50</v>
          </cell>
          <cell r="BO15">
            <v>0</v>
          </cell>
          <cell r="BP15">
            <v>0</v>
          </cell>
          <cell r="BQ15">
            <v>0</v>
          </cell>
          <cell r="BR15">
            <v>0</v>
          </cell>
          <cell r="BS15">
            <v>0</v>
          </cell>
          <cell r="BT15">
            <v>1</v>
          </cell>
          <cell r="BV15">
            <v>1505</v>
          </cell>
          <cell r="BX15">
            <v>5029</v>
          </cell>
          <cell r="BY15">
            <v>1260</v>
          </cell>
          <cell r="BZ15">
            <v>0</v>
          </cell>
          <cell r="CA15">
            <v>1020</v>
          </cell>
          <cell r="CB15">
            <v>17637.659637659639</v>
          </cell>
          <cell r="CC15">
            <v>0</v>
          </cell>
          <cell r="CD15">
            <v>0</v>
          </cell>
          <cell r="CE15">
            <v>0</v>
          </cell>
          <cell r="CF15">
            <v>0</v>
          </cell>
          <cell r="CG15">
            <v>0</v>
          </cell>
          <cell r="CM15">
            <v>0</v>
          </cell>
          <cell r="CZ15">
            <v>-4.065040650406504E-2</v>
          </cell>
          <cell r="DA15">
            <v>1.1356607310215558</v>
          </cell>
          <cell r="DB15">
            <v>26509992.100000001</v>
          </cell>
          <cell r="DC15">
            <v>83.4</v>
          </cell>
          <cell r="DD15">
            <v>8</v>
          </cell>
          <cell r="DE15">
            <v>3.6</v>
          </cell>
          <cell r="DF15">
            <v>56.3</v>
          </cell>
          <cell r="DG15">
            <v>16.899999999999999</v>
          </cell>
          <cell r="DH15">
            <v>8.1999999999999993</v>
          </cell>
          <cell r="DI15">
            <v>95.1</v>
          </cell>
          <cell r="DJ15">
            <v>81.3</v>
          </cell>
        </row>
        <row r="16">
          <cell r="A16">
            <v>301</v>
          </cell>
          <cell r="B16">
            <v>5.4531033115209203E-2</v>
          </cell>
          <cell r="C16">
            <v>4.56474320840769E-2</v>
          </cell>
          <cell r="D16">
            <v>4.0369269284931897E-2</v>
          </cell>
          <cell r="E16">
            <v>3.3953997809419503E-2</v>
          </cell>
          <cell r="F16">
            <v>8755</v>
          </cell>
          <cell r="G16">
            <v>9711</v>
          </cell>
          <cell r="H16">
            <v>120</v>
          </cell>
          <cell r="I16">
            <v>110</v>
          </cell>
          <cell r="J16">
            <v>8.1249094633707719E-2</v>
          </cell>
          <cell r="K16">
            <v>0.14019826623739282</v>
          </cell>
          <cell r="L16">
            <v>0</v>
          </cell>
          <cell r="M16">
            <v>450</v>
          </cell>
          <cell r="N16">
            <v>0</v>
          </cell>
          <cell r="O16">
            <v>103</v>
          </cell>
          <cell r="P16">
            <v>0</v>
          </cell>
          <cell r="Q16">
            <v>0</v>
          </cell>
          <cell r="R16">
            <v>0</v>
          </cell>
          <cell r="S16">
            <v>2036</v>
          </cell>
          <cell r="T16">
            <v>23343</v>
          </cell>
          <cell r="U16">
            <v>2850</v>
          </cell>
          <cell r="V16">
            <v>0</v>
          </cell>
          <cell r="W16">
            <v>0</v>
          </cell>
          <cell r="X16">
            <v>1</v>
          </cell>
          <cell r="Y16">
            <v>1</v>
          </cell>
          <cell r="Z16">
            <v>0</v>
          </cell>
          <cell r="AA16">
            <v>421</v>
          </cell>
          <cell r="AB16">
            <v>0</v>
          </cell>
          <cell r="AC16">
            <v>0</v>
          </cell>
          <cell r="AD16">
            <v>0</v>
          </cell>
          <cell r="AE16">
            <v>2088</v>
          </cell>
          <cell r="AF16">
            <v>13912</v>
          </cell>
          <cell r="AG16">
            <v>2731</v>
          </cell>
          <cell r="AH16">
            <v>600</v>
          </cell>
          <cell r="AI16">
            <v>1824</v>
          </cell>
          <cell r="AJ16">
            <v>1</v>
          </cell>
          <cell r="AK16">
            <v>1</v>
          </cell>
          <cell r="AL16">
            <v>0</v>
          </cell>
          <cell r="AM16">
            <v>301</v>
          </cell>
          <cell r="AN16">
            <v>0</v>
          </cell>
          <cell r="AO16">
            <v>120</v>
          </cell>
          <cell r="AP16">
            <v>0</v>
          </cell>
          <cell r="AQ16">
            <v>0</v>
          </cell>
          <cell r="AX16">
            <v>2041</v>
          </cell>
          <cell r="AY16">
            <v>3114</v>
          </cell>
          <cell r="AZ16">
            <v>0</v>
          </cell>
          <cell r="BA16">
            <v>30</v>
          </cell>
          <cell r="BB16">
            <v>0</v>
          </cell>
          <cell r="BC16">
            <v>49</v>
          </cell>
          <cell r="BD16">
            <v>0</v>
          </cell>
          <cell r="BE16">
            <v>24</v>
          </cell>
          <cell r="BF16">
            <v>0.379746835443038</v>
          </cell>
          <cell r="BH16">
            <v>3180</v>
          </cell>
          <cell r="BI16">
            <v>9939</v>
          </cell>
          <cell r="BJ16">
            <v>8145</v>
          </cell>
          <cell r="BK16">
            <v>2369</v>
          </cell>
          <cell r="BL16">
            <v>0</v>
          </cell>
          <cell r="BM16">
            <v>4596</v>
          </cell>
          <cell r="BN16">
            <v>0</v>
          </cell>
          <cell r="BO16">
            <v>30</v>
          </cell>
          <cell r="BP16">
            <v>0</v>
          </cell>
          <cell r="BQ16">
            <v>49</v>
          </cell>
          <cell r="BR16">
            <v>0</v>
          </cell>
          <cell r="BS16">
            <v>24</v>
          </cell>
          <cell r="BT16">
            <v>0.379746835443038</v>
          </cell>
          <cell r="BV16">
            <v>3095</v>
          </cell>
          <cell r="BX16">
            <v>10244</v>
          </cell>
          <cell r="BY16">
            <v>4444</v>
          </cell>
          <cell r="BZ16">
            <v>1560</v>
          </cell>
          <cell r="CA16">
            <v>4596</v>
          </cell>
          <cell r="CB16">
            <v>19487.761346876308</v>
          </cell>
          <cell r="CC16">
            <v>8969.0468331683005</v>
          </cell>
          <cell r="CD16">
            <v>0</v>
          </cell>
          <cell r="CE16">
            <v>21528.311741281334</v>
          </cell>
          <cell r="CF16">
            <v>0</v>
          </cell>
          <cell r="CG16">
            <v>0</v>
          </cell>
          <cell r="CM16">
            <v>0</v>
          </cell>
          <cell r="CZ16">
            <v>0.51046590141796089</v>
          </cell>
          <cell r="DA16">
            <v>0.4784450994841562</v>
          </cell>
          <cell r="DB16">
            <v>194392378.37</v>
          </cell>
          <cell r="DC16">
            <v>95.4</v>
          </cell>
          <cell r="DD16">
            <v>3.4</v>
          </cell>
          <cell r="DE16">
            <v>0.7</v>
          </cell>
          <cell r="DF16">
            <v>71.599999999999994</v>
          </cell>
          <cell r="DG16">
            <v>13.1</v>
          </cell>
          <cell r="DH16">
            <v>5</v>
          </cell>
          <cell r="DI16">
            <v>99.4</v>
          </cell>
          <cell r="DJ16">
            <v>89.7</v>
          </cell>
        </row>
        <row r="17">
          <cell r="A17">
            <v>302</v>
          </cell>
          <cell r="B17">
            <v>0.05</v>
          </cell>
          <cell r="C17">
            <v>1.97860962566845E-2</v>
          </cell>
          <cell r="D17">
            <v>3.5129980929438899E-2</v>
          </cell>
          <cell r="E17">
            <v>3.3825153066345502E-2</v>
          </cell>
          <cell r="F17">
            <v>6260</v>
          </cell>
          <cell r="G17">
            <v>5688</v>
          </cell>
          <cell r="H17">
            <v>60</v>
          </cell>
          <cell r="I17">
            <v>0</v>
          </cell>
          <cell r="J17">
            <v>7.4892603192220131E-2</v>
          </cell>
          <cell r="K17">
            <v>9.6477866600435877E-2</v>
          </cell>
          <cell r="L17">
            <v>105</v>
          </cell>
          <cell r="M17">
            <v>1620</v>
          </cell>
          <cell r="N17">
            <v>30</v>
          </cell>
          <cell r="O17">
            <v>245</v>
          </cell>
          <cell r="P17">
            <v>0</v>
          </cell>
          <cell r="Q17">
            <v>0</v>
          </cell>
          <cell r="R17">
            <v>0</v>
          </cell>
          <cell r="S17">
            <v>10313</v>
          </cell>
          <cell r="T17">
            <v>19795</v>
          </cell>
          <cell r="U17">
            <v>1920</v>
          </cell>
          <cell r="V17">
            <v>0</v>
          </cell>
          <cell r="W17">
            <v>420</v>
          </cell>
          <cell r="X17">
            <v>1</v>
          </cell>
          <cell r="Y17">
            <v>1</v>
          </cell>
          <cell r="Z17">
            <v>64</v>
          </cell>
          <cell r="AA17">
            <v>40</v>
          </cell>
          <cell r="AB17">
            <v>0</v>
          </cell>
          <cell r="AC17">
            <v>0</v>
          </cell>
          <cell r="AD17">
            <v>0</v>
          </cell>
          <cell r="AE17">
            <v>10472</v>
          </cell>
          <cell r="AF17">
            <v>15965</v>
          </cell>
          <cell r="AG17">
            <v>0</v>
          </cell>
          <cell r="AH17">
            <v>0</v>
          </cell>
          <cell r="AI17">
            <v>0</v>
          </cell>
          <cell r="AJ17">
            <v>1</v>
          </cell>
          <cell r="AK17">
            <v>1</v>
          </cell>
          <cell r="AL17">
            <v>64</v>
          </cell>
          <cell r="AM17">
            <v>0</v>
          </cell>
          <cell r="AN17">
            <v>40</v>
          </cell>
          <cell r="AO17">
            <v>0</v>
          </cell>
          <cell r="AP17">
            <v>0</v>
          </cell>
          <cell r="AQ17">
            <v>0</v>
          </cell>
          <cell r="AX17">
            <v>0</v>
          </cell>
          <cell r="AY17">
            <v>600</v>
          </cell>
          <cell r="AZ17">
            <v>60</v>
          </cell>
          <cell r="BA17">
            <v>0</v>
          </cell>
          <cell r="BB17">
            <v>30</v>
          </cell>
          <cell r="BC17">
            <v>155</v>
          </cell>
          <cell r="BD17">
            <v>0</v>
          </cell>
          <cell r="BE17">
            <v>30</v>
          </cell>
          <cell r="BF17">
            <v>0.24489795918367299</v>
          </cell>
          <cell r="BH17">
            <v>7862</v>
          </cell>
          <cell r="BI17">
            <v>6340</v>
          </cell>
          <cell r="BJ17">
            <v>11566</v>
          </cell>
          <cell r="BK17">
            <v>1933</v>
          </cell>
          <cell r="BL17">
            <v>0</v>
          </cell>
          <cell r="BM17">
            <v>4747</v>
          </cell>
          <cell r="BN17">
            <v>60</v>
          </cell>
          <cell r="BO17">
            <v>0</v>
          </cell>
          <cell r="BP17">
            <v>185</v>
          </cell>
          <cell r="BQ17">
            <v>0</v>
          </cell>
          <cell r="BR17">
            <v>0</v>
          </cell>
          <cell r="BS17">
            <v>30</v>
          </cell>
          <cell r="BT17">
            <v>0.24489795918367299</v>
          </cell>
          <cell r="BV17">
            <v>7991</v>
          </cell>
          <cell r="BX17">
            <v>14339</v>
          </cell>
          <cell r="BY17">
            <v>315</v>
          </cell>
          <cell r="BZ17">
            <v>573</v>
          </cell>
          <cell r="CA17">
            <v>4747</v>
          </cell>
          <cell r="CB17">
            <v>15991.034812110795</v>
          </cell>
          <cell r="CC17">
            <v>7159.5745390110324</v>
          </cell>
          <cell r="CD17">
            <v>23725.547888310848</v>
          </cell>
          <cell r="CE17">
            <v>0</v>
          </cell>
          <cell r="CF17">
            <v>0</v>
          </cell>
          <cell r="CG17">
            <v>0</v>
          </cell>
          <cell r="CM17">
            <v>0</v>
          </cell>
          <cell r="CZ17">
            <v>0.25949756157534526</v>
          </cell>
          <cell r="DA17">
            <v>0.44395251844722489</v>
          </cell>
          <cell r="DB17">
            <v>112361168.95</v>
          </cell>
          <cell r="DC17">
            <v>84.1</v>
          </cell>
          <cell r="DD17">
            <v>7.9</v>
          </cell>
          <cell r="DE17">
            <v>2.7</v>
          </cell>
          <cell r="DF17">
            <v>67.599999999999994</v>
          </cell>
          <cell r="DG17">
            <v>12.8</v>
          </cell>
          <cell r="DH17">
            <v>6</v>
          </cell>
          <cell r="DI17">
            <v>94.6</v>
          </cell>
          <cell r="DJ17">
            <v>86.4</v>
          </cell>
        </row>
        <row r="18">
          <cell r="A18">
            <v>303</v>
          </cell>
          <cell r="B18">
            <v>4.0023047602162902E-2</v>
          </cell>
          <cell r="C18">
            <v>2.2382767485152E-2</v>
          </cell>
          <cell r="D18">
            <v>4.45257315842583E-2</v>
          </cell>
          <cell r="E18">
            <v>4.9823410696266399E-3</v>
          </cell>
          <cell r="F18">
            <v>3609</v>
          </cell>
          <cell r="G18">
            <v>1828</v>
          </cell>
          <cell r="H18">
            <v>60</v>
          </cell>
          <cell r="I18">
            <v>0</v>
          </cell>
          <cell r="J18">
            <v>4.6061870561328891E-2</v>
          </cell>
          <cell r="K18">
            <v>6.9274086293648271E-2</v>
          </cell>
          <cell r="L18">
            <v>840</v>
          </cell>
          <cell r="M18">
            <v>0</v>
          </cell>
          <cell r="N18">
            <v>42</v>
          </cell>
          <cell r="O18">
            <v>332</v>
          </cell>
          <cell r="P18">
            <v>0</v>
          </cell>
          <cell r="Q18">
            <v>0</v>
          </cell>
          <cell r="R18">
            <v>0</v>
          </cell>
          <cell r="S18">
            <v>3086</v>
          </cell>
          <cell r="T18">
            <v>18103</v>
          </cell>
          <cell r="U18">
            <v>1050</v>
          </cell>
          <cell r="V18">
            <v>420</v>
          </cell>
          <cell r="W18">
            <v>0</v>
          </cell>
          <cell r="X18">
            <v>1</v>
          </cell>
          <cell r="Y18">
            <v>1</v>
          </cell>
          <cell r="Z18">
            <v>0</v>
          </cell>
          <cell r="AA18">
            <v>0</v>
          </cell>
          <cell r="AB18">
            <v>0</v>
          </cell>
          <cell r="AC18">
            <v>0</v>
          </cell>
          <cell r="AD18">
            <v>0</v>
          </cell>
          <cell r="AE18">
            <v>5500</v>
          </cell>
          <cell r="AF18">
            <v>9609</v>
          </cell>
          <cell r="AG18">
            <v>6000</v>
          </cell>
          <cell r="AH18">
            <v>0</v>
          </cell>
          <cell r="AI18">
            <v>0</v>
          </cell>
          <cell r="AJ18" t="str">
            <v>NULL</v>
          </cell>
          <cell r="AK18" t="str">
            <v>NULL</v>
          </cell>
          <cell r="AL18">
            <v>0</v>
          </cell>
          <cell r="AM18">
            <v>0</v>
          </cell>
          <cell r="AN18">
            <v>0</v>
          </cell>
          <cell r="AO18">
            <v>0</v>
          </cell>
          <cell r="AP18">
            <v>0</v>
          </cell>
          <cell r="AQ18">
            <v>0</v>
          </cell>
          <cell r="AX18">
            <v>7350</v>
          </cell>
          <cell r="AY18">
            <v>0</v>
          </cell>
          <cell r="AZ18">
            <v>30</v>
          </cell>
          <cell r="BA18">
            <v>0</v>
          </cell>
          <cell r="BB18">
            <v>69</v>
          </cell>
          <cell r="BC18">
            <v>233</v>
          </cell>
          <cell r="BD18">
            <v>0</v>
          </cell>
          <cell r="BE18">
            <v>42</v>
          </cell>
          <cell r="BF18">
            <v>9.0361445783132502E-2</v>
          </cell>
          <cell r="BH18">
            <v>1320</v>
          </cell>
          <cell r="BI18">
            <v>4350</v>
          </cell>
          <cell r="BJ18">
            <v>10124</v>
          </cell>
          <cell r="BK18">
            <v>4237</v>
          </cell>
          <cell r="BL18">
            <v>630</v>
          </cell>
          <cell r="BM18">
            <v>1998</v>
          </cell>
          <cell r="BN18">
            <v>0</v>
          </cell>
          <cell r="BO18">
            <v>30</v>
          </cell>
          <cell r="BP18">
            <v>281</v>
          </cell>
          <cell r="BQ18">
            <v>21</v>
          </cell>
          <cell r="BR18">
            <v>0</v>
          </cell>
          <cell r="BS18">
            <v>42</v>
          </cell>
          <cell r="BT18">
            <v>9.0361445783132502E-2</v>
          </cell>
          <cell r="BV18">
            <v>1470</v>
          </cell>
          <cell r="BX18">
            <v>12612</v>
          </cell>
          <cell r="BY18">
            <v>3009</v>
          </cell>
          <cell r="BZ18">
            <v>840</v>
          </cell>
          <cell r="CA18">
            <v>1998</v>
          </cell>
          <cell r="CB18">
            <v>14096.126109655272</v>
          </cell>
          <cell r="CC18">
            <v>6159.1946170230485</v>
          </cell>
          <cell r="CD18">
            <v>0</v>
          </cell>
          <cell r="CE18">
            <v>0</v>
          </cell>
          <cell r="CF18">
            <v>0</v>
          </cell>
          <cell r="CG18">
            <v>0</v>
          </cell>
          <cell r="CM18">
            <v>0</v>
          </cell>
          <cell r="CZ18">
            <v>0.27753658144396204</v>
          </cell>
          <cell r="DA18">
            <v>0.20169967788362689</v>
          </cell>
          <cell r="DB18">
            <v>57825284.169999994</v>
          </cell>
          <cell r="DC18">
            <v>89</v>
          </cell>
          <cell r="DD18">
            <v>7</v>
          </cell>
          <cell r="DE18">
            <v>1.8</v>
          </cell>
          <cell r="DF18">
            <v>71</v>
          </cell>
          <cell r="DG18">
            <v>13.7</v>
          </cell>
          <cell r="DH18">
            <v>5.8</v>
          </cell>
          <cell r="DI18">
            <v>97.8</v>
          </cell>
          <cell r="DJ18">
            <v>90.5</v>
          </cell>
        </row>
        <row r="19">
          <cell r="A19">
            <v>304</v>
          </cell>
          <cell r="B19">
            <v>8.0383536724020294E-2</v>
          </cell>
          <cell r="C19">
            <v>1.8191465170924001E-2</v>
          </cell>
          <cell r="D19">
            <v>7.5329443388185896E-2</v>
          </cell>
          <cell r="E19">
            <v>7.1461351865206796E-3</v>
          </cell>
          <cell r="F19">
            <v>6854</v>
          </cell>
          <cell r="G19">
            <v>4594</v>
          </cell>
          <cell r="H19">
            <v>0</v>
          </cell>
          <cell r="I19">
            <v>0</v>
          </cell>
          <cell r="J19">
            <v>0.14791967413449778</v>
          </cell>
          <cell r="K19">
            <v>8.101774547057633E-2</v>
          </cell>
          <cell r="L19">
            <v>780</v>
          </cell>
          <cell r="M19">
            <v>0</v>
          </cell>
          <cell r="N19">
            <v>86</v>
          </cell>
          <cell r="O19">
            <v>364</v>
          </cell>
          <cell r="P19">
            <v>0</v>
          </cell>
          <cell r="Q19">
            <v>0</v>
          </cell>
          <cell r="R19">
            <v>0</v>
          </cell>
          <cell r="S19">
            <v>5686</v>
          </cell>
          <cell r="T19">
            <v>21700</v>
          </cell>
          <cell r="U19">
            <v>420</v>
          </cell>
          <cell r="V19">
            <v>0</v>
          </cell>
          <cell r="W19">
            <v>840</v>
          </cell>
          <cell r="X19">
            <v>1</v>
          </cell>
          <cell r="Y19">
            <v>1</v>
          </cell>
          <cell r="Z19">
            <v>90</v>
          </cell>
          <cell r="AA19">
            <v>794</v>
          </cell>
          <cell r="AB19">
            <v>0</v>
          </cell>
          <cell r="AC19">
            <v>0</v>
          </cell>
          <cell r="AD19">
            <v>0</v>
          </cell>
          <cell r="AE19">
            <v>4924</v>
          </cell>
          <cell r="AF19">
            <v>14486</v>
          </cell>
          <cell r="AG19">
            <v>1750</v>
          </cell>
          <cell r="AH19">
            <v>0</v>
          </cell>
          <cell r="AI19">
            <v>0</v>
          </cell>
          <cell r="AJ19">
            <v>1</v>
          </cell>
          <cell r="AK19">
            <v>1</v>
          </cell>
          <cell r="AL19">
            <v>490</v>
          </cell>
          <cell r="AM19">
            <v>329</v>
          </cell>
          <cell r="AN19">
            <v>65</v>
          </cell>
          <cell r="AO19">
            <v>0</v>
          </cell>
          <cell r="AP19">
            <v>0</v>
          </cell>
          <cell r="AQ19">
            <v>0</v>
          </cell>
          <cell r="AX19">
            <v>0</v>
          </cell>
          <cell r="AY19">
            <v>2590</v>
          </cell>
          <cell r="AZ19">
            <v>142</v>
          </cell>
          <cell r="BA19">
            <v>290</v>
          </cell>
          <cell r="BB19">
            <v>0</v>
          </cell>
          <cell r="BC19">
            <v>18</v>
          </cell>
          <cell r="BD19">
            <v>0</v>
          </cell>
          <cell r="BE19">
            <v>0</v>
          </cell>
          <cell r="BF19">
            <v>0.96</v>
          </cell>
          <cell r="BH19">
            <v>6761</v>
          </cell>
          <cell r="BI19">
            <v>7177</v>
          </cell>
          <cell r="BJ19">
            <v>9641</v>
          </cell>
          <cell r="BK19">
            <v>1943</v>
          </cell>
          <cell r="BL19">
            <v>0</v>
          </cell>
          <cell r="BM19">
            <v>3124</v>
          </cell>
          <cell r="BN19">
            <v>0</v>
          </cell>
          <cell r="BO19">
            <v>56</v>
          </cell>
          <cell r="BP19">
            <v>376</v>
          </cell>
          <cell r="BQ19">
            <v>0</v>
          </cell>
          <cell r="BR19">
            <v>18</v>
          </cell>
          <cell r="BS19">
            <v>0</v>
          </cell>
          <cell r="BT19">
            <v>0.124444444444444</v>
          </cell>
          <cell r="BV19">
            <v>628</v>
          </cell>
          <cell r="BX19">
            <v>11745</v>
          </cell>
          <cell r="BY19">
            <v>2407</v>
          </cell>
          <cell r="BZ19">
            <v>3431</v>
          </cell>
          <cell r="CA19">
            <v>3124</v>
          </cell>
          <cell r="CB19">
            <v>23131.000856060691</v>
          </cell>
          <cell r="CC19">
            <v>6520.8159103760881</v>
          </cell>
          <cell r="CD19">
            <v>0</v>
          </cell>
          <cell r="CE19">
            <v>0</v>
          </cell>
          <cell r="CF19">
            <v>0</v>
          </cell>
          <cell r="CG19">
            <v>0</v>
          </cell>
          <cell r="CM19">
            <v>0</v>
          </cell>
          <cell r="CZ19">
            <v>0.18283684066684885</v>
          </cell>
          <cell r="DA19">
            <v>0.37263403652130411</v>
          </cell>
          <cell r="DB19">
            <v>164058294.81999999</v>
          </cell>
          <cell r="DC19">
            <v>86.7</v>
          </cell>
          <cell r="DD19">
            <v>7.9</v>
          </cell>
          <cell r="DE19">
            <v>2.2000000000000002</v>
          </cell>
          <cell r="DF19">
            <v>60.4</v>
          </cell>
          <cell r="DG19">
            <v>14.9</v>
          </cell>
          <cell r="DH19">
            <v>7.1</v>
          </cell>
          <cell r="DI19">
            <v>96.9</v>
          </cell>
          <cell r="DJ19">
            <v>82.3</v>
          </cell>
        </row>
        <row r="20">
          <cell r="A20">
            <v>305</v>
          </cell>
          <cell r="B20">
            <v>1.49253731343284E-2</v>
          </cell>
          <cell r="C20">
            <v>3.6394382765973102E-3</v>
          </cell>
          <cell r="D20">
            <v>4.5587097542105597E-2</v>
          </cell>
          <cell r="E20">
            <v>2.2138903767184401E-2</v>
          </cell>
          <cell r="F20">
            <v>6017</v>
          </cell>
          <cell r="G20">
            <v>2809</v>
          </cell>
          <cell r="H20">
            <v>360</v>
          </cell>
          <cell r="I20">
            <v>0</v>
          </cell>
          <cell r="J20">
            <v>9.0496391314499602E-2</v>
          </cell>
          <cell r="K20">
            <v>5.6650733911063095E-2</v>
          </cell>
          <cell r="L20">
            <v>300</v>
          </cell>
          <cell r="M20">
            <v>780</v>
          </cell>
          <cell r="N20">
            <v>0</v>
          </cell>
          <cell r="O20">
            <v>294</v>
          </cell>
          <cell r="P20">
            <v>116</v>
          </cell>
          <cell r="Q20">
            <v>0</v>
          </cell>
          <cell r="R20">
            <v>0</v>
          </cell>
          <cell r="S20">
            <v>7311</v>
          </cell>
          <cell r="T20">
            <v>18589</v>
          </cell>
          <cell r="U20">
            <v>2053</v>
          </cell>
          <cell r="V20">
            <v>0</v>
          </cell>
          <cell r="W20">
            <v>420</v>
          </cell>
          <cell r="X20">
            <v>0.71707317073170695</v>
          </cell>
          <cell r="Y20">
            <v>115</v>
          </cell>
          <cell r="Z20">
            <v>0</v>
          </cell>
          <cell r="AA20">
            <v>272</v>
          </cell>
          <cell r="AB20">
            <v>0</v>
          </cell>
          <cell r="AC20">
            <v>0</v>
          </cell>
          <cell r="AD20">
            <v>1200</v>
          </cell>
          <cell r="AE20">
            <v>11015</v>
          </cell>
          <cell r="AF20">
            <v>10002</v>
          </cell>
          <cell r="AG20">
            <v>1400</v>
          </cell>
          <cell r="AH20">
            <v>0</v>
          </cell>
          <cell r="AI20">
            <v>0</v>
          </cell>
          <cell r="AJ20">
            <v>1</v>
          </cell>
          <cell r="AK20">
            <v>1</v>
          </cell>
          <cell r="AL20">
            <v>0</v>
          </cell>
          <cell r="AM20">
            <v>0</v>
          </cell>
          <cell r="AN20">
            <v>0</v>
          </cell>
          <cell r="AO20">
            <v>272</v>
          </cell>
          <cell r="AP20">
            <v>0</v>
          </cell>
          <cell r="AQ20">
            <v>1200</v>
          </cell>
          <cell r="AX20">
            <v>0</v>
          </cell>
          <cell r="AY20">
            <v>0</v>
          </cell>
          <cell r="AZ20">
            <v>60</v>
          </cell>
          <cell r="BA20">
            <v>0</v>
          </cell>
          <cell r="BB20">
            <v>206</v>
          </cell>
          <cell r="BC20">
            <v>24</v>
          </cell>
          <cell r="BD20">
            <v>120</v>
          </cell>
          <cell r="BE20">
            <v>0</v>
          </cell>
          <cell r="BF20">
            <v>0.146341463414634</v>
          </cell>
          <cell r="BH20">
            <v>3627</v>
          </cell>
          <cell r="BI20">
            <v>5542</v>
          </cell>
          <cell r="BJ20">
            <v>12358</v>
          </cell>
          <cell r="BK20">
            <v>1998</v>
          </cell>
          <cell r="BL20">
            <v>405</v>
          </cell>
          <cell r="BM20">
            <v>4443</v>
          </cell>
          <cell r="BN20">
            <v>0</v>
          </cell>
          <cell r="BO20">
            <v>60</v>
          </cell>
          <cell r="BP20">
            <v>206</v>
          </cell>
          <cell r="BQ20">
            <v>144</v>
          </cell>
          <cell r="BR20">
            <v>0</v>
          </cell>
          <cell r="BS20">
            <v>0</v>
          </cell>
          <cell r="BT20">
            <v>0.146341463414634</v>
          </cell>
          <cell r="BV20">
            <v>2006</v>
          </cell>
          <cell r="BX20">
            <v>12889</v>
          </cell>
          <cell r="BY20">
            <v>1080</v>
          </cell>
          <cell r="BZ20">
            <v>105</v>
          </cell>
          <cell r="CA20">
            <v>4443</v>
          </cell>
          <cell r="CB20">
            <v>16909.263575072175</v>
          </cell>
          <cell r="CC20">
            <v>5751.6701506935733</v>
          </cell>
          <cell r="CD20">
            <v>0</v>
          </cell>
          <cell r="CE20">
            <v>0</v>
          </cell>
          <cell r="CF20">
            <v>11021.796981331385</v>
          </cell>
          <cell r="CG20">
            <v>0</v>
          </cell>
          <cell r="CM20">
            <v>0</v>
          </cell>
          <cell r="CZ20">
            <v>0.19148294867378574</v>
          </cell>
          <cell r="DA20">
            <v>9.1626808044718497E-2</v>
          </cell>
          <cell r="DB20">
            <v>77773222.680000007</v>
          </cell>
          <cell r="DC20">
            <v>86.1</v>
          </cell>
          <cell r="DD20">
            <v>7.6</v>
          </cell>
          <cell r="DE20">
            <v>2.4</v>
          </cell>
          <cell r="DF20">
            <v>69.400000000000006</v>
          </cell>
          <cell r="DG20">
            <v>13.7</v>
          </cell>
          <cell r="DH20">
            <v>6</v>
          </cell>
          <cell r="DI20">
            <v>96.1</v>
          </cell>
          <cell r="DJ20">
            <v>89.1</v>
          </cell>
        </row>
        <row r="21">
          <cell r="A21">
            <v>306</v>
          </cell>
          <cell r="B21">
            <v>9.1344248300253103E-2</v>
          </cell>
          <cell r="C21">
            <v>1.2104027561815899E-2</v>
          </cell>
          <cell r="D21">
            <v>2.83792187235005E-2</v>
          </cell>
          <cell r="E21">
            <v>1.41330770535361E-2</v>
          </cell>
          <cell r="F21">
            <v>10568</v>
          </cell>
          <cell r="G21">
            <v>5233</v>
          </cell>
          <cell r="H21">
            <v>0</v>
          </cell>
          <cell r="I21">
            <v>0</v>
          </cell>
          <cell r="J21">
            <v>0.15511319428805373</v>
          </cell>
          <cell r="K21">
            <v>0.18041226010910827</v>
          </cell>
          <cell r="L21">
            <v>420</v>
          </cell>
          <cell r="M21">
            <v>540</v>
          </cell>
          <cell r="N21">
            <v>214</v>
          </cell>
          <cell r="O21">
            <v>60</v>
          </cell>
          <cell r="P21">
            <v>30</v>
          </cell>
          <cell r="Q21">
            <v>0</v>
          </cell>
          <cell r="R21">
            <v>0</v>
          </cell>
          <cell r="S21">
            <v>10692</v>
          </cell>
          <cell r="T21">
            <v>18538</v>
          </cell>
          <cell r="U21">
            <v>6054</v>
          </cell>
          <cell r="V21">
            <v>480</v>
          </cell>
          <cell r="W21">
            <v>420</v>
          </cell>
          <cell r="X21">
            <v>0.90131578947368396</v>
          </cell>
          <cell r="Y21">
            <v>90</v>
          </cell>
          <cell r="Z21">
            <v>26</v>
          </cell>
          <cell r="AA21">
            <v>662</v>
          </cell>
          <cell r="AB21">
            <v>0</v>
          </cell>
          <cell r="AC21">
            <v>0</v>
          </cell>
          <cell r="AD21">
            <v>0</v>
          </cell>
          <cell r="AE21">
            <v>10118</v>
          </cell>
          <cell r="AF21">
            <v>11672</v>
          </cell>
          <cell r="AG21">
            <v>1507</v>
          </cell>
          <cell r="AH21">
            <v>900</v>
          </cell>
          <cell r="AI21">
            <v>0</v>
          </cell>
          <cell r="AJ21">
            <v>1</v>
          </cell>
          <cell r="AK21">
            <v>1</v>
          </cell>
          <cell r="AL21">
            <v>26</v>
          </cell>
          <cell r="AM21">
            <v>61</v>
          </cell>
          <cell r="AN21">
            <v>601</v>
          </cell>
          <cell r="AO21">
            <v>0</v>
          </cell>
          <cell r="AP21">
            <v>0</v>
          </cell>
          <cell r="AQ21">
            <v>0</v>
          </cell>
          <cell r="AX21">
            <v>2764</v>
          </cell>
          <cell r="AY21">
            <v>3310</v>
          </cell>
          <cell r="AZ21">
            <v>0</v>
          </cell>
          <cell r="BA21">
            <v>34</v>
          </cell>
          <cell r="BB21">
            <v>210</v>
          </cell>
          <cell r="BC21">
            <v>0</v>
          </cell>
          <cell r="BD21">
            <v>60</v>
          </cell>
          <cell r="BE21">
            <v>0</v>
          </cell>
          <cell r="BF21">
            <v>0.11184210526315801</v>
          </cell>
          <cell r="BH21">
            <v>7315</v>
          </cell>
          <cell r="BI21">
            <v>7289</v>
          </cell>
          <cell r="BJ21">
            <v>12484</v>
          </cell>
          <cell r="BK21">
            <v>2482</v>
          </cell>
          <cell r="BL21">
            <v>630</v>
          </cell>
          <cell r="BM21">
            <v>5984</v>
          </cell>
          <cell r="BN21">
            <v>0</v>
          </cell>
          <cell r="BO21">
            <v>34</v>
          </cell>
          <cell r="BP21">
            <v>60</v>
          </cell>
          <cell r="BQ21">
            <v>210</v>
          </cell>
          <cell r="BR21">
            <v>0</v>
          </cell>
          <cell r="BS21">
            <v>0</v>
          </cell>
          <cell r="BT21">
            <v>0.11184210526315801</v>
          </cell>
          <cell r="BV21">
            <v>5829</v>
          </cell>
          <cell r="BX21">
            <v>14037</v>
          </cell>
          <cell r="BY21">
            <v>2700</v>
          </cell>
          <cell r="BZ21">
            <v>1541</v>
          </cell>
          <cell r="CA21">
            <v>5984</v>
          </cell>
          <cell r="CB21">
            <v>22477.127669077243</v>
          </cell>
          <cell r="CC21">
            <v>14831.195213620429</v>
          </cell>
          <cell r="CD21">
            <v>21896.819502911818</v>
          </cell>
          <cell r="CE21">
            <v>0</v>
          </cell>
          <cell r="CF21">
            <v>0</v>
          </cell>
          <cell r="CG21">
            <v>23237.26978058404</v>
          </cell>
          <cell r="CM21">
            <v>1</v>
          </cell>
          <cell r="CZ21">
            <v>0.24299203304809677</v>
          </cell>
          <cell r="DA21">
            <v>0.38813485113835378</v>
          </cell>
          <cell r="DB21">
            <v>209775829.00999996</v>
          </cell>
          <cell r="DC21">
            <v>87</v>
          </cell>
          <cell r="DD21">
            <v>7.7</v>
          </cell>
          <cell r="DE21">
            <v>2.2999999999999998</v>
          </cell>
          <cell r="DF21">
            <v>62.1</v>
          </cell>
          <cell r="DG21">
            <v>16</v>
          </cell>
          <cell r="DH21">
            <v>7.7</v>
          </cell>
          <cell r="DI21">
            <v>97</v>
          </cell>
          <cell r="DJ21">
            <v>85.8</v>
          </cell>
        </row>
        <row r="22">
          <cell r="A22">
            <v>307</v>
          </cell>
          <cell r="B22">
            <v>3.5444603567243799E-2</v>
          </cell>
          <cell r="C22">
            <v>9.8294492904569698E-3</v>
          </cell>
          <cell r="D22">
            <v>3.55239786856128E-2</v>
          </cell>
          <cell r="E22">
            <v>1.7564633905664099E-2</v>
          </cell>
          <cell r="F22">
            <v>7498</v>
          </cell>
          <cell r="G22">
            <v>4952</v>
          </cell>
          <cell r="H22">
            <v>10</v>
          </cell>
          <cell r="I22">
            <v>160</v>
          </cell>
          <cell r="J22">
            <v>0.12476799092778672</v>
          </cell>
          <cell r="K22">
            <v>8.7792402447690737E-2</v>
          </cell>
          <cell r="L22">
            <v>0</v>
          </cell>
          <cell r="M22">
            <v>746</v>
          </cell>
          <cell r="N22">
            <v>0</v>
          </cell>
          <cell r="O22">
            <v>216</v>
          </cell>
          <cell r="P22">
            <v>0</v>
          </cell>
          <cell r="Q22">
            <v>0</v>
          </cell>
          <cell r="R22">
            <v>0</v>
          </cell>
          <cell r="S22">
            <v>6267</v>
          </cell>
          <cell r="T22">
            <v>22819</v>
          </cell>
          <cell r="U22">
            <v>2684</v>
          </cell>
          <cell r="V22">
            <v>360</v>
          </cell>
          <cell r="W22">
            <v>420</v>
          </cell>
          <cell r="X22">
            <v>1</v>
          </cell>
          <cell r="Y22">
            <v>1</v>
          </cell>
          <cell r="Z22">
            <v>123</v>
          </cell>
          <cell r="AA22">
            <v>299</v>
          </cell>
          <cell r="AB22">
            <v>0</v>
          </cell>
          <cell r="AC22">
            <v>0</v>
          </cell>
          <cell r="AD22">
            <v>0</v>
          </cell>
          <cell r="AE22">
            <v>9954</v>
          </cell>
          <cell r="AF22">
            <v>9173</v>
          </cell>
          <cell r="AG22">
            <v>0</v>
          </cell>
          <cell r="AH22">
            <v>1422</v>
          </cell>
          <cell r="AI22">
            <v>840</v>
          </cell>
          <cell r="AJ22">
            <v>1</v>
          </cell>
          <cell r="AK22">
            <v>1</v>
          </cell>
          <cell r="AL22">
            <v>142</v>
          </cell>
          <cell r="AM22">
            <v>265</v>
          </cell>
          <cell r="AN22">
            <v>0</v>
          </cell>
          <cell r="AO22">
            <v>0</v>
          </cell>
          <cell r="AP22">
            <v>15</v>
          </cell>
          <cell r="AQ22">
            <v>0</v>
          </cell>
          <cell r="AX22">
            <v>1334</v>
          </cell>
          <cell r="AY22">
            <v>2240</v>
          </cell>
          <cell r="AZ22">
            <v>148</v>
          </cell>
          <cell r="BA22">
            <v>24</v>
          </cell>
          <cell r="BB22">
            <v>44</v>
          </cell>
          <cell r="BC22">
            <v>0</v>
          </cell>
          <cell r="BD22">
            <v>0</v>
          </cell>
          <cell r="BE22">
            <v>0</v>
          </cell>
          <cell r="BF22">
            <v>0.79629629629629595</v>
          </cell>
          <cell r="BH22">
            <v>6023</v>
          </cell>
          <cell r="BI22">
            <v>7576</v>
          </cell>
          <cell r="BJ22">
            <v>16415</v>
          </cell>
          <cell r="BK22">
            <v>0</v>
          </cell>
          <cell r="BL22">
            <v>0</v>
          </cell>
          <cell r="BM22">
            <v>2536</v>
          </cell>
          <cell r="BN22">
            <v>148</v>
          </cell>
          <cell r="BO22">
            <v>0</v>
          </cell>
          <cell r="BP22">
            <v>68</v>
          </cell>
          <cell r="BQ22">
            <v>0</v>
          </cell>
          <cell r="BR22">
            <v>0</v>
          </cell>
          <cell r="BS22">
            <v>0</v>
          </cell>
          <cell r="BT22">
            <v>0.68518518518518501</v>
          </cell>
          <cell r="BV22">
            <v>2874</v>
          </cell>
          <cell r="BX22">
            <v>20075</v>
          </cell>
          <cell r="BY22">
            <v>1380</v>
          </cell>
          <cell r="BZ22">
            <v>446</v>
          </cell>
          <cell r="CA22">
            <v>2536</v>
          </cell>
          <cell r="CB22">
            <v>16715.871829662305</v>
          </cell>
          <cell r="CC22">
            <v>19210.66352475945</v>
          </cell>
          <cell r="CD22">
            <v>0</v>
          </cell>
          <cell r="CE22">
            <v>28275.143928314064</v>
          </cell>
          <cell r="CF22">
            <v>21450.501071656145</v>
          </cell>
          <cell r="CG22">
            <v>0</v>
          </cell>
          <cell r="CM22">
            <v>0</v>
          </cell>
          <cell r="CZ22">
            <v>0.2066844371539881</v>
          </cell>
          <cell r="DA22">
            <v>0.26316956039896566</v>
          </cell>
          <cell r="DB22">
            <v>131634805.04000001</v>
          </cell>
          <cell r="DC22">
            <v>88.4</v>
          </cell>
          <cell r="DD22">
            <v>5.2</v>
          </cell>
          <cell r="DE22">
            <v>2.4</v>
          </cell>
          <cell r="DF22">
            <v>64.7</v>
          </cell>
          <cell r="DG22">
            <v>13.1</v>
          </cell>
          <cell r="DH22">
            <v>6.4</v>
          </cell>
          <cell r="DI22">
            <v>96</v>
          </cell>
          <cell r="DJ22">
            <v>84.2</v>
          </cell>
        </row>
        <row r="23">
          <cell r="A23">
            <v>308</v>
          </cell>
          <cell r="B23">
            <v>4.6016483516483499E-2</v>
          </cell>
          <cell r="C23">
            <v>3.1936813186813198E-2</v>
          </cell>
          <cell r="D23">
            <v>8.8596586585498408E-3</v>
          </cell>
          <cell r="E23">
            <v>4.7831286009348802E-3</v>
          </cell>
          <cell r="F23">
            <v>5995</v>
          </cell>
          <cell r="G23">
            <v>5480</v>
          </cell>
          <cell r="H23">
            <v>250</v>
          </cell>
          <cell r="I23">
            <v>530</v>
          </cell>
          <cell r="J23">
            <v>8.1459052580419161E-2</v>
          </cell>
          <cell r="K23">
            <v>0.10636271406757328</v>
          </cell>
          <cell r="L23">
            <v>210</v>
          </cell>
          <cell r="M23">
            <v>0</v>
          </cell>
          <cell r="N23">
            <v>45</v>
          </cell>
          <cell r="O23">
            <v>0</v>
          </cell>
          <cell r="P23">
            <v>0</v>
          </cell>
          <cell r="Q23">
            <v>0</v>
          </cell>
          <cell r="R23">
            <v>0</v>
          </cell>
          <cell r="S23">
            <v>6745</v>
          </cell>
          <cell r="T23">
            <v>21915</v>
          </cell>
          <cell r="U23">
            <v>4230</v>
          </cell>
          <cell r="V23">
            <v>1490</v>
          </cell>
          <cell r="W23">
            <v>630</v>
          </cell>
          <cell r="X23">
            <v>1</v>
          </cell>
          <cell r="Y23">
            <v>1</v>
          </cell>
          <cell r="Z23">
            <v>0</v>
          </cell>
          <cell r="AA23">
            <v>677</v>
          </cell>
          <cell r="AB23">
            <v>0</v>
          </cell>
          <cell r="AC23">
            <v>0</v>
          </cell>
          <cell r="AD23">
            <v>0</v>
          </cell>
          <cell r="AE23">
            <v>8067</v>
          </cell>
          <cell r="AF23">
            <v>15620</v>
          </cell>
          <cell r="AG23">
            <v>2480</v>
          </cell>
          <cell r="AH23">
            <v>0</v>
          </cell>
          <cell r="AI23">
            <v>450</v>
          </cell>
          <cell r="AJ23">
            <v>1</v>
          </cell>
          <cell r="AK23">
            <v>1</v>
          </cell>
          <cell r="AL23">
            <v>0</v>
          </cell>
          <cell r="AM23">
            <v>480</v>
          </cell>
          <cell r="AN23">
            <v>197</v>
          </cell>
          <cell r="AO23">
            <v>0</v>
          </cell>
          <cell r="AP23">
            <v>0</v>
          </cell>
          <cell r="AQ23">
            <v>0</v>
          </cell>
          <cell r="AX23">
            <v>1115</v>
          </cell>
          <cell r="AY23">
            <v>3228</v>
          </cell>
          <cell r="AZ23">
            <v>0</v>
          </cell>
          <cell r="BA23">
            <v>24</v>
          </cell>
          <cell r="BB23">
            <v>0</v>
          </cell>
          <cell r="BC23">
            <v>21</v>
          </cell>
          <cell r="BD23">
            <v>0</v>
          </cell>
          <cell r="BE23">
            <v>0</v>
          </cell>
          <cell r="BF23">
            <v>0.53333333333333299</v>
          </cell>
          <cell r="BH23">
            <v>3900</v>
          </cell>
          <cell r="BI23">
            <v>7376</v>
          </cell>
          <cell r="BJ23">
            <v>13624</v>
          </cell>
          <cell r="BK23">
            <v>4730</v>
          </cell>
          <cell r="BL23">
            <v>945</v>
          </cell>
          <cell r="BM23">
            <v>4435</v>
          </cell>
          <cell r="BN23">
            <v>24</v>
          </cell>
          <cell r="BO23">
            <v>0</v>
          </cell>
          <cell r="BP23">
            <v>0</v>
          </cell>
          <cell r="BQ23">
            <v>0</v>
          </cell>
          <cell r="BR23">
            <v>21</v>
          </cell>
          <cell r="BS23">
            <v>0</v>
          </cell>
          <cell r="BT23">
            <v>0.53333333333333299</v>
          </cell>
          <cell r="BV23">
            <v>3056</v>
          </cell>
          <cell r="BX23">
            <v>14990</v>
          </cell>
          <cell r="BY23">
            <v>2340</v>
          </cell>
          <cell r="BZ23">
            <v>3575</v>
          </cell>
          <cell r="CA23">
            <v>4435</v>
          </cell>
          <cell r="CB23">
            <v>16768.543775686841</v>
          </cell>
          <cell r="CC23">
            <v>10949.333916601288</v>
          </cell>
          <cell r="CD23">
            <v>0</v>
          </cell>
          <cell r="CE23">
            <v>0</v>
          </cell>
          <cell r="CF23">
            <v>0</v>
          </cell>
          <cell r="CG23">
            <v>0</v>
          </cell>
          <cell r="CM23">
            <v>0</v>
          </cell>
          <cell r="CZ23">
            <v>0.22356005133237714</v>
          </cell>
          <cell r="DA23">
            <v>0.21159727123029876</v>
          </cell>
          <cell r="DB23">
            <v>122655077.04999998</v>
          </cell>
          <cell r="DC23">
            <v>88.4</v>
          </cell>
          <cell r="DD23">
            <v>6.3</v>
          </cell>
          <cell r="DE23">
            <v>1.6</v>
          </cell>
          <cell r="DF23">
            <v>67.7</v>
          </cell>
          <cell r="DG23">
            <v>15.1</v>
          </cell>
          <cell r="DH23">
            <v>6.2</v>
          </cell>
          <cell r="DI23">
            <v>96.3</v>
          </cell>
          <cell r="DJ23">
            <v>89</v>
          </cell>
        </row>
        <row r="24">
          <cell r="A24">
            <v>309</v>
          </cell>
          <cell r="B24">
            <v>3.5676325153657699E-2</v>
          </cell>
          <cell r="C24">
            <v>-4.0205185082489896E-3</v>
          </cell>
          <cell r="D24">
            <v>-3.9570757880617001E-2</v>
          </cell>
          <cell r="E24">
            <v>2.0204560697518401E-2</v>
          </cell>
          <cell r="F24">
            <v>2423</v>
          </cell>
          <cell r="G24">
            <v>981</v>
          </cell>
          <cell r="H24">
            <v>10</v>
          </cell>
          <cell r="I24">
            <v>610</v>
          </cell>
          <cell r="J24">
            <v>0.13394023656895188</v>
          </cell>
          <cell r="K24">
            <v>0</v>
          </cell>
          <cell r="L24">
            <v>0</v>
          </cell>
          <cell r="M24">
            <v>0</v>
          </cell>
          <cell r="N24">
            <v>0</v>
          </cell>
          <cell r="O24">
            <v>28</v>
          </cell>
          <cell r="P24">
            <v>0</v>
          </cell>
          <cell r="Q24">
            <v>0</v>
          </cell>
          <cell r="R24">
            <v>0</v>
          </cell>
          <cell r="S24">
            <v>6030</v>
          </cell>
          <cell r="T24">
            <v>17669</v>
          </cell>
          <cell r="U24">
            <v>0</v>
          </cell>
          <cell r="V24">
            <v>0</v>
          </cell>
          <cell r="W24">
            <v>0</v>
          </cell>
          <cell r="X24">
            <v>1</v>
          </cell>
          <cell r="Y24">
            <v>1</v>
          </cell>
          <cell r="Z24">
            <v>0</v>
          </cell>
          <cell r="AA24">
            <v>0</v>
          </cell>
          <cell r="AB24">
            <v>0</v>
          </cell>
          <cell r="AC24">
            <v>0</v>
          </cell>
          <cell r="AD24">
            <v>0</v>
          </cell>
          <cell r="AE24">
            <v>7700</v>
          </cell>
          <cell r="AF24">
            <v>6929</v>
          </cell>
          <cell r="AG24">
            <v>0</v>
          </cell>
          <cell r="AH24">
            <v>0</v>
          </cell>
          <cell r="AI24">
            <v>0</v>
          </cell>
          <cell r="AJ24" t="str">
            <v>NULL</v>
          </cell>
          <cell r="AK24" t="str">
            <v>NULL</v>
          </cell>
          <cell r="AL24">
            <v>0</v>
          </cell>
          <cell r="AM24">
            <v>0</v>
          </cell>
          <cell r="AN24">
            <v>0</v>
          </cell>
          <cell r="AO24">
            <v>0</v>
          </cell>
          <cell r="AP24">
            <v>0</v>
          </cell>
          <cell r="AQ24">
            <v>0</v>
          </cell>
          <cell r="AX24">
            <v>0</v>
          </cell>
          <cell r="AY24">
            <v>1150</v>
          </cell>
          <cell r="AZ24">
            <v>0</v>
          </cell>
          <cell r="BA24">
            <v>0</v>
          </cell>
          <cell r="BB24">
            <v>28</v>
          </cell>
          <cell r="BC24">
            <v>0</v>
          </cell>
          <cell r="BD24">
            <v>0</v>
          </cell>
          <cell r="BE24">
            <v>0</v>
          </cell>
          <cell r="BF24">
            <v>0</v>
          </cell>
          <cell r="BH24">
            <v>2052</v>
          </cell>
          <cell r="BI24">
            <v>7980</v>
          </cell>
          <cell r="BJ24">
            <v>7682</v>
          </cell>
          <cell r="BK24">
            <v>2607</v>
          </cell>
          <cell r="BL24">
            <v>630</v>
          </cell>
          <cell r="BM24">
            <v>2748</v>
          </cell>
          <cell r="BN24">
            <v>0</v>
          </cell>
          <cell r="BO24">
            <v>28</v>
          </cell>
          <cell r="BP24">
            <v>0</v>
          </cell>
          <cell r="BQ24">
            <v>0</v>
          </cell>
          <cell r="BR24">
            <v>0</v>
          </cell>
          <cell r="BS24">
            <v>0</v>
          </cell>
          <cell r="BT24">
            <v>1</v>
          </cell>
          <cell r="BV24">
            <v>2340</v>
          </cell>
          <cell r="BX24">
            <v>10860</v>
          </cell>
          <cell r="BY24">
            <v>870</v>
          </cell>
          <cell r="BZ24">
            <v>1707</v>
          </cell>
          <cell r="CA24">
            <v>2748</v>
          </cell>
          <cell r="CB24">
            <v>18975.283705718153</v>
          </cell>
          <cell r="CC24">
            <v>11961.583763703908</v>
          </cell>
          <cell r="CD24">
            <v>0</v>
          </cell>
          <cell r="CE24">
            <v>0</v>
          </cell>
          <cell r="CF24">
            <v>0</v>
          </cell>
          <cell r="CG24">
            <v>0</v>
          </cell>
          <cell r="CM24">
            <v>0</v>
          </cell>
          <cell r="CZ24">
            <v>4.8508033664881406E-2</v>
          </cell>
          <cell r="DA24">
            <v>0.33373397435897434</v>
          </cell>
          <cell r="DB24">
            <v>43029994.730000004</v>
          </cell>
          <cell r="DC24">
            <v>90.1</v>
          </cell>
          <cell r="DD24">
            <v>6.4</v>
          </cell>
          <cell r="DE24">
            <v>1.1000000000000001</v>
          </cell>
          <cell r="DF24">
            <v>71.099999999999994</v>
          </cell>
          <cell r="DG24">
            <v>13.2</v>
          </cell>
          <cell r="DH24">
            <v>5.6</v>
          </cell>
          <cell r="DI24">
            <v>97.6</v>
          </cell>
          <cell r="DJ24">
            <v>90</v>
          </cell>
        </row>
        <row r="25">
          <cell r="A25">
            <v>310</v>
          </cell>
          <cell r="B25">
            <v>8.7823603763868704E-2</v>
          </cell>
          <cell r="C25">
            <v>1.8444829361921301E-2</v>
          </cell>
          <cell r="D25">
            <v>1.25763882738464E-2</v>
          </cell>
          <cell r="E25">
            <v>2.1167301390487999E-2</v>
          </cell>
          <cell r="F25">
            <v>2676</v>
          </cell>
          <cell r="G25">
            <v>7974</v>
          </cell>
          <cell r="H25">
            <v>180</v>
          </cell>
          <cell r="I25">
            <v>150</v>
          </cell>
          <cell r="J25">
            <v>9.0618325763881347E-2</v>
          </cell>
          <cell r="K25">
            <v>0.1004669914646647</v>
          </cell>
          <cell r="L25">
            <v>0</v>
          </cell>
          <cell r="M25">
            <v>213</v>
          </cell>
          <cell r="N25">
            <v>349</v>
          </cell>
          <cell r="O25">
            <v>286</v>
          </cell>
          <cell r="P25">
            <v>0</v>
          </cell>
          <cell r="Q25">
            <v>132</v>
          </cell>
          <cell r="R25">
            <v>0</v>
          </cell>
          <cell r="S25">
            <v>9071</v>
          </cell>
          <cell r="T25">
            <v>12377</v>
          </cell>
          <cell r="U25">
            <v>210</v>
          </cell>
          <cell r="V25">
            <v>498</v>
          </cell>
          <cell r="W25">
            <v>840</v>
          </cell>
          <cell r="X25">
            <v>0.82790091264667498</v>
          </cell>
          <cell r="Y25">
            <v>110</v>
          </cell>
          <cell r="Z25">
            <v>107</v>
          </cell>
          <cell r="AA25">
            <v>0</v>
          </cell>
          <cell r="AB25">
            <v>0</v>
          </cell>
          <cell r="AC25">
            <v>0</v>
          </cell>
          <cell r="AD25">
            <v>0</v>
          </cell>
          <cell r="AE25">
            <v>10736</v>
          </cell>
          <cell r="AF25">
            <v>4657</v>
          </cell>
          <cell r="AG25">
            <v>0</v>
          </cell>
          <cell r="AH25">
            <v>0</v>
          </cell>
          <cell r="AI25">
            <v>1150</v>
          </cell>
          <cell r="AJ25">
            <v>1</v>
          </cell>
          <cell r="AK25">
            <v>1</v>
          </cell>
          <cell r="AL25">
            <v>62</v>
          </cell>
          <cell r="AM25">
            <v>45</v>
          </cell>
          <cell r="AN25">
            <v>0</v>
          </cell>
          <cell r="AO25">
            <v>0</v>
          </cell>
          <cell r="AP25">
            <v>0</v>
          </cell>
          <cell r="AQ25">
            <v>0</v>
          </cell>
          <cell r="AX25">
            <v>0</v>
          </cell>
          <cell r="AY25">
            <v>2050</v>
          </cell>
          <cell r="AZ25">
            <v>120</v>
          </cell>
          <cell r="BA25">
            <v>238</v>
          </cell>
          <cell r="BB25">
            <v>306</v>
          </cell>
          <cell r="BC25">
            <v>43</v>
          </cell>
          <cell r="BD25">
            <v>0</v>
          </cell>
          <cell r="BE25">
            <v>60</v>
          </cell>
          <cell r="BF25">
            <v>0.50636492220650597</v>
          </cell>
          <cell r="BH25">
            <v>5229</v>
          </cell>
          <cell r="BI25">
            <v>9656</v>
          </cell>
          <cell r="BJ25">
            <v>4584</v>
          </cell>
          <cell r="BK25">
            <v>1037</v>
          </cell>
          <cell r="BL25">
            <v>0</v>
          </cell>
          <cell r="BM25">
            <v>2490</v>
          </cell>
          <cell r="BN25">
            <v>36</v>
          </cell>
          <cell r="BO25">
            <v>38</v>
          </cell>
          <cell r="BP25">
            <v>590</v>
          </cell>
          <cell r="BQ25">
            <v>43</v>
          </cell>
          <cell r="BR25">
            <v>0</v>
          </cell>
          <cell r="BS25">
            <v>60</v>
          </cell>
          <cell r="BT25">
            <v>0.10466760961810501</v>
          </cell>
          <cell r="BV25">
            <v>3174</v>
          </cell>
          <cell r="BX25">
            <v>9184</v>
          </cell>
          <cell r="BY25">
            <v>2147</v>
          </cell>
          <cell r="BZ25">
            <v>0</v>
          </cell>
          <cell r="CA25">
            <v>2490</v>
          </cell>
          <cell r="CB25">
            <v>15609.040442178217</v>
          </cell>
          <cell r="CC25">
            <v>23628.96794946324</v>
          </cell>
          <cell r="CD25">
            <v>0</v>
          </cell>
          <cell r="CE25">
            <v>33318.497728448609</v>
          </cell>
          <cell r="CF25">
            <v>0</v>
          </cell>
          <cell r="CG25">
            <v>16054.521060577066</v>
          </cell>
          <cell r="CM25">
            <v>1</v>
          </cell>
          <cell r="CZ25">
            <v>0.29932655954631382</v>
          </cell>
          <cell r="DA25">
            <v>0.2595260663507109</v>
          </cell>
          <cell r="DB25">
            <v>111094714.02000001</v>
          </cell>
          <cell r="DC25">
            <v>85.5</v>
          </cell>
          <cell r="DD25">
            <v>8.6999999999999993</v>
          </cell>
          <cell r="DE25">
            <v>2.6</v>
          </cell>
          <cell r="DF25">
            <v>69</v>
          </cell>
          <cell r="DG25">
            <v>13.7</v>
          </cell>
          <cell r="DH25">
            <v>5.5</v>
          </cell>
          <cell r="DI25">
            <v>96.7</v>
          </cell>
          <cell r="DJ25">
            <v>88.2</v>
          </cell>
        </row>
        <row r="26">
          <cell r="A26">
            <v>311</v>
          </cell>
          <cell r="B26">
            <v>6.5307611620376696E-2</v>
          </cell>
          <cell r="C26">
            <v>3.5800611118712099E-2</v>
          </cell>
          <cell r="D26">
            <v>0.11277249860257101</v>
          </cell>
          <cell r="E26">
            <v>3.8289547233091102E-2</v>
          </cell>
          <cell r="F26">
            <v>5963</v>
          </cell>
          <cell r="G26">
            <v>958</v>
          </cell>
          <cell r="H26">
            <v>220</v>
          </cell>
          <cell r="I26">
            <v>80</v>
          </cell>
          <cell r="J26">
            <v>9.7285525521804764E-2</v>
          </cell>
          <cell r="K26">
            <v>0.141124372372296</v>
          </cell>
          <cell r="L26">
            <v>1260</v>
          </cell>
          <cell r="M26">
            <v>840</v>
          </cell>
          <cell r="N26">
            <v>150</v>
          </cell>
          <cell r="O26">
            <v>721</v>
          </cell>
          <cell r="P26">
            <v>0</v>
          </cell>
          <cell r="Q26">
            <v>0</v>
          </cell>
          <cell r="R26">
            <v>0</v>
          </cell>
          <cell r="S26">
            <v>3982</v>
          </cell>
          <cell r="T26">
            <v>17670</v>
          </cell>
          <cell r="U26">
            <v>1436</v>
          </cell>
          <cell r="V26">
            <v>0</v>
          </cell>
          <cell r="W26">
            <v>630</v>
          </cell>
          <cell r="X26">
            <v>1</v>
          </cell>
          <cell r="Y26">
            <v>1</v>
          </cell>
          <cell r="Z26">
            <v>61</v>
          </cell>
          <cell r="AA26">
            <v>0</v>
          </cell>
          <cell r="AB26">
            <v>0</v>
          </cell>
          <cell r="AC26">
            <v>0</v>
          </cell>
          <cell r="AD26">
            <v>0</v>
          </cell>
          <cell r="AE26">
            <v>1863</v>
          </cell>
          <cell r="AF26">
            <v>7898</v>
          </cell>
          <cell r="AG26">
            <v>5100</v>
          </cell>
          <cell r="AH26">
            <v>1009</v>
          </cell>
          <cell r="AI26">
            <v>0</v>
          </cell>
          <cell r="AJ26">
            <v>1</v>
          </cell>
          <cell r="AK26">
            <v>1</v>
          </cell>
          <cell r="AL26">
            <v>0</v>
          </cell>
          <cell r="AM26">
            <v>0</v>
          </cell>
          <cell r="AN26">
            <v>61</v>
          </cell>
          <cell r="AO26">
            <v>0</v>
          </cell>
          <cell r="AP26">
            <v>0</v>
          </cell>
          <cell r="AQ26">
            <v>0</v>
          </cell>
          <cell r="AX26">
            <v>2250</v>
          </cell>
          <cell r="AY26">
            <v>0</v>
          </cell>
          <cell r="AZ26">
            <v>220</v>
          </cell>
          <cell r="BA26">
            <v>90</v>
          </cell>
          <cell r="BB26">
            <v>187</v>
          </cell>
          <cell r="BC26">
            <v>80</v>
          </cell>
          <cell r="BD26">
            <v>0</v>
          </cell>
          <cell r="BE26">
            <v>294</v>
          </cell>
          <cell r="BF26">
            <v>0.53726169844020799</v>
          </cell>
          <cell r="BH26">
            <v>2530</v>
          </cell>
          <cell r="BI26">
            <v>8946</v>
          </cell>
          <cell r="BJ26">
            <v>5575</v>
          </cell>
          <cell r="BK26">
            <v>2050</v>
          </cell>
          <cell r="BL26">
            <v>0</v>
          </cell>
          <cell r="BM26">
            <v>4617</v>
          </cell>
          <cell r="BN26">
            <v>0</v>
          </cell>
          <cell r="BO26">
            <v>0</v>
          </cell>
          <cell r="BP26">
            <v>497</v>
          </cell>
          <cell r="BQ26">
            <v>80</v>
          </cell>
          <cell r="BR26">
            <v>0</v>
          </cell>
          <cell r="BS26">
            <v>294</v>
          </cell>
          <cell r="BT26">
            <v>0</v>
          </cell>
          <cell r="BV26">
            <v>2266</v>
          </cell>
          <cell r="BX26">
            <v>9591</v>
          </cell>
          <cell r="BY26">
            <v>1690</v>
          </cell>
          <cell r="BZ26">
            <v>360</v>
          </cell>
          <cell r="CA26">
            <v>4617</v>
          </cell>
          <cell r="CB26">
            <v>11281.56531833219</v>
          </cell>
          <cell r="CC26">
            <v>8099.6141147729768</v>
          </cell>
          <cell r="CD26">
            <v>0</v>
          </cell>
          <cell r="CE26">
            <v>0</v>
          </cell>
          <cell r="CF26">
            <v>0</v>
          </cell>
          <cell r="CG26">
            <v>0</v>
          </cell>
          <cell r="CM26">
            <v>0</v>
          </cell>
          <cell r="CZ26">
            <v>0.30014147350092502</v>
          </cell>
          <cell r="DA26">
            <v>-1.5250827438509963E-2</v>
          </cell>
          <cell r="DB26">
            <v>103005789.97</v>
          </cell>
          <cell r="DC26">
            <v>88.1</v>
          </cell>
          <cell r="DD26">
            <v>7.3</v>
          </cell>
          <cell r="DE26">
            <v>1.7</v>
          </cell>
          <cell r="DF26">
            <v>79.8</v>
          </cell>
          <cell r="DG26">
            <v>10.9</v>
          </cell>
          <cell r="DH26">
            <v>3.7</v>
          </cell>
          <cell r="DI26">
            <v>97.2</v>
          </cell>
          <cell r="DJ26">
            <v>94.4</v>
          </cell>
        </row>
        <row r="27">
          <cell r="A27">
            <v>312</v>
          </cell>
          <cell r="B27">
            <v>4.4570852534562201E-2</v>
          </cell>
          <cell r="C27">
            <v>2.1601382488479301E-2</v>
          </cell>
          <cell r="D27">
            <v>2.8725983958216701E-2</v>
          </cell>
          <cell r="E27">
            <v>3.1088727227507302E-4</v>
          </cell>
          <cell r="F27">
            <v>7501</v>
          </cell>
          <cell r="G27">
            <v>3784</v>
          </cell>
          <cell r="H27">
            <v>40</v>
          </cell>
          <cell r="I27">
            <v>0</v>
          </cell>
          <cell r="J27">
            <v>0.13354399262293948</v>
          </cell>
          <cell r="K27">
            <v>0.13845526535457653</v>
          </cell>
          <cell r="L27">
            <v>420</v>
          </cell>
          <cell r="M27">
            <v>450</v>
          </cell>
          <cell r="N27">
            <v>0</v>
          </cell>
          <cell r="O27">
            <v>0</v>
          </cell>
          <cell r="P27">
            <v>0</v>
          </cell>
          <cell r="Q27">
            <v>0</v>
          </cell>
          <cell r="R27">
            <v>0</v>
          </cell>
          <cell r="S27">
            <v>4620</v>
          </cell>
          <cell r="T27">
            <v>23746</v>
          </cell>
          <cell r="U27">
            <v>3150</v>
          </cell>
          <cell r="V27">
            <v>0</v>
          </cell>
          <cell r="W27">
            <v>0</v>
          </cell>
          <cell r="X27" t="str">
            <v>NULL</v>
          </cell>
          <cell r="Y27" t="str">
            <v>NULL</v>
          </cell>
          <cell r="Z27">
            <v>376</v>
          </cell>
          <cell r="AA27">
            <v>180</v>
          </cell>
          <cell r="AB27">
            <v>616</v>
          </cell>
          <cell r="AC27">
            <v>0</v>
          </cell>
          <cell r="AD27">
            <v>0</v>
          </cell>
          <cell r="AE27">
            <v>7304</v>
          </cell>
          <cell r="AF27">
            <v>11651</v>
          </cell>
          <cell r="AG27">
            <v>2963</v>
          </cell>
          <cell r="AH27">
            <v>0</v>
          </cell>
          <cell r="AI27">
            <v>400</v>
          </cell>
          <cell r="AJ27">
            <v>0.47440273037542702</v>
          </cell>
          <cell r="AK27">
            <v>95</v>
          </cell>
          <cell r="AL27">
            <v>556</v>
          </cell>
          <cell r="AM27">
            <v>0</v>
          </cell>
          <cell r="AN27">
            <v>616</v>
          </cell>
          <cell r="AO27">
            <v>0</v>
          </cell>
          <cell r="AP27">
            <v>0</v>
          </cell>
          <cell r="AQ27">
            <v>0</v>
          </cell>
          <cell r="AX27">
            <v>1050</v>
          </cell>
          <cell r="AY27">
            <v>1600</v>
          </cell>
          <cell r="AZ27">
            <v>0</v>
          </cell>
          <cell r="BA27">
            <v>0</v>
          </cell>
          <cell r="BB27">
            <v>0</v>
          </cell>
          <cell r="BC27">
            <v>0</v>
          </cell>
          <cell r="BD27">
            <v>0</v>
          </cell>
          <cell r="BE27">
            <v>0</v>
          </cell>
          <cell r="BF27" t="str">
            <v>NULL</v>
          </cell>
          <cell r="BH27">
            <v>2160</v>
          </cell>
          <cell r="BI27">
            <v>7850</v>
          </cell>
          <cell r="BJ27">
            <v>13878</v>
          </cell>
          <cell r="BK27">
            <v>1260</v>
          </cell>
          <cell r="BL27">
            <v>210</v>
          </cell>
          <cell r="BM27">
            <v>6158</v>
          </cell>
          <cell r="BN27">
            <v>0</v>
          </cell>
          <cell r="BO27">
            <v>0</v>
          </cell>
          <cell r="BP27">
            <v>0</v>
          </cell>
          <cell r="BQ27">
            <v>0</v>
          </cell>
          <cell r="BR27">
            <v>0</v>
          </cell>
          <cell r="BS27">
            <v>0</v>
          </cell>
          <cell r="BT27" t="str">
            <v>NULL</v>
          </cell>
          <cell r="BV27">
            <v>840</v>
          </cell>
          <cell r="BX27">
            <v>18560</v>
          </cell>
          <cell r="BY27">
            <v>1974</v>
          </cell>
          <cell r="BZ27">
            <v>0</v>
          </cell>
          <cell r="CA27">
            <v>5738</v>
          </cell>
          <cell r="CB27">
            <v>0</v>
          </cell>
          <cell r="CC27">
            <v>4726.5966689919778</v>
          </cell>
          <cell r="CD27">
            <v>15957.319031418992</v>
          </cell>
          <cell r="CE27">
            <v>23512.297279943901</v>
          </cell>
          <cell r="CF27">
            <v>0</v>
          </cell>
          <cell r="CG27">
            <v>0</v>
          </cell>
          <cell r="CM27">
            <v>0</v>
          </cell>
          <cell r="CZ27">
            <v>0.27781292363307725</v>
          </cell>
          <cell r="DA27">
            <v>0.34246777163904235</v>
          </cell>
          <cell r="DB27">
            <v>113305659.45999998</v>
          </cell>
          <cell r="DC27">
            <v>89.4</v>
          </cell>
          <cell r="DD27">
            <v>6.5</v>
          </cell>
          <cell r="DE27">
            <v>2</v>
          </cell>
          <cell r="DF27">
            <v>69.099999999999994</v>
          </cell>
          <cell r="DG27">
            <v>13.5</v>
          </cell>
          <cell r="DH27">
            <v>6.3</v>
          </cell>
          <cell r="DI27">
            <v>97.9</v>
          </cell>
          <cell r="DJ27">
            <v>88.9</v>
          </cell>
        </row>
        <row r="28">
          <cell r="A28">
            <v>313</v>
          </cell>
          <cell r="B28">
            <v>2.7170652267078099E-2</v>
          </cell>
          <cell r="C28">
            <v>-4.5855832690494596E-3</v>
          </cell>
          <cell r="D28">
            <v>2.8888727589460698E-2</v>
          </cell>
          <cell r="E28">
            <v>8.4198301517021106E-3</v>
          </cell>
          <cell r="F28">
            <v>7393</v>
          </cell>
          <cell r="G28">
            <v>4988</v>
          </cell>
          <cell r="H28">
            <v>30</v>
          </cell>
          <cell r="I28">
            <v>0</v>
          </cell>
          <cell r="J28">
            <v>0.1148219073152049</v>
          </cell>
          <cell r="K28">
            <v>0.11994699585039757</v>
          </cell>
          <cell r="L28">
            <v>30</v>
          </cell>
          <cell r="M28">
            <v>1153</v>
          </cell>
          <cell r="N28">
            <v>30</v>
          </cell>
          <cell r="O28">
            <v>360</v>
          </cell>
          <cell r="P28">
            <v>60</v>
          </cell>
          <cell r="Q28">
            <v>0</v>
          </cell>
          <cell r="R28">
            <v>0</v>
          </cell>
          <cell r="S28">
            <v>7420</v>
          </cell>
          <cell r="T28">
            <v>16110</v>
          </cell>
          <cell r="U28">
            <v>1680</v>
          </cell>
          <cell r="V28">
            <v>0</v>
          </cell>
          <cell r="W28">
            <v>1050</v>
          </cell>
          <cell r="X28">
            <v>0.86666666666666703</v>
          </cell>
          <cell r="Y28">
            <v>101</v>
          </cell>
          <cell r="Z28">
            <v>44</v>
          </cell>
          <cell r="AA28">
            <v>133</v>
          </cell>
          <cell r="AB28">
            <v>150</v>
          </cell>
          <cell r="AC28">
            <v>0</v>
          </cell>
          <cell r="AD28">
            <v>1050</v>
          </cell>
          <cell r="AE28">
            <v>10553</v>
          </cell>
          <cell r="AF28">
            <v>6239</v>
          </cell>
          <cell r="AG28">
            <v>2446</v>
          </cell>
          <cell r="AH28">
            <v>0</v>
          </cell>
          <cell r="AI28">
            <v>300</v>
          </cell>
          <cell r="AJ28">
            <v>0.54128440366972497</v>
          </cell>
          <cell r="AK28">
            <v>91</v>
          </cell>
          <cell r="AL28">
            <v>44</v>
          </cell>
          <cell r="AM28">
            <v>133</v>
          </cell>
          <cell r="AN28">
            <v>150</v>
          </cell>
          <cell r="AO28">
            <v>0</v>
          </cell>
          <cell r="AP28">
            <v>0</v>
          </cell>
          <cell r="AQ28">
            <v>1050</v>
          </cell>
          <cell r="AX28">
            <v>0</v>
          </cell>
          <cell r="AY28">
            <v>2300</v>
          </cell>
          <cell r="AZ28">
            <v>0</v>
          </cell>
          <cell r="BA28">
            <v>90</v>
          </cell>
          <cell r="BB28">
            <v>360</v>
          </cell>
          <cell r="BC28">
            <v>0</v>
          </cell>
          <cell r="BD28">
            <v>0</v>
          </cell>
          <cell r="BE28">
            <v>0</v>
          </cell>
          <cell r="BF28">
            <v>0.2</v>
          </cell>
          <cell r="BH28">
            <v>2970</v>
          </cell>
          <cell r="BI28">
            <v>8010</v>
          </cell>
          <cell r="BJ28">
            <v>7440</v>
          </cell>
          <cell r="BK28">
            <v>1830</v>
          </cell>
          <cell r="BL28">
            <v>630</v>
          </cell>
          <cell r="BM28">
            <v>5380</v>
          </cell>
          <cell r="BN28">
            <v>0</v>
          </cell>
          <cell r="BO28">
            <v>90</v>
          </cell>
          <cell r="BP28">
            <v>0</v>
          </cell>
          <cell r="BQ28">
            <v>360</v>
          </cell>
          <cell r="BR28">
            <v>0</v>
          </cell>
          <cell r="BS28">
            <v>0</v>
          </cell>
          <cell r="BT28">
            <v>0.2</v>
          </cell>
          <cell r="BV28">
            <v>3060</v>
          </cell>
          <cell r="BX28">
            <v>8820</v>
          </cell>
          <cell r="BY28">
            <v>2730</v>
          </cell>
          <cell r="BZ28">
            <v>1830</v>
          </cell>
          <cell r="CA28">
            <v>5380</v>
          </cell>
          <cell r="CB28">
            <v>18437.876301505064</v>
          </cell>
          <cell r="CC28">
            <v>4679.6884083246132</v>
          </cell>
          <cell r="CD28">
            <v>0</v>
          </cell>
          <cell r="CE28">
            <v>53495.866610620717</v>
          </cell>
          <cell r="CF28">
            <v>0</v>
          </cell>
          <cell r="CG28">
            <v>0</v>
          </cell>
          <cell r="CM28">
            <v>0</v>
          </cell>
          <cell r="CZ28">
            <v>0.33358307878508442</v>
          </cell>
          <cell r="DA28">
            <v>0.19258310092711239</v>
          </cell>
          <cell r="DB28">
            <v>126013533.61000003</v>
          </cell>
          <cell r="DC28">
            <v>85.5</v>
          </cell>
          <cell r="DD28">
            <v>9.5</v>
          </cell>
          <cell r="DE28">
            <v>2.7</v>
          </cell>
          <cell r="DF28">
            <v>63.6</v>
          </cell>
          <cell r="DG28">
            <v>15</v>
          </cell>
          <cell r="DH28">
            <v>7.9</v>
          </cell>
          <cell r="DI28">
            <v>97.7</v>
          </cell>
          <cell r="DJ28">
            <v>86.5</v>
          </cell>
        </row>
        <row r="29">
          <cell r="A29">
            <v>314</v>
          </cell>
          <cell r="B29">
            <v>1.0096510764662199E-2</v>
          </cell>
          <cell r="C29">
            <v>2.6726057906458801E-3</v>
          </cell>
          <cell r="D29">
            <v>-1.77991581479254E-2</v>
          </cell>
          <cell r="E29">
            <v>-6.1334936861094404E-3</v>
          </cell>
          <cell r="F29">
            <v>3722</v>
          </cell>
          <cell r="G29">
            <v>2167</v>
          </cell>
          <cell r="H29">
            <v>260</v>
          </cell>
          <cell r="I29">
            <v>0</v>
          </cell>
          <cell r="J29">
            <v>0.10202709425547629</v>
          </cell>
          <cell r="K29">
            <v>6.0031765738920918E-2</v>
          </cell>
          <cell r="L29">
            <v>30</v>
          </cell>
          <cell r="M29">
            <v>0</v>
          </cell>
          <cell r="N29">
            <v>30</v>
          </cell>
          <cell r="O29">
            <v>30</v>
          </cell>
          <cell r="P29">
            <v>0</v>
          </cell>
          <cell r="Q29">
            <v>0</v>
          </cell>
          <cell r="R29">
            <v>0</v>
          </cell>
          <cell r="S29">
            <v>4350</v>
          </cell>
          <cell r="T29">
            <v>9374</v>
          </cell>
          <cell r="U29">
            <v>1050</v>
          </cell>
          <cell r="V29">
            <v>0</v>
          </cell>
          <cell r="W29">
            <v>0</v>
          </cell>
          <cell r="X29">
            <v>1</v>
          </cell>
          <cell r="Y29">
            <v>1</v>
          </cell>
          <cell r="Z29">
            <v>199</v>
          </cell>
          <cell r="AA29">
            <v>0</v>
          </cell>
          <cell r="AB29">
            <v>0</v>
          </cell>
          <cell r="AC29">
            <v>0</v>
          </cell>
          <cell r="AD29">
            <v>0</v>
          </cell>
          <cell r="AE29">
            <v>8212</v>
          </cell>
          <cell r="AF29">
            <v>4187</v>
          </cell>
          <cell r="AG29">
            <v>0</v>
          </cell>
          <cell r="AH29">
            <v>0</v>
          </cell>
          <cell r="AI29">
            <v>0</v>
          </cell>
          <cell r="AJ29">
            <v>1</v>
          </cell>
          <cell r="AK29">
            <v>1</v>
          </cell>
          <cell r="AL29">
            <v>177</v>
          </cell>
          <cell r="AM29">
            <v>22</v>
          </cell>
          <cell r="AN29">
            <v>0</v>
          </cell>
          <cell r="AO29">
            <v>0</v>
          </cell>
          <cell r="AP29">
            <v>0</v>
          </cell>
          <cell r="AQ29">
            <v>0</v>
          </cell>
          <cell r="AX29">
            <v>0</v>
          </cell>
          <cell r="AY29">
            <v>1188</v>
          </cell>
          <cell r="AZ29">
            <v>0</v>
          </cell>
          <cell r="BA29">
            <v>0</v>
          </cell>
          <cell r="BB29">
            <v>60</v>
          </cell>
          <cell r="BC29">
            <v>0</v>
          </cell>
          <cell r="BD29">
            <v>0</v>
          </cell>
          <cell r="BE29">
            <v>0</v>
          </cell>
          <cell r="BF29">
            <v>0</v>
          </cell>
          <cell r="BH29">
            <v>660</v>
          </cell>
          <cell r="BI29">
            <v>3270</v>
          </cell>
          <cell r="BJ29">
            <v>7424</v>
          </cell>
          <cell r="BK29">
            <v>630</v>
          </cell>
          <cell r="BL29">
            <v>660</v>
          </cell>
          <cell r="BM29">
            <v>2130</v>
          </cell>
          <cell r="BN29">
            <v>0</v>
          </cell>
          <cell r="BO29">
            <v>30</v>
          </cell>
          <cell r="BP29">
            <v>30</v>
          </cell>
          <cell r="BQ29">
            <v>0</v>
          </cell>
          <cell r="BR29">
            <v>0</v>
          </cell>
          <cell r="BS29">
            <v>0</v>
          </cell>
          <cell r="BT29">
            <v>0.5</v>
          </cell>
          <cell r="BV29">
            <v>840</v>
          </cell>
          <cell r="BX29">
            <v>7590</v>
          </cell>
          <cell r="BY29">
            <v>464</v>
          </cell>
          <cell r="BZ29">
            <v>660</v>
          </cell>
          <cell r="CA29">
            <v>2130</v>
          </cell>
          <cell r="CB29">
            <v>17582.500638462447</v>
          </cell>
          <cell r="CC29">
            <v>5035.9059190914231</v>
          </cell>
          <cell r="CD29">
            <v>0</v>
          </cell>
          <cell r="CE29">
            <v>0</v>
          </cell>
          <cell r="CF29">
            <v>0</v>
          </cell>
          <cell r="CG29">
            <v>0</v>
          </cell>
          <cell r="CM29">
            <v>0</v>
          </cell>
          <cell r="CZ29">
            <v>0.22863111999273322</v>
          </cell>
          <cell r="DA29">
            <v>0.25032920726889651</v>
          </cell>
          <cell r="DB29">
            <v>50908975.719999999</v>
          </cell>
          <cell r="DC29">
            <v>82.7</v>
          </cell>
          <cell r="DD29">
            <v>8.4</v>
          </cell>
          <cell r="DE29">
            <v>2.2999999999999998</v>
          </cell>
          <cell r="DF29">
            <v>69</v>
          </cell>
          <cell r="DG29">
            <v>12.9</v>
          </cell>
          <cell r="DH29">
            <v>6.1</v>
          </cell>
          <cell r="DI29">
            <v>93.4</v>
          </cell>
          <cell r="DJ29">
            <v>88</v>
          </cell>
        </row>
        <row r="30">
          <cell r="A30">
            <v>315</v>
          </cell>
          <cell r="B30">
            <v>7.1302816901408494E-2</v>
          </cell>
          <cell r="C30">
            <v>1.8779342723004701E-3</v>
          </cell>
          <cell r="D30">
            <v>7.0896515030593202E-2</v>
          </cell>
          <cell r="E30">
            <v>3.19233838786911E-3</v>
          </cell>
          <cell r="F30">
            <v>4639</v>
          </cell>
          <cell r="G30">
            <v>407</v>
          </cell>
          <cell r="H30">
            <v>10</v>
          </cell>
          <cell r="I30">
            <v>0</v>
          </cell>
          <cell r="J30">
            <v>0.16478316602398749</v>
          </cell>
          <cell r="K30">
            <v>0.1750295111628335</v>
          </cell>
          <cell r="L30">
            <v>0</v>
          </cell>
          <cell r="M30">
            <v>1380</v>
          </cell>
          <cell r="N30">
            <v>0</v>
          </cell>
          <cell r="O30">
            <v>0</v>
          </cell>
          <cell r="P30">
            <v>0</v>
          </cell>
          <cell r="Q30">
            <v>0</v>
          </cell>
          <cell r="R30">
            <v>0</v>
          </cell>
          <cell r="S30">
            <v>4624</v>
          </cell>
          <cell r="T30">
            <v>13391</v>
          </cell>
          <cell r="U30">
            <v>1260</v>
          </cell>
          <cell r="V30">
            <v>0</v>
          </cell>
          <cell r="W30">
            <v>0</v>
          </cell>
          <cell r="X30" t="str">
            <v>NULL</v>
          </cell>
          <cell r="Y30" t="str">
            <v>NULL</v>
          </cell>
          <cell r="Z30">
            <v>336</v>
          </cell>
          <cell r="AA30">
            <v>105</v>
          </cell>
          <cell r="AB30">
            <v>0</v>
          </cell>
          <cell r="AC30">
            <v>0</v>
          </cell>
          <cell r="AD30">
            <v>0</v>
          </cell>
          <cell r="AE30">
            <v>6310</v>
          </cell>
          <cell r="AF30">
            <v>3587</v>
          </cell>
          <cell r="AG30">
            <v>0</v>
          </cell>
          <cell r="AH30">
            <v>0</v>
          </cell>
          <cell r="AI30">
            <v>0</v>
          </cell>
          <cell r="AJ30">
            <v>1</v>
          </cell>
          <cell r="AK30">
            <v>1</v>
          </cell>
          <cell r="AL30">
            <v>0</v>
          </cell>
          <cell r="AM30">
            <v>441</v>
          </cell>
          <cell r="AN30">
            <v>0</v>
          </cell>
          <cell r="AO30">
            <v>0</v>
          </cell>
          <cell r="AP30">
            <v>0</v>
          </cell>
          <cell r="AQ30">
            <v>0</v>
          </cell>
          <cell r="AX30">
            <v>0</v>
          </cell>
          <cell r="AY30">
            <v>0</v>
          </cell>
          <cell r="AZ30">
            <v>0</v>
          </cell>
          <cell r="BA30">
            <v>0</v>
          </cell>
          <cell r="BB30">
            <v>0</v>
          </cell>
          <cell r="BC30">
            <v>0</v>
          </cell>
          <cell r="BD30">
            <v>0</v>
          </cell>
          <cell r="BE30">
            <v>0</v>
          </cell>
          <cell r="BF30" t="str">
            <v>NULL</v>
          </cell>
          <cell r="BH30">
            <v>3763</v>
          </cell>
          <cell r="BI30">
            <v>6927</v>
          </cell>
          <cell r="BJ30">
            <v>8165</v>
          </cell>
          <cell r="BK30">
            <v>0</v>
          </cell>
          <cell r="BL30">
            <v>0</v>
          </cell>
          <cell r="BM30">
            <v>420</v>
          </cell>
          <cell r="BN30">
            <v>0</v>
          </cell>
          <cell r="BO30">
            <v>0</v>
          </cell>
          <cell r="BP30">
            <v>0</v>
          </cell>
          <cell r="BQ30">
            <v>0</v>
          </cell>
          <cell r="BR30">
            <v>0</v>
          </cell>
          <cell r="BS30">
            <v>0</v>
          </cell>
          <cell r="BT30" t="str">
            <v>NULL</v>
          </cell>
          <cell r="BV30">
            <v>4994</v>
          </cell>
          <cell r="BX30">
            <v>9189</v>
          </cell>
          <cell r="BY30">
            <v>1470</v>
          </cell>
          <cell r="BZ30">
            <v>0</v>
          </cell>
          <cell r="CA30">
            <v>420</v>
          </cell>
          <cell r="CB30">
            <v>22601.933477865608</v>
          </cell>
          <cell r="CC30">
            <v>0</v>
          </cell>
          <cell r="CD30">
            <v>0</v>
          </cell>
          <cell r="CE30">
            <v>12088.756299600303</v>
          </cell>
          <cell r="CF30">
            <v>0</v>
          </cell>
          <cell r="CG30">
            <v>0</v>
          </cell>
          <cell r="CM30">
            <v>0</v>
          </cell>
          <cell r="CZ30">
            <v>0.2070729537366548</v>
          </cell>
          <cell r="DA30">
            <v>0.33853427895981086</v>
          </cell>
          <cell r="DB30">
            <v>79031895.140000001</v>
          </cell>
          <cell r="DC30">
            <v>84</v>
          </cell>
          <cell r="DD30">
            <v>6.6</v>
          </cell>
          <cell r="DE30">
            <v>2.2999999999999998</v>
          </cell>
          <cell r="DF30">
            <v>60</v>
          </cell>
          <cell r="DG30">
            <v>16.7</v>
          </cell>
          <cell r="DH30">
            <v>7.7</v>
          </cell>
          <cell r="DI30">
            <v>92.9</v>
          </cell>
          <cell r="DJ30">
            <v>84.4</v>
          </cell>
        </row>
        <row r="31">
          <cell r="A31">
            <v>316</v>
          </cell>
          <cell r="B31">
            <v>0.126128231342194</v>
          </cell>
          <cell r="C31">
            <v>3.1020885059149999E-2</v>
          </cell>
          <cell r="D31">
            <v>2.7349843993759799E-2</v>
          </cell>
          <cell r="E31">
            <v>1.11154446177847E-2</v>
          </cell>
          <cell r="F31">
            <v>6879</v>
          </cell>
          <cell r="G31">
            <v>8390</v>
          </cell>
          <cell r="H31">
            <v>30</v>
          </cell>
          <cell r="I31">
            <v>30</v>
          </cell>
          <cell r="J31">
            <v>0.1127925186715479</v>
          </cell>
          <cell r="K31">
            <v>4.4410075582464355E-2</v>
          </cell>
          <cell r="L31">
            <v>1920</v>
          </cell>
          <cell r="M31">
            <v>1110</v>
          </cell>
          <cell r="N31">
            <v>30</v>
          </cell>
          <cell r="O31">
            <v>255</v>
          </cell>
          <cell r="P31">
            <v>0</v>
          </cell>
          <cell r="Q31">
            <v>0</v>
          </cell>
          <cell r="R31">
            <v>420</v>
          </cell>
          <cell r="S31">
            <v>13295</v>
          </cell>
          <cell r="T31">
            <v>19977</v>
          </cell>
          <cell r="U31">
            <v>2730</v>
          </cell>
          <cell r="V31">
            <v>0</v>
          </cell>
          <cell r="W31">
            <v>0</v>
          </cell>
          <cell r="X31">
            <v>1</v>
          </cell>
          <cell r="Y31">
            <v>1</v>
          </cell>
          <cell r="Z31">
            <v>181</v>
          </cell>
          <cell r="AA31">
            <v>150</v>
          </cell>
          <cell r="AB31">
            <v>0</v>
          </cell>
          <cell r="AC31">
            <v>0</v>
          </cell>
          <cell r="AD31">
            <v>1295</v>
          </cell>
          <cell r="AE31">
            <v>10242</v>
          </cell>
          <cell r="AF31">
            <v>8050</v>
          </cell>
          <cell r="AG31">
            <v>3000</v>
          </cell>
          <cell r="AH31">
            <v>0</v>
          </cell>
          <cell r="AI31">
            <v>200</v>
          </cell>
          <cell r="AJ31">
            <v>1</v>
          </cell>
          <cell r="AK31">
            <v>1</v>
          </cell>
          <cell r="AL31">
            <v>300</v>
          </cell>
          <cell r="AM31">
            <v>0</v>
          </cell>
          <cell r="AN31">
            <v>31</v>
          </cell>
          <cell r="AO31">
            <v>0</v>
          </cell>
          <cell r="AP31">
            <v>0</v>
          </cell>
          <cell r="AQ31">
            <v>1295</v>
          </cell>
          <cell r="AX31">
            <v>0</v>
          </cell>
          <cell r="AY31">
            <v>650</v>
          </cell>
          <cell r="AZ31">
            <v>30</v>
          </cell>
          <cell r="BA31">
            <v>75</v>
          </cell>
          <cell r="BB31">
            <v>120</v>
          </cell>
          <cell r="BC31">
            <v>0</v>
          </cell>
          <cell r="BD31">
            <v>0</v>
          </cell>
          <cell r="BE31">
            <v>480</v>
          </cell>
          <cell r="BF31">
            <v>0.46666666666666701</v>
          </cell>
          <cell r="BH31">
            <v>13935</v>
          </cell>
          <cell r="BI31">
            <v>10082</v>
          </cell>
          <cell r="BJ31">
            <v>3750</v>
          </cell>
          <cell r="BK31">
            <v>390</v>
          </cell>
          <cell r="BL31">
            <v>0</v>
          </cell>
          <cell r="BM31">
            <v>7845</v>
          </cell>
          <cell r="BN31">
            <v>0</v>
          </cell>
          <cell r="BO31">
            <v>30</v>
          </cell>
          <cell r="BP31">
            <v>195</v>
          </cell>
          <cell r="BQ31">
            <v>0</v>
          </cell>
          <cell r="BR31">
            <v>0</v>
          </cell>
          <cell r="BS31">
            <v>480</v>
          </cell>
          <cell r="BT31">
            <v>0.133333333333333</v>
          </cell>
          <cell r="BV31">
            <v>5880</v>
          </cell>
          <cell r="BX31">
            <v>12012</v>
          </cell>
          <cell r="BY31">
            <v>1230</v>
          </cell>
          <cell r="BZ31">
            <v>0</v>
          </cell>
          <cell r="CA31">
            <v>7845</v>
          </cell>
          <cell r="CB31">
            <v>24773.769472070842</v>
          </cell>
          <cell r="CC31">
            <v>0</v>
          </cell>
          <cell r="CD31">
            <v>0</v>
          </cell>
          <cell r="CE31">
            <v>13330.20472614569</v>
          </cell>
          <cell r="CF31">
            <v>0</v>
          </cell>
          <cell r="CG31">
            <v>0</v>
          </cell>
          <cell r="CM31">
            <v>0</v>
          </cell>
          <cell r="CZ31">
            <v>0.2693977113749686</v>
          </cell>
          <cell r="DA31">
            <v>0.33270964449736351</v>
          </cell>
          <cell r="DB31">
            <v>228523658.29000002</v>
          </cell>
          <cell r="DC31">
            <v>91.7</v>
          </cell>
          <cell r="DD31">
            <v>5.4</v>
          </cell>
          <cell r="DE31">
            <v>0.9</v>
          </cell>
          <cell r="DF31">
            <v>69.5</v>
          </cell>
          <cell r="DG31">
            <v>16.8</v>
          </cell>
          <cell r="DH31">
            <v>5.8</v>
          </cell>
          <cell r="DI31">
            <v>98</v>
          </cell>
          <cell r="DJ31">
            <v>92.1</v>
          </cell>
        </row>
        <row r="32">
          <cell r="A32">
            <v>317</v>
          </cell>
          <cell r="B32">
            <v>4.3620015100555999E-2</v>
          </cell>
          <cell r="C32">
            <v>1.25265975701833E-2</v>
          </cell>
          <cell r="D32">
            <v>4.9705409748259197E-2</v>
          </cell>
          <cell r="E32">
            <v>1.54793786823781E-2</v>
          </cell>
          <cell r="F32">
            <v>4897</v>
          </cell>
          <cell r="G32">
            <v>9822</v>
          </cell>
          <cell r="H32">
            <v>0</v>
          </cell>
          <cell r="I32">
            <v>0</v>
          </cell>
          <cell r="J32">
            <v>4.4893447036159606E-2</v>
          </cell>
          <cell r="K32">
            <v>5.9481573230020346E-2</v>
          </cell>
          <cell r="L32">
            <v>960</v>
          </cell>
          <cell r="M32">
            <v>300</v>
          </cell>
          <cell r="N32">
            <v>141</v>
          </cell>
          <cell r="O32">
            <v>60</v>
          </cell>
          <cell r="P32">
            <v>0</v>
          </cell>
          <cell r="Q32">
            <v>0</v>
          </cell>
          <cell r="R32">
            <v>0</v>
          </cell>
          <cell r="S32">
            <v>10147</v>
          </cell>
          <cell r="T32">
            <v>17579</v>
          </cell>
          <cell r="U32">
            <v>1470</v>
          </cell>
          <cell r="V32">
            <v>1249</v>
          </cell>
          <cell r="W32">
            <v>420</v>
          </cell>
          <cell r="X32">
            <v>1</v>
          </cell>
          <cell r="Y32">
            <v>1</v>
          </cell>
          <cell r="Z32">
            <v>752</v>
          </cell>
          <cell r="AA32">
            <v>0</v>
          </cell>
          <cell r="AB32">
            <v>0</v>
          </cell>
          <cell r="AC32">
            <v>0</v>
          </cell>
          <cell r="AD32">
            <v>0</v>
          </cell>
          <cell r="AE32">
            <v>15094</v>
          </cell>
          <cell r="AF32">
            <v>11236</v>
          </cell>
          <cell r="AG32">
            <v>0</v>
          </cell>
          <cell r="AH32">
            <v>0</v>
          </cell>
          <cell r="AI32">
            <v>600</v>
          </cell>
          <cell r="AJ32">
            <v>1</v>
          </cell>
          <cell r="AK32">
            <v>1</v>
          </cell>
          <cell r="AL32">
            <v>619</v>
          </cell>
          <cell r="AM32">
            <v>133</v>
          </cell>
          <cell r="AN32">
            <v>0</v>
          </cell>
          <cell r="AO32">
            <v>0</v>
          </cell>
          <cell r="AP32">
            <v>0</v>
          </cell>
          <cell r="AQ32">
            <v>0</v>
          </cell>
          <cell r="AX32">
            <v>0</v>
          </cell>
          <cell r="AY32">
            <v>600</v>
          </cell>
          <cell r="AZ32">
            <v>110</v>
          </cell>
          <cell r="BA32">
            <v>0</v>
          </cell>
          <cell r="BB32">
            <v>31</v>
          </cell>
          <cell r="BC32">
            <v>0</v>
          </cell>
          <cell r="BD32">
            <v>0</v>
          </cell>
          <cell r="BE32">
            <v>60</v>
          </cell>
          <cell r="BF32">
            <v>0.780141843971631</v>
          </cell>
          <cell r="BH32">
            <v>7218</v>
          </cell>
          <cell r="BI32">
            <v>9335</v>
          </cell>
          <cell r="BJ32">
            <v>10569</v>
          </cell>
          <cell r="BK32">
            <v>630</v>
          </cell>
          <cell r="BL32">
            <v>0</v>
          </cell>
          <cell r="BM32">
            <v>3113</v>
          </cell>
          <cell r="BN32">
            <v>0</v>
          </cell>
          <cell r="BO32">
            <v>110</v>
          </cell>
          <cell r="BP32">
            <v>31</v>
          </cell>
          <cell r="BQ32">
            <v>0</v>
          </cell>
          <cell r="BR32">
            <v>0</v>
          </cell>
          <cell r="BS32">
            <v>60</v>
          </cell>
          <cell r="BT32">
            <v>0.780141843971631</v>
          </cell>
          <cell r="BV32">
            <v>2400</v>
          </cell>
          <cell r="BX32">
            <v>16155</v>
          </cell>
          <cell r="BY32">
            <v>2400</v>
          </cell>
          <cell r="BZ32">
            <v>0</v>
          </cell>
          <cell r="CA32">
            <v>3113</v>
          </cell>
          <cell r="CB32">
            <v>19837.806383198036</v>
          </cell>
          <cell r="CC32">
            <v>4053.607398066415</v>
          </cell>
          <cell r="CD32">
            <v>16113.15062134734</v>
          </cell>
          <cell r="CE32">
            <v>26701.002173133318</v>
          </cell>
          <cell r="CF32">
            <v>0</v>
          </cell>
          <cell r="CG32">
            <v>0</v>
          </cell>
          <cell r="CM32">
            <v>0</v>
          </cell>
          <cell r="CZ32">
            <v>0.32701907077947012</v>
          </cell>
          <cell r="DA32">
            <v>0.24456356216117439</v>
          </cell>
          <cell r="DB32">
            <v>194310596.70999998</v>
          </cell>
          <cell r="DC32">
            <v>88</v>
          </cell>
          <cell r="DD32">
            <v>7.2</v>
          </cell>
          <cell r="DE32">
            <v>1.7</v>
          </cell>
          <cell r="DF32">
            <v>66.900000000000006</v>
          </cell>
          <cell r="DG32">
            <v>15.4</v>
          </cell>
          <cell r="DH32">
            <v>6.1</v>
          </cell>
          <cell r="DI32">
            <v>96.8</v>
          </cell>
          <cell r="DJ32">
            <v>88.4</v>
          </cell>
        </row>
        <row r="33">
          <cell r="A33">
            <v>318</v>
          </cell>
          <cell r="B33">
            <v>2.4540243611177501E-2</v>
          </cell>
          <cell r="C33">
            <v>1.06281347026511E-2</v>
          </cell>
          <cell r="D33">
            <v>1.62274280136652E-2</v>
          </cell>
          <cell r="E33">
            <v>9.6388482186432391E-3</v>
          </cell>
          <cell r="F33">
            <v>5395</v>
          </cell>
          <cell r="G33">
            <v>4274</v>
          </cell>
          <cell r="H33">
            <v>70</v>
          </cell>
          <cell r="I33">
            <v>70</v>
          </cell>
          <cell r="J33">
            <v>0.11730070590397106</v>
          </cell>
          <cell r="K33">
            <v>8.6624274318266498E-2</v>
          </cell>
          <cell r="L33">
            <v>0</v>
          </cell>
          <cell r="M33">
            <v>0</v>
          </cell>
          <cell r="N33">
            <v>58</v>
          </cell>
          <cell r="O33">
            <v>0</v>
          </cell>
          <cell r="P33">
            <v>0</v>
          </cell>
          <cell r="Q33">
            <v>0</v>
          </cell>
          <cell r="R33">
            <v>0</v>
          </cell>
          <cell r="S33">
            <v>10162</v>
          </cell>
          <cell r="T33">
            <v>6941</v>
          </cell>
          <cell r="U33">
            <v>1200</v>
          </cell>
          <cell r="V33">
            <v>0</v>
          </cell>
          <cell r="W33">
            <v>0</v>
          </cell>
          <cell r="X33">
            <v>1</v>
          </cell>
          <cell r="Y33">
            <v>1</v>
          </cell>
          <cell r="Z33">
            <v>753</v>
          </cell>
          <cell r="AA33">
            <v>180</v>
          </cell>
          <cell r="AB33">
            <v>30</v>
          </cell>
          <cell r="AC33">
            <v>0</v>
          </cell>
          <cell r="AD33">
            <v>900</v>
          </cell>
          <cell r="AE33">
            <v>4113</v>
          </cell>
          <cell r="AF33">
            <v>2910</v>
          </cell>
          <cell r="AG33">
            <v>2250</v>
          </cell>
          <cell r="AH33">
            <v>0</v>
          </cell>
          <cell r="AI33">
            <v>0</v>
          </cell>
          <cell r="AJ33">
            <v>0.968847352024922</v>
          </cell>
          <cell r="AK33">
            <v>64</v>
          </cell>
          <cell r="AL33">
            <v>531</v>
          </cell>
          <cell r="AM33">
            <v>72</v>
          </cell>
          <cell r="AN33">
            <v>330</v>
          </cell>
          <cell r="AO33">
            <v>0</v>
          </cell>
          <cell r="AP33">
            <v>30</v>
          </cell>
          <cell r="AQ33">
            <v>900</v>
          </cell>
          <cell r="AX33">
            <v>1050</v>
          </cell>
          <cell r="AY33">
            <v>1050</v>
          </cell>
          <cell r="AZ33">
            <v>28</v>
          </cell>
          <cell r="BA33">
            <v>30</v>
          </cell>
          <cell r="BB33">
            <v>0</v>
          </cell>
          <cell r="BC33">
            <v>0</v>
          </cell>
          <cell r="BD33">
            <v>0</v>
          </cell>
          <cell r="BE33">
            <v>0</v>
          </cell>
          <cell r="BF33">
            <v>1</v>
          </cell>
          <cell r="BH33">
            <v>2998</v>
          </cell>
          <cell r="BI33">
            <v>7382</v>
          </cell>
          <cell r="BJ33">
            <v>4797</v>
          </cell>
          <cell r="BK33">
            <v>0</v>
          </cell>
          <cell r="BL33">
            <v>0</v>
          </cell>
          <cell r="BM33">
            <v>3126</v>
          </cell>
          <cell r="BN33">
            <v>28</v>
          </cell>
          <cell r="BO33">
            <v>0</v>
          </cell>
          <cell r="BP33">
            <v>30</v>
          </cell>
          <cell r="BQ33">
            <v>0</v>
          </cell>
          <cell r="BR33">
            <v>0</v>
          </cell>
          <cell r="BS33">
            <v>0</v>
          </cell>
          <cell r="BT33">
            <v>0.48275862068965503</v>
          </cell>
          <cell r="BV33">
            <v>4036</v>
          </cell>
          <cell r="BX33">
            <v>4931</v>
          </cell>
          <cell r="BY33">
            <v>0</v>
          </cell>
          <cell r="BZ33">
            <v>0</v>
          </cell>
          <cell r="CA33">
            <v>3126</v>
          </cell>
          <cell r="CB33">
            <v>16137.557668707541</v>
          </cell>
          <cell r="CC33">
            <v>979.29199093194472</v>
          </cell>
          <cell r="CD33">
            <v>0</v>
          </cell>
          <cell r="CE33">
            <v>0</v>
          </cell>
          <cell r="CF33">
            <v>0</v>
          </cell>
          <cell r="CG33">
            <v>0</v>
          </cell>
          <cell r="CM33">
            <v>0</v>
          </cell>
          <cell r="CZ33">
            <v>0.27644451238153472</v>
          </cell>
          <cell r="DA33">
            <v>0.4422759345443627</v>
          </cell>
          <cell r="DB33">
            <v>51173454.060000002</v>
          </cell>
          <cell r="DC33">
            <v>88</v>
          </cell>
          <cell r="DD33">
            <v>7.7</v>
          </cell>
          <cell r="DE33">
            <v>2.2000000000000002</v>
          </cell>
          <cell r="DF33">
            <v>61.8</v>
          </cell>
          <cell r="DG33">
            <v>16.399999999999999</v>
          </cell>
          <cell r="DH33">
            <v>6.7</v>
          </cell>
          <cell r="DI33">
            <v>97.9</v>
          </cell>
          <cell r="DJ33">
            <v>84.9</v>
          </cell>
        </row>
        <row r="34">
          <cell r="A34">
            <v>319</v>
          </cell>
          <cell r="B34">
            <v>4.8752509320332702E-3</v>
          </cell>
          <cell r="C34">
            <v>1.3765414396329199E-3</v>
          </cell>
          <cell r="D34">
            <v>6.0954729128141899E-3</v>
          </cell>
          <cell r="E34">
            <v>4.5202383398397399E-3</v>
          </cell>
          <cell r="F34">
            <v>4496</v>
          </cell>
          <cell r="G34">
            <v>3164</v>
          </cell>
          <cell r="H34">
            <v>70</v>
          </cell>
          <cell r="I34">
            <v>320</v>
          </cell>
          <cell r="J34">
            <v>3.9061799981771575E-2</v>
          </cell>
          <cell r="K34">
            <v>2.0629105540315721E-2</v>
          </cell>
          <cell r="L34">
            <v>510</v>
          </cell>
          <cell r="M34">
            <v>585</v>
          </cell>
          <cell r="N34">
            <v>266</v>
          </cell>
          <cell r="O34">
            <v>19</v>
          </cell>
          <cell r="P34">
            <v>0</v>
          </cell>
          <cell r="Q34">
            <v>0</v>
          </cell>
          <cell r="R34">
            <v>0</v>
          </cell>
          <cell r="S34">
            <v>6136</v>
          </cell>
          <cell r="T34">
            <v>9789</v>
          </cell>
          <cell r="U34">
            <v>420</v>
          </cell>
          <cell r="V34">
            <v>0</v>
          </cell>
          <cell r="W34">
            <v>0</v>
          </cell>
          <cell r="X34">
            <v>1</v>
          </cell>
          <cell r="Y34">
            <v>1</v>
          </cell>
          <cell r="Z34">
            <v>86</v>
          </cell>
          <cell r="AA34">
            <v>0</v>
          </cell>
          <cell r="AB34">
            <v>0</v>
          </cell>
          <cell r="AC34">
            <v>0</v>
          </cell>
          <cell r="AD34">
            <v>0</v>
          </cell>
          <cell r="AE34">
            <v>8374</v>
          </cell>
          <cell r="AF34">
            <v>11664</v>
          </cell>
          <cell r="AG34">
            <v>0</v>
          </cell>
          <cell r="AH34">
            <v>0</v>
          </cell>
          <cell r="AI34">
            <v>0</v>
          </cell>
          <cell r="AJ34">
            <v>1</v>
          </cell>
          <cell r="AK34">
            <v>1</v>
          </cell>
          <cell r="AL34">
            <v>86</v>
          </cell>
          <cell r="AM34">
            <v>0</v>
          </cell>
          <cell r="AN34">
            <v>0</v>
          </cell>
          <cell r="AO34">
            <v>0</v>
          </cell>
          <cell r="AP34">
            <v>0</v>
          </cell>
          <cell r="AQ34">
            <v>0</v>
          </cell>
          <cell r="AX34">
            <v>1315</v>
          </cell>
          <cell r="AY34">
            <v>0</v>
          </cell>
          <cell r="AZ34">
            <v>150</v>
          </cell>
          <cell r="BA34">
            <v>0</v>
          </cell>
          <cell r="BB34">
            <v>19</v>
          </cell>
          <cell r="BC34">
            <v>0</v>
          </cell>
          <cell r="BD34">
            <v>0</v>
          </cell>
          <cell r="BE34">
            <v>116</v>
          </cell>
          <cell r="BF34">
            <v>0.88757396449704096</v>
          </cell>
          <cell r="BH34">
            <v>480</v>
          </cell>
          <cell r="BI34">
            <v>6738</v>
          </cell>
          <cell r="BJ34">
            <v>5056</v>
          </cell>
          <cell r="BK34">
            <v>1638</v>
          </cell>
          <cell r="BL34">
            <v>0</v>
          </cell>
          <cell r="BM34">
            <v>2433</v>
          </cell>
          <cell r="BN34">
            <v>0</v>
          </cell>
          <cell r="BO34">
            <v>150</v>
          </cell>
          <cell r="BP34">
            <v>19</v>
          </cell>
          <cell r="BQ34">
            <v>0</v>
          </cell>
          <cell r="BR34">
            <v>0</v>
          </cell>
          <cell r="BS34">
            <v>116</v>
          </cell>
          <cell r="BT34">
            <v>0.88757396449704096</v>
          </cell>
          <cell r="BV34">
            <v>620</v>
          </cell>
          <cell r="BX34">
            <v>7920</v>
          </cell>
          <cell r="BY34">
            <v>0</v>
          </cell>
          <cell r="BZ34">
            <v>1242</v>
          </cell>
          <cell r="CA34">
            <v>2433</v>
          </cell>
          <cell r="CB34">
            <v>13417.233698563625</v>
          </cell>
          <cell r="CC34">
            <v>7083.4561211807359</v>
          </cell>
          <cell r="CD34">
            <v>0</v>
          </cell>
          <cell r="CE34">
            <v>13693.333002120346</v>
          </cell>
          <cell r="CF34">
            <v>0</v>
          </cell>
          <cell r="CG34">
            <v>0</v>
          </cell>
          <cell r="CM34">
            <v>0</v>
          </cell>
          <cell r="CZ34">
            <v>0.3254565784569512</v>
          </cell>
          <cell r="DA34">
            <v>0.23339075724664818</v>
          </cell>
          <cell r="DB34">
            <v>125598588.75999999</v>
          </cell>
          <cell r="DC34">
            <v>86.1</v>
          </cell>
          <cell r="DD34">
            <v>7.3</v>
          </cell>
          <cell r="DE34">
            <v>1.9</v>
          </cell>
          <cell r="DF34">
            <v>75.3</v>
          </cell>
          <cell r="DG34">
            <v>13.8</v>
          </cell>
          <cell r="DH34">
            <v>4.4000000000000004</v>
          </cell>
          <cell r="DI34">
            <v>95.3</v>
          </cell>
          <cell r="DJ34">
            <v>93.5</v>
          </cell>
        </row>
        <row r="35">
          <cell r="A35">
            <v>320</v>
          </cell>
          <cell r="B35">
            <v>7.3009391588403402E-2</v>
          </cell>
          <cell r="C35">
            <v>3.18905675786035E-2</v>
          </cell>
          <cell r="D35">
            <v>2.5805478004979999E-2</v>
          </cell>
          <cell r="E35">
            <v>3.0106391005810001E-2</v>
          </cell>
          <cell r="F35">
            <v>6594</v>
          </cell>
          <cell r="G35">
            <v>2346</v>
          </cell>
          <cell r="H35">
            <v>390</v>
          </cell>
          <cell r="I35">
            <v>170</v>
          </cell>
          <cell r="J35">
            <v>0.11767800114309433</v>
          </cell>
          <cell r="K35">
            <v>4.5832926187762225E-2</v>
          </cell>
          <cell r="L35">
            <v>0</v>
          </cell>
          <cell r="M35">
            <v>91</v>
          </cell>
          <cell r="N35">
            <v>120</v>
          </cell>
          <cell r="O35">
            <v>120</v>
          </cell>
          <cell r="P35">
            <v>0</v>
          </cell>
          <cell r="Q35">
            <v>0</v>
          </cell>
          <cell r="R35">
            <v>0</v>
          </cell>
          <cell r="S35">
            <v>8280</v>
          </cell>
          <cell r="T35">
            <v>18120</v>
          </cell>
          <cell r="U35">
            <v>840</v>
          </cell>
          <cell r="V35">
            <v>420</v>
          </cell>
          <cell r="W35">
            <v>0</v>
          </cell>
          <cell r="X35">
            <v>1</v>
          </cell>
          <cell r="Y35">
            <v>1</v>
          </cell>
          <cell r="Z35">
            <v>0</v>
          </cell>
          <cell r="AA35">
            <v>734</v>
          </cell>
          <cell r="AB35">
            <v>0</v>
          </cell>
          <cell r="AC35">
            <v>0</v>
          </cell>
          <cell r="AD35">
            <v>0</v>
          </cell>
          <cell r="AE35">
            <v>1400</v>
          </cell>
          <cell r="AF35">
            <v>14591</v>
          </cell>
          <cell r="AG35">
            <v>0</v>
          </cell>
          <cell r="AH35">
            <v>0</v>
          </cell>
          <cell r="AI35">
            <v>0</v>
          </cell>
          <cell r="AJ35">
            <v>1</v>
          </cell>
          <cell r="AK35">
            <v>1</v>
          </cell>
          <cell r="AL35">
            <v>134</v>
          </cell>
          <cell r="AM35">
            <v>0</v>
          </cell>
          <cell r="AN35">
            <v>600</v>
          </cell>
          <cell r="AO35">
            <v>0</v>
          </cell>
          <cell r="AP35">
            <v>0</v>
          </cell>
          <cell r="AQ35">
            <v>0</v>
          </cell>
          <cell r="AX35">
            <v>0</v>
          </cell>
          <cell r="AY35">
            <v>0</v>
          </cell>
          <cell r="AZ35">
            <v>150</v>
          </cell>
          <cell r="BA35">
            <v>60</v>
          </cell>
          <cell r="BB35">
            <v>0</v>
          </cell>
          <cell r="BC35">
            <v>30</v>
          </cell>
          <cell r="BD35">
            <v>0</v>
          </cell>
          <cell r="BE35">
            <v>0</v>
          </cell>
          <cell r="BF35">
            <v>0.875</v>
          </cell>
          <cell r="BH35">
            <v>6660</v>
          </cell>
          <cell r="BI35">
            <v>8580</v>
          </cell>
          <cell r="BJ35">
            <v>10080</v>
          </cell>
          <cell r="BK35">
            <v>1260</v>
          </cell>
          <cell r="BL35">
            <v>0</v>
          </cell>
          <cell r="BM35">
            <v>1080</v>
          </cell>
          <cell r="BN35">
            <v>0</v>
          </cell>
          <cell r="BO35">
            <v>0</v>
          </cell>
          <cell r="BP35">
            <v>240</v>
          </cell>
          <cell r="BQ35">
            <v>0</v>
          </cell>
          <cell r="BR35">
            <v>0</v>
          </cell>
          <cell r="BS35">
            <v>0</v>
          </cell>
          <cell r="BT35">
            <v>0</v>
          </cell>
          <cell r="BV35">
            <v>1950</v>
          </cell>
          <cell r="BX35">
            <v>15270</v>
          </cell>
          <cell r="BY35">
            <v>4320</v>
          </cell>
          <cell r="BZ35">
            <v>0</v>
          </cell>
          <cell r="CA35">
            <v>1080</v>
          </cell>
          <cell r="CB35">
            <v>20844.85067679661</v>
          </cell>
          <cell r="CC35">
            <v>6301.7092443622851</v>
          </cell>
          <cell r="CD35">
            <v>0</v>
          </cell>
          <cell r="CE35">
            <v>28727.891280105523</v>
          </cell>
          <cell r="CF35">
            <v>0</v>
          </cell>
          <cell r="CG35">
            <v>0</v>
          </cell>
          <cell r="CM35">
            <v>0</v>
          </cell>
          <cell r="CZ35">
            <v>0.22556723308122975</v>
          </cell>
          <cell r="DA35">
            <v>0.22838027587346163</v>
          </cell>
          <cell r="DB35">
            <v>210347814.08000001</v>
          </cell>
          <cell r="DC35">
            <v>92.6</v>
          </cell>
          <cell r="DD35">
            <v>5.2</v>
          </cell>
          <cell r="DE35">
            <v>0.8</v>
          </cell>
          <cell r="DF35">
            <v>80.099999999999994</v>
          </cell>
          <cell r="DG35">
            <v>12.1</v>
          </cell>
          <cell r="DH35">
            <v>3.5</v>
          </cell>
          <cell r="DI35">
            <v>98.6</v>
          </cell>
          <cell r="DJ35">
            <v>95.7</v>
          </cell>
        </row>
        <row r="36">
          <cell r="A36">
            <v>330</v>
          </cell>
          <cell r="B36">
            <v>1.4512858819763099E-2</v>
          </cell>
          <cell r="C36">
            <v>1.9332693060150102E-2</v>
          </cell>
          <cell r="D36">
            <v>2.4667787929754399E-2</v>
          </cell>
          <cell r="E36">
            <v>2.8061881600678799E-2</v>
          </cell>
          <cell r="F36">
            <v>13927</v>
          </cell>
          <cell r="G36">
            <v>16945</v>
          </cell>
          <cell r="H36">
            <v>2020</v>
          </cell>
          <cell r="I36">
            <v>2050</v>
          </cell>
          <cell r="J36">
            <v>5.3428393331637465E-2</v>
          </cell>
          <cell r="K36">
            <v>3.1850902790287385E-2</v>
          </cell>
          <cell r="L36">
            <v>1485</v>
          </cell>
          <cell r="M36">
            <v>1255</v>
          </cell>
          <cell r="N36">
            <v>539</v>
          </cell>
          <cell r="O36">
            <v>750</v>
          </cell>
          <cell r="P36">
            <v>722</v>
          </cell>
          <cell r="Q36">
            <v>60</v>
          </cell>
          <cell r="R36">
            <v>0</v>
          </cell>
          <cell r="S36">
            <v>21043</v>
          </cell>
          <cell r="T36">
            <v>67622</v>
          </cell>
          <cell r="U36">
            <v>18352</v>
          </cell>
          <cell r="V36">
            <v>4866</v>
          </cell>
          <cell r="W36">
            <v>1330</v>
          </cell>
          <cell r="X36">
            <v>0.62240463544181601</v>
          </cell>
          <cell r="Y36">
            <v>122</v>
          </cell>
          <cell r="Z36">
            <v>477</v>
          </cell>
          <cell r="AA36">
            <v>264</v>
          </cell>
          <cell r="AB36">
            <v>179</v>
          </cell>
          <cell r="AC36">
            <v>0</v>
          </cell>
          <cell r="AD36">
            <v>0</v>
          </cell>
          <cell r="AE36">
            <v>28776</v>
          </cell>
          <cell r="AF36">
            <v>35482</v>
          </cell>
          <cell r="AG36">
            <v>8449</v>
          </cell>
          <cell r="AH36">
            <v>3410</v>
          </cell>
          <cell r="AI36">
            <v>1220</v>
          </cell>
          <cell r="AJ36">
            <v>0.80543478260869605</v>
          </cell>
          <cell r="AK36">
            <v>74</v>
          </cell>
          <cell r="AL36">
            <v>257</v>
          </cell>
          <cell r="AM36">
            <v>270</v>
          </cell>
          <cell r="AN36">
            <v>204</v>
          </cell>
          <cell r="AO36">
            <v>90</v>
          </cell>
          <cell r="AP36">
            <v>39</v>
          </cell>
          <cell r="AQ36">
            <v>60</v>
          </cell>
          <cell r="AX36">
            <v>5755</v>
          </cell>
          <cell r="AY36">
            <v>6330</v>
          </cell>
          <cell r="AZ36">
            <v>150</v>
          </cell>
          <cell r="BA36">
            <v>240</v>
          </cell>
          <cell r="BB36">
            <v>981</v>
          </cell>
          <cell r="BC36">
            <v>85</v>
          </cell>
          <cell r="BD36">
            <v>225</v>
          </cell>
          <cell r="BE36">
            <v>390</v>
          </cell>
          <cell r="BF36">
            <v>0.23200475907198101</v>
          </cell>
          <cell r="BH36">
            <v>13758</v>
          </cell>
          <cell r="BI36">
            <v>20079</v>
          </cell>
          <cell r="BJ36">
            <v>47340</v>
          </cell>
          <cell r="BK36">
            <v>12468</v>
          </cell>
          <cell r="BL36">
            <v>9852</v>
          </cell>
          <cell r="BM36">
            <v>9716</v>
          </cell>
          <cell r="BN36">
            <v>60</v>
          </cell>
          <cell r="BO36">
            <v>105</v>
          </cell>
          <cell r="BP36">
            <v>1176</v>
          </cell>
          <cell r="BQ36">
            <v>30</v>
          </cell>
          <cell r="BR36">
            <v>310</v>
          </cell>
          <cell r="BS36">
            <v>390</v>
          </cell>
          <cell r="BT36">
            <v>9.8155859607376605E-2</v>
          </cell>
          <cell r="BV36">
            <v>6485</v>
          </cell>
          <cell r="BX36">
            <v>59862</v>
          </cell>
          <cell r="BY36">
            <v>13023</v>
          </cell>
          <cell r="BZ36">
            <v>12870</v>
          </cell>
          <cell r="CA36">
            <v>9511</v>
          </cell>
          <cell r="CB36">
            <v>10539.441250219297</v>
          </cell>
          <cell r="CC36">
            <v>4101.8042494289621</v>
          </cell>
          <cell r="CD36">
            <v>0</v>
          </cell>
          <cell r="CE36">
            <v>2474.2268041237112</v>
          </cell>
          <cell r="CF36">
            <v>3658.0041868823878</v>
          </cell>
          <cell r="CG36">
            <v>0</v>
          </cell>
          <cell r="CM36">
            <v>0</v>
          </cell>
          <cell r="CZ36">
            <v>0.22592774061607943</v>
          </cell>
          <cell r="DA36">
            <v>0.24660400600732355</v>
          </cell>
          <cell r="DB36">
            <v>294689266.74000001</v>
          </cell>
          <cell r="DC36">
            <v>91.1</v>
          </cell>
          <cell r="DD36">
            <v>5.4</v>
          </cell>
          <cell r="DE36">
            <v>1.9</v>
          </cell>
          <cell r="DF36">
            <v>67.900000000000006</v>
          </cell>
          <cell r="DG36">
            <v>12.8</v>
          </cell>
          <cell r="DH36">
            <v>5.4</v>
          </cell>
          <cell r="DI36">
            <v>98.4</v>
          </cell>
          <cell r="DJ36">
            <v>86.1</v>
          </cell>
        </row>
        <row r="37">
          <cell r="A37">
            <v>331</v>
          </cell>
          <cell r="B37">
            <v>9.7174850376472097E-3</v>
          </cell>
          <cell r="C37">
            <v>-3.21771027736663E-4</v>
          </cell>
          <cell r="D37">
            <v>2.40768672141221E-2</v>
          </cell>
          <cell r="E37">
            <v>6.7593989162616601E-3</v>
          </cell>
          <cell r="F37">
            <v>6561</v>
          </cell>
          <cell r="G37">
            <v>2019</v>
          </cell>
          <cell r="H37">
            <v>810</v>
          </cell>
          <cell r="I37">
            <v>1360</v>
          </cell>
          <cell r="J37">
            <v>4.5661430039641758E-2</v>
          </cell>
          <cell r="K37">
            <v>8.7991470645780126E-2</v>
          </cell>
          <cell r="L37">
            <v>0</v>
          </cell>
          <cell r="M37">
            <v>630</v>
          </cell>
          <cell r="N37">
            <v>0</v>
          </cell>
          <cell r="O37">
            <v>15</v>
          </cell>
          <cell r="P37">
            <v>0</v>
          </cell>
          <cell r="Q37">
            <v>0</v>
          </cell>
          <cell r="R37">
            <v>0</v>
          </cell>
          <cell r="S37">
            <v>1680</v>
          </cell>
          <cell r="T37">
            <v>30075</v>
          </cell>
          <cell r="U37">
            <v>1575</v>
          </cell>
          <cell r="V37">
            <v>350</v>
          </cell>
          <cell r="W37">
            <v>0</v>
          </cell>
          <cell r="X37">
            <v>1</v>
          </cell>
          <cell r="Y37">
            <v>1</v>
          </cell>
          <cell r="Z37">
            <v>0</v>
          </cell>
          <cell r="AA37">
            <v>599</v>
          </cell>
          <cell r="AB37">
            <v>0</v>
          </cell>
          <cell r="AC37">
            <v>0</v>
          </cell>
          <cell r="AD37">
            <v>0</v>
          </cell>
          <cell r="AE37">
            <v>5962</v>
          </cell>
          <cell r="AF37">
            <v>10925</v>
          </cell>
          <cell r="AG37">
            <v>3132</v>
          </cell>
          <cell r="AH37">
            <v>2543</v>
          </cell>
          <cell r="AI37">
            <v>0</v>
          </cell>
          <cell r="AJ37">
            <v>1</v>
          </cell>
          <cell r="AK37">
            <v>1</v>
          </cell>
          <cell r="AL37">
            <v>0</v>
          </cell>
          <cell r="AM37">
            <v>0</v>
          </cell>
          <cell r="AN37">
            <v>0</v>
          </cell>
          <cell r="AO37">
            <v>70</v>
          </cell>
          <cell r="AP37">
            <v>529</v>
          </cell>
          <cell r="AQ37">
            <v>0</v>
          </cell>
          <cell r="AX37">
            <v>3797</v>
          </cell>
          <cell r="AY37">
            <v>1940</v>
          </cell>
          <cell r="AZ37">
            <v>0</v>
          </cell>
          <cell r="BA37">
            <v>0</v>
          </cell>
          <cell r="BB37">
            <v>15</v>
          </cell>
          <cell r="BC37">
            <v>0</v>
          </cell>
          <cell r="BD37">
            <v>0</v>
          </cell>
          <cell r="BE37">
            <v>0</v>
          </cell>
          <cell r="BF37">
            <v>0</v>
          </cell>
          <cell r="BH37">
            <v>630</v>
          </cell>
          <cell r="BI37">
            <v>4515</v>
          </cell>
          <cell r="BJ37">
            <v>19925</v>
          </cell>
          <cell r="BK37">
            <v>7065</v>
          </cell>
          <cell r="BL37">
            <v>735</v>
          </cell>
          <cell r="BM37">
            <v>810</v>
          </cell>
          <cell r="BN37">
            <v>0</v>
          </cell>
          <cell r="BO37">
            <v>0</v>
          </cell>
          <cell r="BP37">
            <v>15</v>
          </cell>
          <cell r="BQ37">
            <v>0</v>
          </cell>
          <cell r="BR37">
            <v>0</v>
          </cell>
          <cell r="BS37">
            <v>0</v>
          </cell>
          <cell r="BT37">
            <v>0</v>
          </cell>
          <cell r="BV37">
            <v>840</v>
          </cell>
          <cell r="BX37">
            <v>22655</v>
          </cell>
          <cell r="BY37">
            <v>4335</v>
          </cell>
          <cell r="BZ37">
            <v>1995</v>
          </cell>
          <cell r="CA37">
            <v>810</v>
          </cell>
          <cell r="CB37">
            <v>16924.464965702078</v>
          </cell>
          <cell r="CC37">
            <v>0</v>
          </cell>
          <cell r="CD37">
            <v>0</v>
          </cell>
          <cell r="CE37">
            <v>0</v>
          </cell>
          <cell r="CF37">
            <v>0</v>
          </cell>
          <cell r="CG37">
            <v>0</v>
          </cell>
          <cell r="CM37">
            <v>0</v>
          </cell>
          <cell r="CZ37">
            <v>0.32461128564043423</v>
          </cell>
          <cell r="DA37">
            <v>0.22855453739284659</v>
          </cell>
          <cell r="DB37">
            <v>60739439.150000006</v>
          </cell>
          <cell r="DC37">
            <v>94.5</v>
          </cell>
          <cell r="DD37">
            <v>3.8</v>
          </cell>
          <cell r="DE37">
            <v>0.5</v>
          </cell>
          <cell r="DF37">
            <v>75.5</v>
          </cell>
          <cell r="DG37">
            <v>11.2</v>
          </cell>
          <cell r="DH37">
            <v>4.5999999999999996</v>
          </cell>
          <cell r="DI37">
            <v>98.9</v>
          </cell>
          <cell r="DJ37">
            <v>91.3</v>
          </cell>
        </row>
        <row r="38">
          <cell r="A38">
            <v>332</v>
          </cell>
          <cell r="B38">
            <v>5.05801844689081E-3</v>
          </cell>
          <cell r="C38">
            <v>-1.6736090449271E-3</v>
          </cell>
          <cell r="D38">
            <v>3.5652742290094498E-2</v>
          </cell>
          <cell r="E38">
            <v>1.23001960900826E-2</v>
          </cell>
          <cell r="F38">
            <v>844</v>
          </cell>
          <cell r="G38">
            <v>0</v>
          </cell>
          <cell r="H38">
            <v>180</v>
          </cell>
          <cell r="I38">
            <v>110</v>
          </cell>
          <cell r="J38">
            <v>3.361927719874553E-2</v>
          </cell>
          <cell r="K38">
            <v>0.1128423617428377</v>
          </cell>
          <cell r="L38">
            <v>0</v>
          </cell>
          <cell r="M38">
            <v>480</v>
          </cell>
          <cell r="N38">
            <v>0</v>
          </cell>
          <cell r="O38">
            <v>16</v>
          </cell>
          <cell r="P38">
            <v>0</v>
          </cell>
          <cell r="Q38">
            <v>0</v>
          </cell>
          <cell r="R38">
            <v>0</v>
          </cell>
          <cell r="S38">
            <v>2474</v>
          </cell>
          <cell r="T38">
            <v>19417</v>
          </cell>
          <cell r="U38">
            <v>4368</v>
          </cell>
          <cell r="V38">
            <v>0</v>
          </cell>
          <cell r="W38">
            <v>0</v>
          </cell>
          <cell r="X38">
            <v>1</v>
          </cell>
          <cell r="Y38">
            <v>1</v>
          </cell>
          <cell r="Z38">
            <v>0</v>
          </cell>
          <cell r="AA38">
            <v>138</v>
          </cell>
          <cell r="AB38">
            <v>0</v>
          </cell>
          <cell r="AC38">
            <v>0</v>
          </cell>
          <cell r="AD38">
            <v>0</v>
          </cell>
          <cell r="AE38">
            <v>3475</v>
          </cell>
          <cell r="AF38">
            <v>10167</v>
          </cell>
          <cell r="AG38">
            <v>1955</v>
          </cell>
          <cell r="AH38">
            <v>1630</v>
          </cell>
          <cell r="AI38">
            <v>0</v>
          </cell>
          <cell r="AJ38">
            <v>1</v>
          </cell>
          <cell r="AK38">
            <v>1</v>
          </cell>
          <cell r="AL38">
            <v>0</v>
          </cell>
          <cell r="AM38">
            <v>78</v>
          </cell>
          <cell r="AN38">
            <v>0</v>
          </cell>
          <cell r="AO38">
            <v>60</v>
          </cell>
          <cell r="AP38">
            <v>0</v>
          </cell>
          <cell r="AQ38">
            <v>0</v>
          </cell>
          <cell r="AX38">
            <v>900</v>
          </cell>
          <cell r="AY38">
            <v>0</v>
          </cell>
          <cell r="AZ38">
            <v>0</v>
          </cell>
          <cell r="BA38">
            <v>0</v>
          </cell>
          <cell r="BB38">
            <v>0</v>
          </cell>
          <cell r="BC38">
            <v>16</v>
          </cell>
          <cell r="BD38">
            <v>0</v>
          </cell>
          <cell r="BE38">
            <v>0</v>
          </cell>
          <cell r="BF38">
            <v>0</v>
          </cell>
          <cell r="BH38">
            <v>210</v>
          </cell>
          <cell r="BI38">
            <v>1435</v>
          </cell>
          <cell r="BJ38">
            <v>11121</v>
          </cell>
          <cell r="BK38">
            <v>7439</v>
          </cell>
          <cell r="BL38">
            <v>3744</v>
          </cell>
          <cell r="BM38">
            <v>2310</v>
          </cell>
          <cell r="BN38">
            <v>0</v>
          </cell>
          <cell r="BO38">
            <v>0</v>
          </cell>
          <cell r="BP38">
            <v>16</v>
          </cell>
          <cell r="BQ38">
            <v>0</v>
          </cell>
          <cell r="BR38">
            <v>0</v>
          </cell>
          <cell r="BS38">
            <v>0</v>
          </cell>
          <cell r="BT38">
            <v>0</v>
          </cell>
          <cell r="BV38">
            <v>420</v>
          </cell>
          <cell r="BX38">
            <v>12035</v>
          </cell>
          <cell r="BY38">
            <v>5450</v>
          </cell>
          <cell r="BZ38">
            <v>4609</v>
          </cell>
          <cell r="CA38">
            <v>2310</v>
          </cell>
          <cell r="CB38">
            <v>14844.271046946658</v>
          </cell>
          <cell r="CC38">
            <v>0</v>
          </cell>
          <cell r="CD38">
            <v>0</v>
          </cell>
          <cell r="CE38">
            <v>0</v>
          </cell>
          <cell r="CF38">
            <v>0</v>
          </cell>
          <cell r="CG38">
            <v>0</v>
          </cell>
          <cell r="CM38">
            <v>0</v>
          </cell>
          <cell r="CZ38">
            <v>0.12817160367722166</v>
          </cell>
          <cell r="DA38">
            <v>-9.3693226057617443E-2</v>
          </cell>
          <cell r="DB38">
            <v>29242944.16</v>
          </cell>
          <cell r="DC38">
            <v>88.8</v>
          </cell>
          <cell r="DD38">
            <v>7</v>
          </cell>
          <cell r="DE38">
            <v>1.5</v>
          </cell>
          <cell r="DF38">
            <v>87</v>
          </cell>
          <cell r="DG38">
            <v>7.9</v>
          </cell>
          <cell r="DH38">
            <v>1.6</v>
          </cell>
          <cell r="DI38">
            <v>97.2</v>
          </cell>
          <cell r="DJ38">
            <v>96.5</v>
          </cell>
        </row>
        <row r="39">
          <cell r="A39">
            <v>333</v>
          </cell>
          <cell r="B39">
            <v>-3.19813491944884E-3</v>
          </cell>
          <cell r="C39">
            <v>1.1985533670084E-2</v>
          </cell>
          <cell r="D39">
            <v>-6.7263413876959702E-4</v>
          </cell>
          <cell r="E39">
            <v>3.6529207843948898E-2</v>
          </cell>
          <cell r="F39">
            <v>5421</v>
          </cell>
          <cell r="G39">
            <v>2746</v>
          </cell>
          <cell r="H39">
            <v>530</v>
          </cell>
          <cell r="I39">
            <v>270</v>
          </cell>
          <cell r="J39">
            <v>4.7586965165825175E-2</v>
          </cell>
          <cell r="K39">
            <v>6.4582769765268125E-2</v>
          </cell>
          <cell r="L39">
            <v>525</v>
          </cell>
          <cell r="M39">
            <v>1075</v>
          </cell>
          <cell r="N39">
            <v>150</v>
          </cell>
          <cell r="O39">
            <v>638</v>
          </cell>
          <cell r="P39">
            <v>0</v>
          </cell>
          <cell r="Q39">
            <v>0</v>
          </cell>
          <cell r="R39">
            <v>0</v>
          </cell>
          <cell r="S39">
            <v>6277</v>
          </cell>
          <cell r="T39">
            <v>20895</v>
          </cell>
          <cell r="U39">
            <v>5261</v>
          </cell>
          <cell r="V39">
            <v>1242</v>
          </cell>
          <cell r="W39">
            <v>0</v>
          </cell>
          <cell r="X39">
            <v>1</v>
          </cell>
          <cell r="Y39">
            <v>1</v>
          </cell>
          <cell r="Z39">
            <v>0</v>
          </cell>
          <cell r="AA39">
            <v>736</v>
          </cell>
          <cell r="AB39">
            <v>0</v>
          </cell>
          <cell r="AC39">
            <v>0</v>
          </cell>
          <cell r="AD39">
            <v>0</v>
          </cell>
          <cell r="AE39">
            <v>3990</v>
          </cell>
          <cell r="AF39">
            <v>13493</v>
          </cell>
          <cell r="AG39">
            <v>3651</v>
          </cell>
          <cell r="AH39">
            <v>2038</v>
          </cell>
          <cell r="AI39">
            <v>0</v>
          </cell>
          <cell r="AJ39">
            <v>1</v>
          </cell>
          <cell r="AK39">
            <v>1</v>
          </cell>
          <cell r="AL39">
            <v>0</v>
          </cell>
          <cell r="AM39">
            <v>0</v>
          </cell>
          <cell r="AN39">
            <v>0</v>
          </cell>
          <cell r="AO39">
            <v>442</v>
          </cell>
          <cell r="AP39">
            <v>294</v>
          </cell>
          <cell r="AQ39">
            <v>0</v>
          </cell>
          <cell r="AX39">
            <v>4731</v>
          </cell>
          <cell r="AY39">
            <v>600</v>
          </cell>
          <cell r="AZ39">
            <v>180</v>
          </cell>
          <cell r="BA39">
            <v>30</v>
          </cell>
          <cell r="BB39">
            <v>270</v>
          </cell>
          <cell r="BC39">
            <v>180</v>
          </cell>
          <cell r="BD39">
            <v>0</v>
          </cell>
          <cell r="BE39">
            <v>128</v>
          </cell>
          <cell r="BF39">
            <v>0.31818181818181801</v>
          </cell>
          <cell r="BH39">
            <v>3702</v>
          </cell>
          <cell r="BI39">
            <v>5896</v>
          </cell>
          <cell r="BJ39">
            <v>14019</v>
          </cell>
          <cell r="BK39">
            <v>5297</v>
          </cell>
          <cell r="BL39">
            <v>2103</v>
          </cell>
          <cell r="BM39">
            <v>2658</v>
          </cell>
          <cell r="BN39">
            <v>30</v>
          </cell>
          <cell r="BO39">
            <v>150</v>
          </cell>
          <cell r="BP39">
            <v>480</v>
          </cell>
          <cell r="BQ39">
            <v>0</v>
          </cell>
          <cell r="BR39">
            <v>0</v>
          </cell>
          <cell r="BS39">
            <v>128</v>
          </cell>
          <cell r="BT39">
            <v>0.27272727272727298</v>
          </cell>
          <cell r="BV39">
            <v>2924</v>
          </cell>
          <cell r="BX39">
            <v>16333</v>
          </cell>
          <cell r="BY39">
            <v>4279</v>
          </cell>
          <cell r="BZ39">
            <v>3541</v>
          </cell>
          <cell r="CA39">
            <v>2658</v>
          </cell>
          <cell r="CB39">
            <v>14725.772191378077</v>
          </cell>
          <cell r="CC39">
            <v>6536.8650898524365</v>
          </cell>
          <cell r="CD39">
            <v>0</v>
          </cell>
          <cell r="CE39">
            <v>21745.528240373602</v>
          </cell>
          <cell r="CF39">
            <v>0</v>
          </cell>
          <cell r="CG39">
            <v>26200.107361898357</v>
          </cell>
          <cell r="CM39">
            <v>1</v>
          </cell>
          <cell r="CZ39">
            <v>0.29431679853925746</v>
          </cell>
          <cell r="DA39">
            <v>0.67660550458715596</v>
          </cell>
          <cell r="DB39">
            <v>94214989.109999999</v>
          </cell>
          <cell r="DC39">
            <v>91</v>
          </cell>
          <cell r="DD39">
            <v>4.7</v>
          </cell>
          <cell r="DE39">
            <v>0.9</v>
          </cell>
          <cell r="DF39">
            <v>74.5</v>
          </cell>
          <cell r="DG39">
            <v>11.3</v>
          </cell>
          <cell r="DH39">
            <v>4.2</v>
          </cell>
          <cell r="DI39">
            <v>96.6</v>
          </cell>
          <cell r="DJ39">
            <v>90</v>
          </cell>
        </row>
        <row r="40">
          <cell r="A40">
            <v>334</v>
          </cell>
          <cell r="B40">
            <v>9.0361445783132491E-3</v>
          </cell>
          <cell r="C40">
            <v>9.5645740858169501E-3</v>
          </cell>
          <cell r="D40">
            <v>3.96938643144377E-2</v>
          </cell>
          <cell r="E40">
            <v>1.26475548060708E-2</v>
          </cell>
          <cell r="F40">
            <v>601</v>
          </cell>
          <cell r="G40">
            <v>1161</v>
          </cell>
          <cell r="H40">
            <v>290</v>
          </cell>
          <cell r="I40">
            <v>50</v>
          </cell>
          <cell r="J40">
            <v>2.8271238538913324E-2</v>
          </cell>
          <cell r="K40">
            <v>7.1236396833615878E-2</v>
          </cell>
          <cell r="L40">
            <v>284</v>
          </cell>
          <cell r="M40">
            <v>150</v>
          </cell>
          <cell r="N40">
            <v>30</v>
          </cell>
          <cell r="O40">
            <v>30</v>
          </cell>
          <cell r="P40">
            <v>15</v>
          </cell>
          <cell r="Q40">
            <v>0</v>
          </cell>
          <cell r="R40">
            <v>0</v>
          </cell>
          <cell r="S40">
            <v>5288</v>
          </cell>
          <cell r="T40">
            <v>11296</v>
          </cell>
          <cell r="U40">
            <v>2689</v>
          </cell>
          <cell r="V40">
            <v>0</v>
          </cell>
          <cell r="W40">
            <v>0</v>
          </cell>
          <cell r="X40">
            <v>0.8</v>
          </cell>
          <cell r="Y40">
            <v>111</v>
          </cell>
          <cell r="Z40">
            <v>0</v>
          </cell>
          <cell r="AA40">
            <v>45</v>
          </cell>
          <cell r="AB40">
            <v>0</v>
          </cell>
          <cell r="AC40">
            <v>0</v>
          </cell>
          <cell r="AD40">
            <v>0</v>
          </cell>
          <cell r="AE40">
            <v>4557</v>
          </cell>
          <cell r="AF40">
            <v>8945</v>
          </cell>
          <cell r="AG40">
            <v>2630</v>
          </cell>
          <cell r="AH40">
            <v>1550</v>
          </cell>
          <cell r="AI40">
            <v>320</v>
          </cell>
          <cell r="AJ40">
            <v>1</v>
          </cell>
          <cell r="AK40">
            <v>1</v>
          </cell>
          <cell r="AL40">
            <v>0</v>
          </cell>
          <cell r="AM40">
            <v>0</v>
          </cell>
          <cell r="AN40">
            <v>45</v>
          </cell>
          <cell r="AO40">
            <v>0</v>
          </cell>
          <cell r="AP40">
            <v>0</v>
          </cell>
          <cell r="AQ40">
            <v>0</v>
          </cell>
          <cell r="AX40">
            <v>2930</v>
          </cell>
          <cell r="AY40">
            <v>320</v>
          </cell>
          <cell r="AZ40">
            <v>0</v>
          </cell>
          <cell r="BA40">
            <v>0</v>
          </cell>
          <cell r="BB40">
            <v>30</v>
          </cell>
          <cell r="BC40">
            <v>0</v>
          </cell>
          <cell r="BD40">
            <v>15</v>
          </cell>
          <cell r="BE40">
            <v>30</v>
          </cell>
          <cell r="BF40">
            <v>0</v>
          </cell>
          <cell r="BH40">
            <v>1470</v>
          </cell>
          <cell r="BI40">
            <v>615</v>
          </cell>
          <cell r="BJ40">
            <v>9714</v>
          </cell>
          <cell r="BK40">
            <v>2813</v>
          </cell>
          <cell r="BL40">
            <v>2565</v>
          </cell>
          <cell r="BM40">
            <v>2096</v>
          </cell>
          <cell r="BN40">
            <v>0</v>
          </cell>
          <cell r="BO40">
            <v>0</v>
          </cell>
          <cell r="BP40">
            <v>30</v>
          </cell>
          <cell r="BQ40">
            <v>0</v>
          </cell>
          <cell r="BR40">
            <v>15</v>
          </cell>
          <cell r="BS40">
            <v>30</v>
          </cell>
          <cell r="BT40">
            <v>0</v>
          </cell>
          <cell r="BV40">
            <v>735</v>
          </cell>
          <cell r="BX40">
            <v>8441</v>
          </cell>
          <cell r="BY40">
            <v>2817</v>
          </cell>
          <cell r="BZ40">
            <v>3266</v>
          </cell>
          <cell r="CA40">
            <v>2096</v>
          </cell>
          <cell r="CB40">
            <v>17846.911756937698</v>
          </cell>
          <cell r="CC40">
            <v>3774.3499123456741</v>
          </cell>
          <cell r="CD40">
            <v>0</v>
          </cell>
          <cell r="CE40">
            <v>13671.403362125009</v>
          </cell>
          <cell r="CF40">
            <v>0</v>
          </cell>
          <cell r="CG40">
            <v>0</v>
          </cell>
          <cell r="CM40">
            <v>0</v>
          </cell>
          <cell r="CZ40">
            <v>0.14387731210489346</v>
          </cell>
          <cell r="DA40">
            <v>0.34201980841045626</v>
          </cell>
          <cell r="DB40">
            <v>28191897.549999997</v>
          </cell>
          <cell r="DC40">
            <v>89.1</v>
          </cell>
          <cell r="DD40">
            <v>5.5</v>
          </cell>
          <cell r="DE40">
            <v>1.4</v>
          </cell>
          <cell r="DF40">
            <v>77.900000000000006</v>
          </cell>
          <cell r="DG40">
            <v>10.9</v>
          </cell>
          <cell r="DH40">
            <v>4.2</v>
          </cell>
          <cell r="DI40">
            <v>96</v>
          </cell>
          <cell r="DJ40">
            <v>93</v>
          </cell>
        </row>
        <row r="41">
          <cell r="A41">
            <v>335</v>
          </cell>
          <cell r="B41">
            <v>2.60690601417791E-2</v>
          </cell>
          <cell r="C41">
            <v>-1.1433798307797899E-4</v>
          </cell>
          <cell r="D41">
            <v>1.7433669875557601E-2</v>
          </cell>
          <cell r="E41">
            <v>-3.2871566095327501E-3</v>
          </cell>
          <cell r="F41">
            <v>1767</v>
          </cell>
          <cell r="G41">
            <v>0</v>
          </cell>
          <cell r="H41">
            <v>340</v>
          </cell>
          <cell r="I41">
            <v>240</v>
          </cell>
          <cell r="J41">
            <v>7.3287816149900292E-2</v>
          </cell>
          <cell r="K41">
            <v>6.6323292137642736E-2</v>
          </cell>
          <cell r="L41">
            <v>1050</v>
          </cell>
          <cell r="M41">
            <v>420</v>
          </cell>
          <cell r="N41">
            <v>0</v>
          </cell>
          <cell r="O41">
            <v>491</v>
          </cell>
          <cell r="P41">
            <v>0</v>
          </cell>
          <cell r="Q41">
            <v>0</v>
          </cell>
          <cell r="R41">
            <v>0</v>
          </cell>
          <cell r="S41">
            <v>3690</v>
          </cell>
          <cell r="T41">
            <v>16969</v>
          </cell>
          <cell r="U41">
            <v>3810</v>
          </cell>
          <cell r="V41">
            <v>1149</v>
          </cell>
          <cell r="W41">
            <v>0</v>
          </cell>
          <cell r="X41">
            <v>1</v>
          </cell>
          <cell r="Y41">
            <v>1</v>
          </cell>
          <cell r="Z41">
            <v>59</v>
          </cell>
          <cell r="AA41">
            <v>84</v>
          </cell>
          <cell r="AB41">
            <v>0</v>
          </cell>
          <cell r="AC41">
            <v>0</v>
          </cell>
          <cell r="AD41">
            <v>0</v>
          </cell>
          <cell r="AE41">
            <v>4556</v>
          </cell>
          <cell r="AF41">
            <v>10818</v>
          </cell>
          <cell r="AG41">
            <v>4947</v>
          </cell>
          <cell r="AH41">
            <v>1500</v>
          </cell>
          <cell r="AI41">
            <v>0</v>
          </cell>
          <cell r="AJ41">
            <v>1</v>
          </cell>
          <cell r="AK41">
            <v>1</v>
          </cell>
          <cell r="AL41">
            <v>0</v>
          </cell>
          <cell r="AM41">
            <v>0</v>
          </cell>
          <cell r="AN41">
            <v>0</v>
          </cell>
          <cell r="AO41">
            <v>59</v>
          </cell>
          <cell r="AP41">
            <v>84</v>
          </cell>
          <cell r="AQ41">
            <v>0</v>
          </cell>
          <cell r="AX41">
            <v>4105</v>
          </cell>
          <cell r="AY41">
            <v>300</v>
          </cell>
          <cell r="AZ41">
            <v>90</v>
          </cell>
          <cell r="BA41">
            <v>0</v>
          </cell>
          <cell r="BB41">
            <v>311</v>
          </cell>
          <cell r="BC41">
            <v>90</v>
          </cell>
          <cell r="BD41">
            <v>0</v>
          </cell>
          <cell r="BE41">
            <v>0</v>
          </cell>
          <cell r="BF41">
            <v>0.18329938900203699</v>
          </cell>
          <cell r="BH41">
            <v>2555</v>
          </cell>
          <cell r="BI41">
            <v>4607</v>
          </cell>
          <cell r="BJ41">
            <v>12081</v>
          </cell>
          <cell r="BK41">
            <v>3122</v>
          </cell>
          <cell r="BL41">
            <v>945</v>
          </cell>
          <cell r="BM41">
            <v>2308</v>
          </cell>
          <cell r="BN41">
            <v>90</v>
          </cell>
          <cell r="BO41">
            <v>0</v>
          </cell>
          <cell r="BP41">
            <v>311</v>
          </cell>
          <cell r="BQ41">
            <v>90</v>
          </cell>
          <cell r="BR41">
            <v>0</v>
          </cell>
          <cell r="BS41">
            <v>0</v>
          </cell>
          <cell r="BT41">
            <v>0.18329938900203699</v>
          </cell>
          <cell r="BV41">
            <v>1915</v>
          </cell>
          <cell r="BX41">
            <v>13110</v>
          </cell>
          <cell r="BY41">
            <v>1680</v>
          </cell>
          <cell r="BZ41">
            <v>2852</v>
          </cell>
          <cell r="CA41">
            <v>2308</v>
          </cell>
          <cell r="CB41">
            <v>24932.020937117792</v>
          </cell>
          <cell r="CC41">
            <v>0</v>
          </cell>
          <cell r="CD41">
            <v>0</v>
          </cell>
          <cell r="CE41">
            <v>0</v>
          </cell>
          <cell r="CF41">
            <v>0</v>
          </cell>
          <cell r="CG41">
            <v>0</v>
          </cell>
          <cell r="CM41">
            <v>0</v>
          </cell>
          <cell r="CZ41">
            <v>0.16802574161414024</v>
          </cell>
          <cell r="DA41">
            <v>0.24367067128215569</v>
          </cell>
          <cell r="DB41">
            <v>55316964.539999999</v>
          </cell>
          <cell r="DC41">
            <v>90</v>
          </cell>
          <cell r="DD41">
            <v>5.5</v>
          </cell>
          <cell r="DE41">
            <v>1.5</v>
          </cell>
          <cell r="DF41">
            <v>74.7</v>
          </cell>
          <cell r="DG41">
            <v>12.1</v>
          </cell>
          <cell r="DH41">
            <v>4.7</v>
          </cell>
          <cell r="DI41">
            <v>97</v>
          </cell>
          <cell r="DJ41">
            <v>91.5</v>
          </cell>
        </row>
        <row r="42">
          <cell r="A42">
            <v>336</v>
          </cell>
          <cell r="B42">
            <v>-2.4055990947571399E-2</v>
          </cell>
          <cell r="C42">
            <v>4.4423955408407004E-3</v>
          </cell>
          <cell r="D42">
            <v>-3.4917555771096002E-2</v>
          </cell>
          <cell r="E42">
            <v>5.5424691700152397E-4</v>
          </cell>
          <cell r="F42">
            <v>2230</v>
          </cell>
          <cell r="G42">
            <v>2971</v>
          </cell>
          <cell r="H42">
            <v>190</v>
          </cell>
          <cell r="I42">
            <v>140</v>
          </cell>
          <cell r="J42">
            <v>3.9258058054733813E-2</v>
          </cell>
          <cell r="K42">
            <v>5.2195545477330373E-2</v>
          </cell>
          <cell r="L42">
            <v>540</v>
          </cell>
          <cell r="M42">
            <v>620</v>
          </cell>
          <cell r="N42">
            <v>0</v>
          </cell>
          <cell r="O42">
            <v>0</v>
          </cell>
          <cell r="P42">
            <v>0</v>
          </cell>
          <cell r="Q42">
            <v>0</v>
          </cell>
          <cell r="R42">
            <v>0</v>
          </cell>
          <cell r="S42">
            <v>2687</v>
          </cell>
          <cell r="T42">
            <v>17342</v>
          </cell>
          <cell r="U42">
            <v>1193</v>
          </cell>
          <cell r="V42">
            <v>420</v>
          </cell>
          <cell r="W42">
            <v>630</v>
          </cell>
          <cell r="X42" t="str">
            <v>NULL</v>
          </cell>
          <cell r="Y42" t="str">
            <v>NULL</v>
          </cell>
          <cell r="Z42">
            <v>0</v>
          </cell>
          <cell r="AA42">
            <v>0</v>
          </cell>
          <cell r="AB42">
            <v>0</v>
          </cell>
          <cell r="AC42">
            <v>0</v>
          </cell>
          <cell r="AD42">
            <v>0</v>
          </cell>
          <cell r="AE42">
            <v>3264</v>
          </cell>
          <cell r="AF42">
            <v>8983</v>
          </cell>
          <cell r="AG42">
            <v>2088</v>
          </cell>
          <cell r="AH42">
            <v>1934</v>
          </cell>
          <cell r="AI42">
            <v>850</v>
          </cell>
          <cell r="AJ42" t="str">
            <v>NULL</v>
          </cell>
          <cell r="AK42" t="str">
            <v>NULL</v>
          </cell>
          <cell r="AL42">
            <v>0</v>
          </cell>
          <cell r="AM42">
            <v>0</v>
          </cell>
          <cell r="AN42">
            <v>0</v>
          </cell>
          <cell r="AO42">
            <v>0</v>
          </cell>
          <cell r="AP42">
            <v>0</v>
          </cell>
          <cell r="AQ42">
            <v>0</v>
          </cell>
          <cell r="AX42">
            <v>989</v>
          </cell>
          <cell r="AY42">
            <v>1440</v>
          </cell>
          <cell r="AZ42">
            <v>0</v>
          </cell>
          <cell r="BA42">
            <v>0</v>
          </cell>
          <cell r="BB42">
            <v>0</v>
          </cell>
          <cell r="BC42">
            <v>0</v>
          </cell>
          <cell r="BD42">
            <v>0</v>
          </cell>
          <cell r="BE42">
            <v>0</v>
          </cell>
          <cell r="BF42" t="str">
            <v>NULL</v>
          </cell>
          <cell r="BH42">
            <v>2342</v>
          </cell>
          <cell r="BI42">
            <v>2547</v>
          </cell>
          <cell r="BJ42">
            <v>10321</v>
          </cell>
          <cell r="BK42">
            <v>3359</v>
          </cell>
          <cell r="BL42">
            <v>778</v>
          </cell>
          <cell r="BM42">
            <v>2925</v>
          </cell>
          <cell r="BN42">
            <v>0</v>
          </cell>
          <cell r="BO42">
            <v>0</v>
          </cell>
          <cell r="BP42">
            <v>0</v>
          </cell>
          <cell r="BQ42">
            <v>0</v>
          </cell>
          <cell r="BR42">
            <v>0</v>
          </cell>
          <cell r="BS42">
            <v>0</v>
          </cell>
          <cell r="BT42" t="str">
            <v>NULL</v>
          </cell>
          <cell r="BV42">
            <v>4335</v>
          </cell>
          <cell r="BX42">
            <v>11716</v>
          </cell>
          <cell r="BY42">
            <v>1050</v>
          </cell>
          <cell r="BZ42">
            <v>1679</v>
          </cell>
          <cell r="CA42">
            <v>2295</v>
          </cell>
          <cell r="CB42">
            <v>20542.845775917791</v>
          </cell>
          <cell r="CC42">
            <v>15795.279307744833</v>
          </cell>
          <cell r="CD42">
            <v>0</v>
          </cell>
          <cell r="CE42">
            <v>0</v>
          </cell>
          <cell r="CF42">
            <v>0</v>
          </cell>
          <cell r="CG42">
            <v>0</v>
          </cell>
          <cell r="CM42">
            <v>0</v>
          </cell>
          <cell r="CZ42">
            <v>0.29776804338756779</v>
          </cell>
          <cell r="DA42">
            <v>0.39263354744288154</v>
          </cell>
          <cell r="DB42">
            <v>28489204.839999996</v>
          </cell>
          <cell r="DC42">
            <v>86.7</v>
          </cell>
          <cell r="DD42">
            <v>6.6</v>
          </cell>
          <cell r="DE42">
            <v>2.4</v>
          </cell>
          <cell r="DF42">
            <v>72.599999999999994</v>
          </cell>
          <cell r="DG42">
            <v>12.4</v>
          </cell>
          <cell r="DH42">
            <v>5.4</v>
          </cell>
          <cell r="DI42">
            <v>95.6</v>
          </cell>
          <cell r="DJ42">
            <v>90.4</v>
          </cell>
        </row>
        <row r="43">
          <cell r="A43">
            <v>340</v>
          </cell>
          <cell r="B43">
            <v>-9.34726258738512E-3</v>
          </cell>
          <cell r="C43">
            <v>4.4772602309323698E-3</v>
          </cell>
          <cell r="D43">
            <v>1.6640866873064999E-2</v>
          </cell>
          <cell r="E43">
            <v>1.3157894736842099E-2</v>
          </cell>
          <cell r="F43">
            <v>0</v>
          </cell>
          <cell r="G43">
            <v>0</v>
          </cell>
          <cell r="H43">
            <v>70</v>
          </cell>
          <cell r="I43">
            <v>0</v>
          </cell>
          <cell r="J43">
            <v>6.8058513347885916E-2</v>
          </cell>
          <cell r="K43">
            <v>0.18744981937083249</v>
          </cell>
          <cell r="L43">
            <v>0</v>
          </cell>
          <cell r="M43">
            <v>0</v>
          </cell>
          <cell r="N43">
            <v>0</v>
          </cell>
          <cell r="O43">
            <v>119</v>
          </cell>
          <cell r="P43">
            <v>85</v>
          </cell>
          <cell r="Q43">
            <v>0</v>
          </cell>
          <cell r="R43">
            <v>0</v>
          </cell>
          <cell r="S43">
            <v>1229</v>
          </cell>
          <cell r="T43">
            <v>10095</v>
          </cell>
          <cell r="U43">
            <v>2297</v>
          </cell>
          <cell r="V43">
            <v>0</v>
          </cell>
          <cell r="W43">
            <v>0</v>
          </cell>
          <cell r="X43">
            <v>0.58333333333333304</v>
          </cell>
          <cell r="Y43">
            <v>123</v>
          </cell>
          <cell r="Z43">
            <v>0</v>
          </cell>
          <cell r="AA43">
            <v>33</v>
          </cell>
          <cell r="AB43">
            <v>0</v>
          </cell>
          <cell r="AC43">
            <v>167</v>
          </cell>
          <cell r="AD43">
            <v>0</v>
          </cell>
          <cell r="AE43">
            <v>0</v>
          </cell>
          <cell r="AF43">
            <v>1383</v>
          </cell>
          <cell r="AG43">
            <v>3268</v>
          </cell>
          <cell r="AH43">
            <v>2268</v>
          </cell>
          <cell r="AI43">
            <v>0</v>
          </cell>
          <cell r="AJ43">
            <v>0.16500000000000001</v>
          </cell>
          <cell r="AK43">
            <v>99</v>
          </cell>
          <cell r="AL43">
            <v>0</v>
          </cell>
          <cell r="AM43">
            <v>0</v>
          </cell>
          <cell r="AN43">
            <v>0</v>
          </cell>
          <cell r="AO43">
            <v>33</v>
          </cell>
          <cell r="AP43">
            <v>167</v>
          </cell>
          <cell r="AQ43">
            <v>0</v>
          </cell>
          <cell r="AX43">
            <v>5536</v>
          </cell>
          <cell r="AY43">
            <v>0</v>
          </cell>
          <cell r="AZ43">
            <v>33</v>
          </cell>
          <cell r="BA43">
            <v>0</v>
          </cell>
          <cell r="BB43">
            <v>171</v>
          </cell>
          <cell r="BC43">
            <v>0</v>
          </cell>
          <cell r="BD43">
            <v>0</v>
          </cell>
          <cell r="BE43">
            <v>0</v>
          </cell>
          <cell r="BF43">
            <v>0.161764705882353</v>
          </cell>
          <cell r="BH43">
            <v>1551</v>
          </cell>
          <cell r="BI43">
            <v>1510</v>
          </cell>
          <cell r="BJ43">
            <v>6402</v>
          </cell>
          <cell r="BK43">
            <v>1644</v>
          </cell>
          <cell r="BL43">
            <v>1034</v>
          </cell>
          <cell r="BM43">
            <v>1480</v>
          </cell>
          <cell r="BN43">
            <v>0</v>
          </cell>
          <cell r="BO43">
            <v>0</v>
          </cell>
          <cell r="BP43">
            <v>204</v>
          </cell>
          <cell r="BQ43">
            <v>0</v>
          </cell>
          <cell r="BR43">
            <v>0</v>
          </cell>
          <cell r="BS43">
            <v>0</v>
          </cell>
          <cell r="BT43">
            <v>0</v>
          </cell>
          <cell r="BV43">
            <v>1137</v>
          </cell>
          <cell r="BX43">
            <v>8029</v>
          </cell>
          <cell r="BY43">
            <v>404</v>
          </cell>
          <cell r="BZ43">
            <v>1516</v>
          </cell>
          <cell r="CA43">
            <v>1480</v>
          </cell>
          <cell r="CB43">
            <v>0</v>
          </cell>
          <cell r="CC43">
            <v>0</v>
          </cell>
          <cell r="CD43">
            <v>0</v>
          </cell>
          <cell r="CE43">
            <v>0</v>
          </cell>
          <cell r="CF43">
            <v>0</v>
          </cell>
          <cell r="CG43">
            <v>0</v>
          </cell>
          <cell r="CM43">
            <v>0</v>
          </cell>
          <cell r="CZ43">
            <v>8.5693057046148768E-2</v>
          </cell>
          <cell r="DA43">
            <v>-0.20935688655810103</v>
          </cell>
          <cell r="DB43">
            <v>3021161.4000000004</v>
          </cell>
          <cell r="DC43">
            <v>91.9</v>
          </cell>
          <cell r="DD43">
            <v>4.7</v>
          </cell>
          <cell r="DE43">
            <v>1.4</v>
          </cell>
          <cell r="DF43">
            <v>85.8</v>
          </cell>
          <cell r="DG43">
            <v>7.2</v>
          </cell>
          <cell r="DH43">
            <v>3.4</v>
          </cell>
          <cell r="DI43">
            <v>98</v>
          </cell>
          <cell r="DJ43">
            <v>96.4</v>
          </cell>
        </row>
        <row r="44">
          <cell r="A44">
            <v>341</v>
          </cell>
          <cell r="B44">
            <v>3.8125323384439401E-4</v>
          </cell>
          <cell r="C44">
            <v>2.5326107676806198E-3</v>
          </cell>
          <cell r="D44">
            <v>2.4416940304790801E-3</v>
          </cell>
          <cell r="E44">
            <v>1.33872189946956E-2</v>
          </cell>
          <cell r="F44">
            <v>2711</v>
          </cell>
          <cell r="G44">
            <v>0</v>
          </cell>
          <cell r="H44">
            <v>1250</v>
          </cell>
          <cell r="I44">
            <v>140</v>
          </cell>
          <cell r="J44">
            <v>5.2336977294275014E-2</v>
          </cell>
          <cell r="K44">
            <v>9.4856887119962208E-2</v>
          </cell>
          <cell r="L44">
            <v>0</v>
          </cell>
          <cell r="M44">
            <v>249</v>
          </cell>
          <cell r="N44">
            <v>75</v>
          </cell>
          <cell r="O44">
            <v>69</v>
          </cell>
          <cell r="P44">
            <v>15</v>
          </cell>
          <cell r="Q44">
            <v>0</v>
          </cell>
          <cell r="R44">
            <v>0</v>
          </cell>
          <cell r="S44">
            <v>6077</v>
          </cell>
          <cell r="T44">
            <v>24835</v>
          </cell>
          <cell r="U44">
            <v>5827</v>
          </cell>
          <cell r="V44">
            <v>1065</v>
          </cell>
          <cell r="W44">
            <v>0</v>
          </cell>
          <cell r="X44">
            <v>0.90566037735849103</v>
          </cell>
          <cell r="Y44">
            <v>89</v>
          </cell>
          <cell r="Z44">
            <v>0</v>
          </cell>
          <cell r="AA44">
            <v>0</v>
          </cell>
          <cell r="AB44">
            <v>0</v>
          </cell>
          <cell r="AC44">
            <v>0</v>
          </cell>
          <cell r="AD44">
            <v>0</v>
          </cell>
          <cell r="AE44">
            <v>3701</v>
          </cell>
          <cell r="AF44">
            <v>12877</v>
          </cell>
          <cell r="AG44">
            <v>15498</v>
          </cell>
          <cell r="AH44">
            <v>750</v>
          </cell>
          <cell r="AI44">
            <v>150</v>
          </cell>
          <cell r="AJ44" t="str">
            <v>NULL</v>
          </cell>
          <cell r="AK44" t="str">
            <v>NULL</v>
          </cell>
          <cell r="AL44">
            <v>0</v>
          </cell>
          <cell r="AM44">
            <v>0</v>
          </cell>
          <cell r="AN44">
            <v>0</v>
          </cell>
          <cell r="AO44">
            <v>0</v>
          </cell>
          <cell r="AP44">
            <v>0</v>
          </cell>
          <cell r="AQ44">
            <v>0</v>
          </cell>
          <cell r="AX44">
            <v>7683</v>
          </cell>
          <cell r="AY44">
            <v>1250</v>
          </cell>
          <cell r="AZ44">
            <v>0</v>
          </cell>
          <cell r="BA44">
            <v>69</v>
          </cell>
          <cell r="BB44">
            <v>15</v>
          </cell>
          <cell r="BC44">
            <v>0</v>
          </cell>
          <cell r="BD44">
            <v>0</v>
          </cell>
          <cell r="BE44">
            <v>75</v>
          </cell>
          <cell r="BF44">
            <v>0.82142857142857095</v>
          </cell>
          <cell r="BH44">
            <v>6253</v>
          </cell>
          <cell r="BI44">
            <v>4579</v>
          </cell>
          <cell r="BJ44">
            <v>15076</v>
          </cell>
          <cell r="BK44">
            <v>6041</v>
          </cell>
          <cell r="BL44">
            <v>2335</v>
          </cell>
          <cell r="BM44">
            <v>3520</v>
          </cell>
          <cell r="BN44">
            <v>0</v>
          </cell>
          <cell r="BO44">
            <v>69</v>
          </cell>
          <cell r="BP44">
            <v>15</v>
          </cell>
          <cell r="BQ44">
            <v>0</v>
          </cell>
          <cell r="BR44">
            <v>0</v>
          </cell>
          <cell r="BS44">
            <v>75</v>
          </cell>
          <cell r="BT44">
            <v>0.82142857142857095</v>
          </cell>
          <cell r="BV44">
            <v>3970</v>
          </cell>
          <cell r="BX44">
            <v>17724</v>
          </cell>
          <cell r="BY44">
            <v>3980</v>
          </cell>
          <cell r="BZ44">
            <v>4100</v>
          </cell>
          <cell r="CA44">
            <v>3520</v>
          </cell>
          <cell r="CB44">
            <v>15549.315346456913</v>
          </cell>
          <cell r="CC44">
            <v>0</v>
          </cell>
          <cell r="CD44">
            <v>0</v>
          </cell>
          <cell r="CE44">
            <v>21974.763832658569</v>
          </cell>
          <cell r="CF44">
            <v>0</v>
          </cell>
          <cell r="CG44">
            <v>0</v>
          </cell>
          <cell r="CM44">
            <v>0</v>
          </cell>
          <cell r="CZ44">
            <v>0.20116029764156892</v>
          </cell>
          <cell r="DA44">
            <v>0.14796740882750206</v>
          </cell>
          <cell r="DB44">
            <v>56562148.329999998</v>
          </cell>
          <cell r="DC44">
            <v>90.1</v>
          </cell>
          <cell r="DD44">
            <v>5.8</v>
          </cell>
          <cell r="DE44">
            <v>1.3</v>
          </cell>
          <cell r="DF44">
            <v>70.400000000000006</v>
          </cell>
          <cell r="DG44">
            <v>12.6</v>
          </cell>
          <cell r="DH44">
            <v>5.8</v>
          </cell>
          <cell r="DI44">
            <v>97.2</v>
          </cell>
          <cell r="DJ44">
            <v>88.8</v>
          </cell>
        </row>
        <row r="45">
          <cell r="A45">
            <v>342</v>
          </cell>
          <cell r="B45">
            <v>-1.43977288089766E-2</v>
          </cell>
          <cell r="C45">
            <v>7.7058266864945303E-3</v>
          </cell>
          <cell r="D45">
            <v>-2.15006581834138E-2</v>
          </cell>
          <cell r="E45">
            <v>1.28345765686705E-2</v>
          </cell>
          <cell r="F45">
            <v>1298</v>
          </cell>
          <cell r="G45">
            <v>636</v>
          </cell>
          <cell r="H45">
            <v>180</v>
          </cell>
          <cell r="I45">
            <v>60</v>
          </cell>
          <cell r="J45">
            <v>7.8241678089141037E-2</v>
          </cell>
          <cell r="K45">
            <v>0.10192592814696921</v>
          </cell>
          <cell r="L45">
            <v>0</v>
          </cell>
          <cell r="M45">
            <v>0</v>
          </cell>
          <cell r="N45">
            <v>15</v>
          </cell>
          <cell r="O45">
            <v>120</v>
          </cell>
          <cell r="P45">
            <v>115</v>
          </cell>
          <cell r="Q45">
            <v>0</v>
          </cell>
          <cell r="R45">
            <v>0</v>
          </cell>
          <cell r="S45">
            <v>4345</v>
          </cell>
          <cell r="T45">
            <v>9235</v>
          </cell>
          <cell r="U45">
            <v>2175</v>
          </cell>
          <cell r="V45">
            <v>0</v>
          </cell>
          <cell r="W45">
            <v>0</v>
          </cell>
          <cell r="X45">
            <v>0.54</v>
          </cell>
          <cell r="Y45">
            <v>128</v>
          </cell>
          <cell r="Z45">
            <v>0</v>
          </cell>
          <cell r="AA45">
            <v>263</v>
          </cell>
          <cell r="AB45">
            <v>0</v>
          </cell>
          <cell r="AC45">
            <v>0</v>
          </cell>
          <cell r="AD45">
            <v>0</v>
          </cell>
          <cell r="AE45">
            <v>0</v>
          </cell>
          <cell r="AF45">
            <v>7166</v>
          </cell>
          <cell r="AG45">
            <v>3636</v>
          </cell>
          <cell r="AH45">
            <v>750</v>
          </cell>
          <cell r="AI45">
            <v>0</v>
          </cell>
          <cell r="AJ45">
            <v>1</v>
          </cell>
          <cell r="AK45">
            <v>1</v>
          </cell>
          <cell r="AL45">
            <v>0</v>
          </cell>
          <cell r="AM45">
            <v>0</v>
          </cell>
          <cell r="AN45">
            <v>39</v>
          </cell>
          <cell r="AO45">
            <v>52</v>
          </cell>
          <cell r="AP45">
            <v>172</v>
          </cell>
          <cell r="AQ45">
            <v>0</v>
          </cell>
          <cell r="AX45">
            <v>2860</v>
          </cell>
          <cell r="AY45">
            <v>0</v>
          </cell>
          <cell r="AZ45">
            <v>0</v>
          </cell>
          <cell r="BA45">
            <v>0</v>
          </cell>
          <cell r="BB45">
            <v>130</v>
          </cell>
          <cell r="BC45">
            <v>105</v>
          </cell>
          <cell r="BD45">
            <v>15</v>
          </cell>
          <cell r="BE45">
            <v>0</v>
          </cell>
          <cell r="BF45">
            <v>0</v>
          </cell>
          <cell r="BH45">
            <v>1259</v>
          </cell>
          <cell r="BI45">
            <v>1334</v>
          </cell>
          <cell r="BJ45">
            <v>7262</v>
          </cell>
          <cell r="BK45">
            <v>4126</v>
          </cell>
          <cell r="BL45">
            <v>1384</v>
          </cell>
          <cell r="BM45">
            <v>390</v>
          </cell>
          <cell r="BN45">
            <v>0</v>
          </cell>
          <cell r="BO45">
            <v>0</v>
          </cell>
          <cell r="BP45">
            <v>235</v>
          </cell>
          <cell r="BQ45">
            <v>15</v>
          </cell>
          <cell r="BR45">
            <v>0</v>
          </cell>
          <cell r="BS45">
            <v>0</v>
          </cell>
          <cell r="BT45">
            <v>0</v>
          </cell>
          <cell r="BV45">
            <v>630</v>
          </cell>
          <cell r="BX45">
            <v>9981</v>
          </cell>
          <cell r="BY45">
            <v>1260</v>
          </cell>
          <cell r="BZ45">
            <v>2410</v>
          </cell>
          <cell r="CA45">
            <v>390</v>
          </cell>
          <cell r="CB45">
            <v>6354.3938394231382</v>
          </cell>
          <cell r="CC45">
            <v>12982.167549915002</v>
          </cell>
          <cell r="CD45">
            <v>0</v>
          </cell>
          <cell r="CE45">
            <v>0</v>
          </cell>
          <cell r="CF45">
            <v>0</v>
          </cell>
          <cell r="CG45">
            <v>0</v>
          </cell>
          <cell r="CM45">
            <v>0</v>
          </cell>
          <cell r="CZ45">
            <v>0.10788751205757958</v>
          </cell>
          <cell r="DA45">
            <v>1.1374211560335022E-2</v>
          </cell>
          <cell r="DB45">
            <v>18364341.73</v>
          </cell>
          <cell r="DC45">
            <v>92.7</v>
          </cell>
          <cell r="DD45">
            <v>4.5</v>
          </cell>
          <cell r="DE45">
            <v>1</v>
          </cell>
          <cell r="DF45">
            <v>96.3</v>
          </cell>
          <cell r="DG45">
            <v>2.5</v>
          </cell>
          <cell r="DH45">
            <v>0.2</v>
          </cell>
          <cell r="DI45">
            <v>98.2</v>
          </cell>
          <cell r="DJ45">
            <v>99</v>
          </cell>
        </row>
        <row r="46">
          <cell r="A46">
            <v>343</v>
          </cell>
          <cell r="B46">
            <v>-1.87135062697425E-2</v>
          </cell>
          <cell r="C46">
            <v>-9.5721259691777604E-5</v>
          </cell>
          <cell r="D46">
            <v>3.2187323146576102E-2</v>
          </cell>
          <cell r="E46">
            <v>1.93123938879457E-2</v>
          </cell>
          <cell r="F46">
            <v>4</v>
          </cell>
          <cell r="G46">
            <v>0</v>
          </cell>
          <cell r="H46">
            <v>50</v>
          </cell>
          <cell r="I46">
            <v>90</v>
          </cell>
          <cell r="J46">
            <v>5.7644008498650631E-2</v>
          </cell>
          <cell r="K46">
            <v>0.16248663462536897</v>
          </cell>
          <cell r="L46">
            <v>0</v>
          </cell>
          <cell r="M46">
            <v>0</v>
          </cell>
          <cell r="N46">
            <v>35</v>
          </cell>
          <cell r="O46">
            <v>350</v>
          </cell>
          <cell r="P46">
            <v>0</v>
          </cell>
          <cell r="Q46">
            <v>0</v>
          </cell>
          <cell r="R46">
            <v>0</v>
          </cell>
          <cell r="S46">
            <v>2912</v>
          </cell>
          <cell r="T46">
            <v>18400</v>
          </cell>
          <cell r="U46">
            <v>630</v>
          </cell>
          <cell r="V46">
            <v>0</v>
          </cell>
          <cell r="W46">
            <v>0</v>
          </cell>
          <cell r="X46">
            <v>1</v>
          </cell>
          <cell r="Y46">
            <v>1</v>
          </cell>
          <cell r="Z46">
            <v>162</v>
          </cell>
          <cell r="AA46">
            <v>0</v>
          </cell>
          <cell r="AB46">
            <v>0</v>
          </cell>
          <cell r="AC46">
            <v>0</v>
          </cell>
          <cell r="AD46">
            <v>0</v>
          </cell>
          <cell r="AE46">
            <v>4003</v>
          </cell>
          <cell r="AF46">
            <v>7458</v>
          </cell>
          <cell r="AG46">
            <v>5270</v>
          </cell>
          <cell r="AH46">
            <v>1779</v>
          </cell>
          <cell r="AI46">
            <v>0</v>
          </cell>
          <cell r="AJ46">
            <v>1</v>
          </cell>
          <cell r="AK46">
            <v>1</v>
          </cell>
          <cell r="AL46">
            <v>0</v>
          </cell>
          <cell r="AM46">
            <v>56</v>
          </cell>
          <cell r="AN46">
            <v>106</v>
          </cell>
          <cell r="AO46">
            <v>0</v>
          </cell>
          <cell r="AP46">
            <v>0</v>
          </cell>
          <cell r="AQ46">
            <v>0</v>
          </cell>
          <cell r="AX46">
            <v>3805</v>
          </cell>
          <cell r="AY46">
            <v>0</v>
          </cell>
          <cell r="AZ46">
            <v>55</v>
          </cell>
          <cell r="BA46">
            <v>0</v>
          </cell>
          <cell r="BB46">
            <v>275</v>
          </cell>
          <cell r="BC46">
            <v>20</v>
          </cell>
          <cell r="BD46">
            <v>0</v>
          </cell>
          <cell r="BE46">
            <v>35</v>
          </cell>
          <cell r="BF46">
            <v>0.157142857142857</v>
          </cell>
          <cell r="BH46">
            <v>3070</v>
          </cell>
          <cell r="BI46">
            <v>4868</v>
          </cell>
          <cell r="BJ46">
            <v>8895</v>
          </cell>
          <cell r="BK46">
            <v>2894</v>
          </cell>
          <cell r="BL46">
            <v>735</v>
          </cell>
          <cell r="BM46">
            <v>1480</v>
          </cell>
          <cell r="BN46">
            <v>0</v>
          </cell>
          <cell r="BO46">
            <v>55</v>
          </cell>
          <cell r="BP46">
            <v>275</v>
          </cell>
          <cell r="BQ46">
            <v>20</v>
          </cell>
          <cell r="BR46">
            <v>0</v>
          </cell>
          <cell r="BS46">
            <v>35</v>
          </cell>
          <cell r="BT46">
            <v>0.157142857142857</v>
          </cell>
          <cell r="BV46">
            <v>2561</v>
          </cell>
          <cell r="BX46">
            <v>12355</v>
          </cell>
          <cell r="BY46">
            <v>1844</v>
          </cell>
          <cell r="BZ46">
            <v>420</v>
          </cell>
          <cell r="CA46">
            <v>1480</v>
          </cell>
          <cell r="CB46">
            <v>11071.021056011268</v>
          </cell>
          <cell r="CC46">
            <v>0</v>
          </cell>
          <cell r="CD46">
            <v>0</v>
          </cell>
          <cell r="CE46">
            <v>0</v>
          </cell>
          <cell r="CF46">
            <v>0</v>
          </cell>
          <cell r="CG46">
            <v>0</v>
          </cell>
          <cell r="CM46">
            <v>0</v>
          </cell>
          <cell r="CZ46">
            <v>6.9252217997465143E-2</v>
          </cell>
          <cell r="DA46">
            <v>-0.11957040572792363</v>
          </cell>
          <cell r="DB46">
            <v>11696194.91</v>
          </cell>
          <cell r="DC46">
            <v>88.6</v>
          </cell>
          <cell r="DD46">
            <v>6.3</v>
          </cell>
          <cell r="DE46">
            <v>1.8</v>
          </cell>
          <cell r="DF46">
            <v>86.1</v>
          </cell>
          <cell r="DG46">
            <v>9.5</v>
          </cell>
          <cell r="DH46">
            <v>1.6</v>
          </cell>
          <cell r="DI46">
            <v>96.7</v>
          </cell>
          <cell r="DJ46">
            <v>97.1</v>
          </cell>
        </row>
        <row r="47">
          <cell r="A47">
            <v>344</v>
          </cell>
          <cell r="B47">
            <v>-2.5009619084263202E-3</v>
          </cell>
          <cell r="C47">
            <v>3.7322046941131201E-3</v>
          </cell>
          <cell r="D47">
            <v>2.2342508349648699E-2</v>
          </cell>
          <cell r="E47">
            <v>1.47414488080157E-2</v>
          </cell>
          <cell r="F47">
            <v>746</v>
          </cell>
          <cell r="G47">
            <v>0</v>
          </cell>
          <cell r="H47">
            <v>100</v>
          </cell>
          <cell r="I47">
            <v>0</v>
          </cell>
          <cell r="J47">
            <v>8.847345484788513E-2</v>
          </cell>
          <cell r="K47">
            <v>9.5214998516597052E-2</v>
          </cell>
          <cell r="L47">
            <v>42</v>
          </cell>
          <cell r="M47">
            <v>0</v>
          </cell>
          <cell r="N47">
            <v>27</v>
          </cell>
          <cell r="O47">
            <v>102</v>
          </cell>
          <cell r="P47">
            <v>0</v>
          </cell>
          <cell r="Q47">
            <v>0</v>
          </cell>
          <cell r="R47">
            <v>0</v>
          </cell>
          <cell r="S47">
            <v>5174</v>
          </cell>
          <cell r="T47">
            <v>19894</v>
          </cell>
          <cell r="U47">
            <v>2910</v>
          </cell>
          <cell r="V47">
            <v>241</v>
          </cell>
          <cell r="W47">
            <v>0</v>
          </cell>
          <cell r="X47">
            <v>1</v>
          </cell>
          <cell r="Y47">
            <v>1</v>
          </cell>
          <cell r="Z47">
            <v>0</v>
          </cell>
          <cell r="AA47">
            <v>0</v>
          </cell>
          <cell r="AB47">
            <v>0</v>
          </cell>
          <cell r="AC47">
            <v>0</v>
          </cell>
          <cell r="AD47">
            <v>0</v>
          </cell>
          <cell r="AE47">
            <v>8776</v>
          </cell>
          <cell r="AF47">
            <v>8271</v>
          </cell>
          <cell r="AG47">
            <v>5227</v>
          </cell>
          <cell r="AH47">
            <v>0</v>
          </cell>
          <cell r="AI47">
            <v>0</v>
          </cell>
          <cell r="AJ47" t="str">
            <v>NULL</v>
          </cell>
          <cell r="AK47" t="str">
            <v>NULL</v>
          </cell>
          <cell r="AL47">
            <v>0</v>
          </cell>
          <cell r="AM47">
            <v>0</v>
          </cell>
          <cell r="AN47">
            <v>0</v>
          </cell>
          <cell r="AO47">
            <v>0</v>
          </cell>
          <cell r="AP47">
            <v>0</v>
          </cell>
          <cell r="AQ47">
            <v>0</v>
          </cell>
          <cell r="AX47">
            <v>4754</v>
          </cell>
          <cell r="AY47">
            <v>0</v>
          </cell>
          <cell r="AZ47">
            <v>0</v>
          </cell>
          <cell r="BA47">
            <v>0</v>
          </cell>
          <cell r="BB47">
            <v>102</v>
          </cell>
          <cell r="BC47">
            <v>0</v>
          </cell>
          <cell r="BD47">
            <v>0</v>
          </cell>
          <cell r="BE47">
            <v>27</v>
          </cell>
          <cell r="BF47">
            <v>0</v>
          </cell>
          <cell r="BH47">
            <v>1388</v>
          </cell>
          <cell r="BI47">
            <v>3193</v>
          </cell>
          <cell r="BJ47">
            <v>16102</v>
          </cell>
          <cell r="BK47">
            <v>4211</v>
          </cell>
          <cell r="BL47">
            <v>1832</v>
          </cell>
          <cell r="BM47">
            <v>1493</v>
          </cell>
          <cell r="BN47">
            <v>0</v>
          </cell>
          <cell r="BO47">
            <v>0</v>
          </cell>
          <cell r="BP47">
            <v>53</v>
          </cell>
          <cell r="BQ47">
            <v>49</v>
          </cell>
          <cell r="BR47">
            <v>0</v>
          </cell>
          <cell r="BS47">
            <v>27</v>
          </cell>
          <cell r="BT47">
            <v>0</v>
          </cell>
          <cell r="BV47">
            <v>0</v>
          </cell>
          <cell r="BX47">
            <v>19518</v>
          </cell>
          <cell r="BY47">
            <v>2219</v>
          </cell>
          <cell r="BZ47">
            <v>1659</v>
          </cell>
          <cell r="CA47">
            <v>1668</v>
          </cell>
          <cell r="CB47">
            <v>10152.63758421212</v>
          </cell>
          <cell r="CC47">
            <v>0</v>
          </cell>
          <cell r="CD47">
            <v>0</v>
          </cell>
          <cell r="CE47">
            <v>0</v>
          </cell>
          <cell r="CF47">
            <v>0</v>
          </cell>
          <cell r="CG47">
            <v>0</v>
          </cell>
          <cell r="CM47">
            <v>0</v>
          </cell>
          <cell r="CZ47">
            <v>9.8397395238699309E-2</v>
          </cell>
          <cell r="DA47">
            <v>8.813669298150752E-3</v>
          </cell>
          <cell r="DB47">
            <v>10319571.82</v>
          </cell>
          <cell r="DC47">
            <v>92.7</v>
          </cell>
          <cell r="DD47">
            <v>4.3</v>
          </cell>
          <cell r="DE47">
            <v>1.3</v>
          </cell>
          <cell r="DF47">
            <v>85.3</v>
          </cell>
          <cell r="DG47">
            <v>7.8</v>
          </cell>
          <cell r="DH47">
            <v>2.1</v>
          </cell>
          <cell r="DI47">
            <v>98.3</v>
          </cell>
          <cell r="DJ47">
            <v>95.2</v>
          </cell>
        </row>
        <row r="48">
          <cell r="A48">
            <v>350</v>
          </cell>
          <cell r="B48">
            <v>-5.0190005019000502E-3</v>
          </cell>
          <cell r="C48">
            <v>7.0983007098300698E-3</v>
          </cell>
          <cell r="D48">
            <v>-4.5094525062149499E-3</v>
          </cell>
          <cell r="E48">
            <v>4.6250794935538001E-3</v>
          </cell>
          <cell r="F48">
            <v>4908</v>
          </cell>
          <cell r="G48">
            <v>1870</v>
          </cell>
          <cell r="H48">
            <v>730</v>
          </cell>
          <cell r="I48">
            <v>10</v>
          </cell>
          <cell r="J48">
            <v>2.7515980302118055E-2</v>
          </cell>
          <cell r="K48">
            <v>8.6123496905675889E-2</v>
          </cell>
          <cell r="L48">
            <v>75</v>
          </cell>
          <cell r="M48">
            <v>1705</v>
          </cell>
          <cell r="N48">
            <v>75</v>
          </cell>
          <cell r="O48">
            <v>20</v>
          </cell>
          <cell r="P48">
            <v>0</v>
          </cell>
          <cell r="Q48">
            <v>0</v>
          </cell>
          <cell r="R48">
            <v>0</v>
          </cell>
          <cell r="S48">
            <v>7575</v>
          </cell>
          <cell r="T48">
            <v>16783</v>
          </cell>
          <cell r="U48">
            <v>2962</v>
          </cell>
          <cell r="V48">
            <v>840</v>
          </cell>
          <cell r="W48">
            <v>420</v>
          </cell>
          <cell r="X48">
            <v>1</v>
          </cell>
          <cell r="Y48">
            <v>1</v>
          </cell>
          <cell r="Z48">
            <v>0</v>
          </cell>
          <cell r="AA48">
            <v>48</v>
          </cell>
          <cell r="AB48">
            <v>0</v>
          </cell>
          <cell r="AC48">
            <v>0</v>
          </cell>
          <cell r="AD48">
            <v>0</v>
          </cell>
          <cell r="AE48">
            <v>3998</v>
          </cell>
          <cell r="AF48">
            <v>13218</v>
          </cell>
          <cell r="AG48">
            <v>3220</v>
          </cell>
          <cell r="AH48">
            <v>600</v>
          </cell>
          <cell r="AI48">
            <v>0</v>
          </cell>
          <cell r="AJ48">
            <v>1</v>
          </cell>
          <cell r="AK48">
            <v>1</v>
          </cell>
          <cell r="AL48">
            <v>0</v>
          </cell>
          <cell r="AM48">
            <v>0</v>
          </cell>
          <cell r="AN48">
            <v>0</v>
          </cell>
          <cell r="AO48">
            <v>48</v>
          </cell>
          <cell r="AP48">
            <v>0</v>
          </cell>
          <cell r="AQ48">
            <v>0</v>
          </cell>
          <cell r="AX48">
            <v>1450</v>
          </cell>
          <cell r="AY48">
            <v>4205</v>
          </cell>
          <cell r="AZ48">
            <v>60</v>
          </cell>
          <cell r="BA48">
            <v>0</v>
          </cell>
          <cell r="BB48">
            <v>35</v>
          </cell>
          <cell r="BC48">
            <v>0</v>
          </cell>
          <cell r="BD48">
            <v>0</v>
          </cell>
          <cell r="BE48">
            <v>0</v>
          </cell>
          <cell r="BF48">
            <v>0.63157894736842102</v>
          </cell>
          <cell r="BH48">
            <v>5125</v>
          </cell>
          <cell r="BI48">
            <v>3840</v>
          </cell>
          <cell r="BJ48">
            <v>14032</v>
          </cell>
          <cell r="BK48">
            <v>2625</v>
          </cell>
          <cell r="BL48">
            <v>798</v>
          </cell>
          <cell r="BM48">
            <v>2160</v>
          </cell>
          <cell r="BN48">
            <v>60</v>
          </cell>
          <cell r="BO48">
            <v>20</v>
          </cell>
          <cell r="BP48">
            <v>15</v>
          </cell>
          <cell r="BQ48">
            <v>0</v>
          </cell>
          <cell r="BR48">
            <v>0</v>
          </cell>
          <cell r="BS48">
            <v>0</v>
          </cell>
          <cell r="BT48">
            <v>0.84210526315789502</v>
          </cell>
          <cell r="BV48">
            <v>2955</v>
          </cell>
          <cell r="BX48">
            <v>17507</v>
          </cell>
          <cell r="BY48">
            <v>1848</v>
          </cell>
          <cell r="BZ48">
            <v>840</v>
          </cell>
          <cell r="CA48">
            <v>2160</v>
          </cell>
          <cell r="CB48">
            <v>16171.003717472118</v>
          </cell>
          <cell r="CC48">
            <v>9961.2429532642309</v>
          </cell>
          <cell r="CD48">
            <v>51111.111111111109</v>
          </cell>
          <cell r="CE48">
            <v>0</v>
          </cell>
          <cell r="CF48">
            <v>0</v>
          </cell>
          <cell r="CG48">
            <v>0</v>
          </cell>
          <cell r="CM48">
            <v>0</v>
          </cell>
          <cell r="CZ48">
            <v>0.26607402191612023</v>
          </cell>
          <cell r="DA48">
            <v>0.23556714140386573</v>
          </cell>
          <cell r="DB48">
            <v>66415938.590000004</v>
          </cell>
          <cell r="DC48">
            <v>87.6</v>
          </cell>
          <cell r="DD48">
            <v>6.6</v>
          </cell>
          <cell r="DE48">
            <v>2</v>
          </cell>
          <cell r="DF48">
            <v>79.8</v>
          </cell>
          <cell r="DG48">
            <v>10.9</v>
          </cell>
          <cell r="DH48">
            <v>3.8</v>
          </cell>
          <cell r="DI48">
            <v>96.3</v>
          </cell>
          <cell r="DJ48">
            <v>94.5</v>
          </cell>
        </row>
        <row r="49">
          <cell r="A49">
            <v>351</v>
          </cell>
          <cell r="B49">
            <v>-2.7907254691048201E-2</v>
          </cell>
          <cell r="C49">
            <v>-1.7329986853113399E-3</v>
          </cell>
          <cell r="D49">
            <v>9.7631531368649396E-3</v>
          </cell>
          <cell r="E49">
            <v>9.9439522690291104E-3</v>
          </cell>
          <cell r="F49">
            <v>1311</v>
          </cell>
          <cell r="G49">
            <v>76</v>
          </cell>
          <cell r="H49">
            <v>80</v>
          </cell>
          <cell r="I49">
            <v>150</v>
          </cell>
          <cell r="J49">
            <v>6.3159524989939167E-2</v>
          </cell>
          <cell r="K49">
            <v>2.732233701034811E-2</v>
          </cell>
          <cell r="L49">
            <v>112</v>
          </cell>
          <cell r="M49">
            <v>210</v>
          </cell>
          <cell r="N49">
            <v>0</v>
          </cell>
          <cell r="O49">
            <v>135</v>
          </cell>
          <cell r="P49">
            <v>108</v>
          </cell>
          <cell r="Q49">
            <v>0</v>
          </cell>
          <cell r="R49">
            <v>0</v>
          </cell>
          <cell r="S49">
            <v>2544</v>
          </cell>
          <cell r="T49">
            <v>11656</v>
          </cell>
          <cell r="U49">
            <v>1842</v>
          </cell>
          <cell r="V49">
            <v>653</v>
          </cell>
          <cell r="W49">
            <v>0</v>
          </cell>
          <cell r="X49">
            <v>0.55555555555555602</v>
          </cell>
          <cell r="Y49">
            <v>126</v>
          </cell>
          <cell r="Z49">
            <v>0</v>
          </cell>
          <cell r="AA49">
            <v>0</v>
          </cell>
          <cell r="AB49">
            <v>0</v>
          </cell>
          <cell r="AC49">
            <v>0</v>
          </cell>
          <cell r="AD49">
            <v>0</v>
          </cell>
          <cell r="AE49">
            <v>1914</v>
          </cell>
          <cell r="AF49">
            <v>4914</v>
          </cell>
          <cell r="AG49">
            <v>2021</v>
          </cell>
          <cell r="AH49">
            <v>1973</v>
          </cell>
          <cell r="AI49">
            <v>0</v>
          </cell>
          <cell r="AJ49" t="str">
            <v>NULL</v>
          </cell>
          <cell r="AK49" t="str">
            <v>NULL</v>
          </cell>
          <cell r="AL49">
            <v>0</v>
          </cell>
          <cell r="AM49">
            <v>0</v>
          </cell>
          <cell r="AN49">
            <v>0</v>
          </cell>
          <cell r="AO49">
            <v>0</v>
          </cell>
          <cell r="AP49">
            <v>0</v>
          </cell>
          <cell r="AQ49">
            <v>0</v>
          </cell>
          <cell r="AX49">
            <v>1706</v>
          </cell>
          <cell r="AY49">
            <v>391</v>
          </cell>
          <cell r="AZ49">
            <v>0</v>
          </cell>
          <cell r="BA49">
            <v>30</v>
          </cell>
          <cell r="BB49">
            <v>175</v>
          </cell>
          <cell r="BC49">
            <v>0</v>
          </cell>
          <cell r="BD49">
            <v>38</v>
          </cell>
          <cell r="BE49">
            <v>0</v>
          </cell>
          <cell r="BF49">
            <v>0.12345679012345701</v>
          </cell>
          <cell r="BH49">
            <v>1398</v>
          </cell>
          <cell r="BI49">
            <v>3577</v>
          </cell>
          <cell r="BJ49">
            <v>9770</v>
          </cell>
          <cell r="BK49">
            <v>1405</v>
          </cell>
          <cell r="BL49">
            <v>545</v>
          </cell>
          <cell r="BM49">
            <v>0</v>
          </cell>
          <cell r="BN49">
            <v>0</v>
          </cell>
          <cell r="BO49">
            <v>0</v>
          </cell>
          <cell r="BP49">
            <v>243</v>
          </cell>
          <cell r="BQ49">
            <v>0</v>
          </cell>
          <cell r="BR49">
            <v>0</v>
          </cell>
          <cell r="BS49">
            <v>0</v>
          </cell>
          <cell r="BT49">
            <v>0</v>
          </cell>
          <cell r="BV49">
            <v>1807</v>
          </cell>
          <cell r="BX49">
            <v>10069</v>
          </cell>
          <cell r="BY49">
            <v>715</v>
          </cell>
          <cell r="BZ49">
            <v>1048</v>
          </cell>
          <cell r="CA49">
            <v>0</v>
          </cell>
          <cell r="CB49">
            <v>16663.704944374091</v>
          </cell>
          <cell r="CC49">
            <v>2342.007434944238</v>
          </cell>
          <cell r="CD49">
            <v>0</v>
          </cell>
          <cell r="CE49">
            <v>0</v>
          </cell>
          <cell r="CF49">
            <v>0</v>
          </cell>
          <cell r="CG49">
            <v>0</v>
          </cell>
          <cell r="CM49">
            <v>0</v>
          </cell>
          <cell r="CZ49">
            <v>0.11347128957105659</v>
          </cell>
          <cell r="DA49">
            <v>6.7200431810003597E-2</v>
          </cell>
          <cell r="DB49">
            <v>22141480.560000002</v>
          </cell>
          <cell r="DC49">
            <v>89.4</v>
          </cell>
          <cell r="DD49">
            <v>5.2</v>
          </cell>
          <cell r="DE49">
            <v>1.7</v>
          </cell>
          <cell r="DF49">
            <v>83.2</v>
          </cell>
          <cell r="DG49">
            <v>7.1</v>
          </cell>
          <cell r="DH49">
            <v>3.7</v>
          </cell>
          <cell r="DI49">
            <v>96.2</v>
          </cell>
          <cell r="DJ49">
            <v>94</v>
          </cell>
        </row>
        <row r="50">
          <cell r="A50">
            <v>352</v>
          </cell>
          <cell r="B50">
            <v>3.6930377821492999E-2</v>
          </cell>
          <cell r="C50">
            <v>1.9164858342290501E-2</v>
          </cell>
          <cell r="D50">
            <v>3.5412202548776403E-2</v>
          </cell>
          <cell r="E50">
            <v>2.44351716100898E-2</v>
          </cell>
          <cell r="F50">
            <v>12361</v>
          </cell>
          <cell r="G50">
            <v>8964</v>
          </cell>
          <cell r="H50">
            <v>890</v>
          </cell>
          <cell r="I50">
            <v>0</v>
          </cell>
          <cell r="J50">
            <v>4.8256276792712882E-2</v>
          </cell>
          <cell r="K50">
            <v>7.1091354083299557E-2</v>
          </cell>
          <cell r="L50">
            <v>1215</v>
          </cell>
          <cell r="M50">
            <v>2970</v>
          </cell>
          <cell r="N50">
            <v>30</v>
          </cell>
          <cell r="O50">
            <v>165</v>
          </cell>
          <cell r="P50">
            <v>0</v>
          </cell>
          <cell r="Q50">
            <v>0</v>
          </cell>
          <cell r="R50">
            <v>0</v>
          </cell>
          <cell r="S50">
            <v>11780</v>
          </cell>
          <cell r="T50">
            <v>35803</v>
          </cell>
          <cell r="U50">
            <v>4286</v>
          </cell>
          <cell r="V50">
            <v>0</v>
          </cell>
          <cell r="W50">
            <v>0</v>
          </cell>
          <cell r="X50">
            <v>1</v>
          </cell>
          <cell r="Y50">
            <v>1</v>
          </cell>
          <cell r="Z50">
            <v>300</v>
          </cell>
          <cell r="AA50">
            <v>1030</v>
          </cell>
          <cell r="AB50">
            <v>0</v>
          </cell>
          <cell r="AC50">
            <v>360</v>
          </cell>
          <cell r="AD50">
            <v>2650</v>
          </cell>
          <cell r="AE50">
            <v>4752</v>
          </cell>
          <cell r="AF50">
            <v>12999</v>
          </cell>
          <cell r="AG50">
            <v>7836</v>
          </cell>
          <cell r="AH50">
            <v>2190</v>
          </cell>
          <cell r="AI50">
            <v>300</v>
          </cell>
          <cell r="AJ50">
            <v>0.78698224852070997</v>
          </cell>
          <cell r="AK50">
            <v>75</v>
          </cell>
          <cell r="AL50">
            <v>0</v>
          </cell>
          <cell r="AM50">
            <v>250</v>
          </cell>
          <cell r="AN50">
            <v>420</v>
          </cell>
          <cell r="AO50">
            <v>0</v>
          </cell>
          <cell r="AP50">
            <v>1020</v>
          </cell>
          <cell r="AQ50">
            <v>2650</v>
          </cell>
          <cell r="AX50">
            <v>5820</v>
          </cell>
          <cell r="AY50">
            <v>1500</v>
          </cell>
          <cell r="AZ50">
            <v>60</v>
          </cell>
          <cell r="BA50">
            <v>75</v>
          </cell>
          <cell r="BB50">
            <v>0</v>
          </cell>
          <cell r="BC50">
            <v>0</v>
          </cell>
          <cell r="BD50">
            <v>60</v>
          </cell>
          <cell r="BE50">
            <v>0</v>
          </cell>
          <cell r="BF50">
            <v>0.69230769230769196</v>
          </cell>
          <cell r="BH50">
            <v>7726</v>
          </cell>
          <cell r="BI50">
            <v>13133</v>
          </cell>
          <cell r="BJ50">
            <v>22775</v>
          </cell>
          <cell r="BK50">
            <v>4125</v>
          </cell>
          <cell r="BL50">
            <v>1380</v>
          </cell>
          <cell r="BM50">
            <v>2730</v>
          </cell>
          <cell r="BN50">
            <v>30</v>
          </cell>
          <cell r="BO50">
            <v>30</v>
          </cell>
          <cell r="BP50">
            <v>135</v>
          </cell>
          <cell r="BQ50">
            <v>0</v>
          </cell>
          <cell r="BR50">
            <v>0</v>
          </cell>
          <cell r="BS50">
            <v>0</v>
          </cell>
          <cell r="BT50">
            <v>0.30769230769230799</v>
          </cell>
          <cell r="BV50">
            <v>6490</v>
          </cell>
          <cell r="BX50">
            <v>26008</v>
          </cell>
          <cell r="BY50">
            <v>4515</v>
          </cell>
          <cell r="BZ50">
            <v>1500</v>
          </cell>
          <cell r="CA50">
            <v>3262</v>
          </cell>
          <cell r="CB50">
            <v>13767.749193041873</v>
          </cell>
          <cell r="CC50">
            <v>6516.9384640025473</v>
          </cell>
          <cell r="CD50">
            <v>0</v>
          </cell>
          <cell r="CE50">
            <v>18506.710870202634</v>
          </cell>
          <cell r="CF50">
            <v>8017.9080179080174</v>
          </cell>
          <cell r="CG50">
            <v>30446.221128877954</v>
          </cell>
          <cell r="CM50">
            <v>2</v>
          </cell>
          <cell r="CZ50">
            <v>0.44646848457755922</v>
          </cell>
          <cell r="DA50">
            <v>0.77989235976252569</v>
          </cell>
          <cell r="DB50">
            <v>333587176.19</v>
          </cell>
          <cell r="DC50">
            <v>92.7</v>
          </cell>
          <cell r="DD50">
            <v>4.2</v>
          </cell>
          <cell r="DE50">
            <v>1.2</v>
          </cell>
          <cell r="DF50">
            <v>76.8</v>
          </cell>
          <cell r="DG50">
            <v>10.7</v>
          </cell>
          <cell r="DH50">
            <v>3.9</v>
          </cell>
          <cell r="DI50">
            <v>98</v>
          </cell>
          <cell r="DJ50">
            <v>91.5</v>
          </cell>
        </row>
        <row r="51">
          <cell r="A51">
            <v>353</v>
          </cell>
          <cell r="B51">
            <v>3.5670255609435403E-2</v>
          </cell>
          <cell r="C51">
            <v>2.19856990219446E-2</v>
          </cell>
          <cell r="D51">
            <v>8.1360561914672197E-2</v>
          </cell>
          <cell r="E51">
            <v>5.55411030176899E-2</v>
          </cell>
          <cell r="F51">
            <v>2558</v>
          </cell>
          <cell r="G51">
            <v>0</v>
          </cell>
          <cell r="H51">
            <v>730</v>
          </cell>
          <cell r="I51">
            <v>0</v>
          </cell>
          <cell r="J51">
            <v>2.7477652394477674E-2</v>
          </cell>
          <cell r="K51">
            <v>2.3279980514442303E-2</v>
          </cell>
          <cell r="L51">
            <v>245</v>
          </cell>
          <cell r="M51">
            <v>2030</v>
          </cell>
          <cell r="N51">
            <v>0</v>
          </cell>
          <cell r="O51">
            <v>0</v>
          </cell>
          <cell r="P51">
            <v>0</v>
          </cell>
          <cell r="Q51">
            <v>0</v>
          </cell>
          <cell r="R51">
            <v>0</v>
          </cell>
          <cell r="S51">
            <v>5465</v>
          </cell>
          <cell r="T51">
            <v>14480</v>
          </cell>
          <cell r="U51">
            <v>3265</v>
          </cell>
          <cell r="V51">
            <v>700</v>
          </cell>
          <cell r="W51">
            <v>0</v>
          </cell>
          <cell r="X51" t="str">
            <v>NULL</v>
          </cell>
          <cell r="Y51" t="str">
            <v>NULL</v>
          </cell>
          <cell r="Z51">
            <v>0</v>
          </cell>
          <cell r="AA51">
            <v>0</v>
          </cell>
          <cell r="AB51">
            <v>0</v>
          </cell>
          <cell r="AC51">
            <v>0</v>
          </cell>
          <cell r="AD51">
            <v>0</v>
          </cell>
          <cell r="AE51">
            <v>3037</v>
          </cell>
          <cell r="AF51">
            <v>7939</v>
          </cell>
          <cell r="AG51">
            <v>1500</v>
          </cell>
          <cell r="AH51">
            <v>1200</v>
          </cell>
          <cell r="AI51">
            <v>0</v>
          </cell>
          <cell r="AJ51" t="str">
            <v>NULL</v>
          </cell>
          <cell r="AK51" t="str">
            <v>NULL</v>
          </cell>
          <cell r="AL51">
            <v>0</v>
          </cell>
          <cell r="AM51">
            <v>0</v>
          </cell>
          <cell r="AN51">
            <v>0</v>
          </cell>
          <cell r="AO51">
            <v>0</v>
          </cell>
          <cell r="AP51">
            <v>0</v>
          </cell>
          <cell r="AQ51">
            <v>0</v>
          </cell>
          <cell r="AX51">
            <v>2700</v>
          </cell>
          <cell r="AY51">
            <v>0</v>
          </cell>
          <cell r="AZ51">
            <v>0</v>
          </cell>
          <cell r="BA51">
            <v>0</v>
          </cell>
          <cell r="BB51">
            <v>0</v>
          </cell>
          <cell r="BC51">
            <v>0</v>
          </cell>
          <cell r="BD51">
            <v>0</v>
          </cell>
          <cell r="BE51">
            <v>0</v>
          </cell>
          <cell r="BF51" t="str">
            <v>NULL</v>
          </cell>
          <cell r="BH51">
            <v>4250</v>
          </cell>
          <cell r="BI51">
            <v>5470</v>
          </cell>
          <cell r="BJ51">
            <v>10080</v>
          </cell>
          <cell r="BK51">
            <v>2940</v>
          </cell>
          <cell r="BL51">
            <v>420</v>
          </cell>
          <cell r="BM51">
            <v>750</v>
          </cell>
          <cell r="BN51">
            <v>0</v>
          </cell>
          <cell r="BO51">
            <v>0</v>
          </cell>
          <cell r="BP51">
            <v>0</v>
          </cell>
          <cell r="BQ51">
            <v>0</v>
          </cell>
          <cell r="BR51">
            <v>0</v>
          </cell>
          <cell r="BS51">
            <v>0</v>
          </cell>
          <cell r="BT51" t="str">
            <v>NULL</v>
          </cell>
          <cell r="BV51">
            <v>1975</v>
          </cell>
          <cell r="BX51">
            <v>14335</v>
          </cell>
          <cell r="BY51">
            <v>1680</v>
          </cell>
          <cell r="BZ51">
            <v>1680</v>
          </cell>
          <cell r="CA51">
            <v>750</v>
          </cell>
          <cell r="CB51">
            <v>9050.9322641093422</v>
          </cell>
          <cell r="CC51">
            <v>0</v>
          </cell>
          <cell r="CD51">
            <v>15739.136720363485</v>
          </cell>
          <cell r="CE51">
            <v>0</v>
          </cell>
          <cell r="CF51">
            <v>0</v>
          </cell>
          <cell r="CG51">
            <v>0</v>
          </cell>
          <cell r="CM51">
            <v>0</v>
          </cell>
          <cell r="CZ51">
            <v>0.21567516525023608</v>
          </cell>
          <cell r="DA51">
            <v>0.16171003717472118</v>
          </cell>
          <cell r="DB51">
            <v>73985576.890000001</v>
          </cell>
          <cell r="DC51">
            <v>91.5</v>
          </cell>
          <cell r="DD51">
            <v>4.0999999999999996</v>
          </cell>
          <cell r="DE51">
            <v>1</v>
          </cell>
          <cell r="DF51">
            <v>73</v>
          </cell>
          <cell r="DG51">
            <v>10.6</v>
          </cell>
          <cell r="DH51">
            <v>4</v>
          </cell>
          <cell r="DI51">
            <v>96.6</v>
          </cell>
          <cell r="DJ51">
            <v>87.5</v>
          </cell>
        </row>
        <row r="52">
          <cell r="A52">
            <v>354</v>
          </cell>
          <cell r="B52">
            <v>4.6952810054541102E-3</v>
          </cell>
          <cell r="C52">
            <v>1.3753853450320101E-2</v>
          </cell>
          <cell r="D52">
            <v>2.8723840787853901E-3</v>
          </cell>
          <cell r="E52">
            <v>1.87935986869101E-2</v>
          </cell>
          <cell r="F52">
            <v>2841</v>
          </cell>
          <cell r="G52">
            <v>0</v>
          </cell>
          <cell r="H52">
            <v>390</v>
          </cell>
          <cell r="I52">
            <v>340</v>
          </cell>
          <cell r="J52">
            <v>6.2193158337668489E-2</v>
          </cell>
          <cell r="K52">
            <v>5.0334136770544609E-2</v>
          </cell>
          <cell r="L52">
            <v>825</v>
          </cell>
          <cell r="M52">
            <v>840</v>
          </cell>
          <cell r="N52">
            <v>90</v>
          </cell>
          <cell r="O52">
            <v>154</v>
          </cell>
          <cell r="P52">
            <v>0</v>
          </cell>
          <cell r="Q52">
            <v>0</v>
          </cell>
          <cell r="R52">
            <v>0</v>
          </cell>
          <cell r="S52">
            <v>3791</v>
          </cell>
          <cell r="T52">
            <v>15292</v>
          </cell>
          <cell r="U52">
            <v>2505</v>
          </cell>
          <cell r="V52">
            <v>0</v>
          </cell>
          <cell r="W52">
            <v>0</v>
          </cell>
          <cell r="X52">
            <v>1</v>
          </cell>
          <cell r="Y52">
            <v>1</v>
          </cell>
          <cell r="Z52">
            <v>63</v>
          </cell>
          <cell r="AA52">
            <v>240</v>
          </cell>
          <cell r="AB52">
            <v>0</v>
          </cell>
          <cell r="AC52">
            <v>0</v>
          </cell>
          <cell r="AD52">
            <v>0</v>
          </cell>
          <cell r="AE52">
            <v>2637</v>
          </cell>
          <cell r="AF52">
            <v>7440</v>
          </cell>
          <cell r="AG52">
            <v>3450</v>
          </cell>
          <cell r="AH52">
            <v>0</v>
          </cell>
          <cell r="AI52">
            <v>0</v>
          </cell>
          <cell r="AJ52">
            <v>1</v>
          </cell>
          <cell r="AK52">
            <v>1</v>
          </cell>
          <cell r="AL52">
            <v>0</v>
          </cell>
          <cell r="AM52">
            <v>176</v>
          </cell>
          <cell r="AN52">
            <v>0</v>
          </cell>
          <cell r="AO52">
            <v>0</v>
          </cell>
          <cell r="AP52">
            <v>127</v>
          </cell>
          <cell r="AQ52">
            <v>0</v>
          </cell>
          <cell r="AX52">
            <v>3353</v>
          </cell>
          <cell r="AY52">
            <v>0</v>
          </cell>
          <cell r="AZ52">
            <v>30</v>
          </cell>
          <cell r="BA52">
            <v>0</v>
          </cell>
          <cell r="BB52">
            <v>195</v>
          </cell>
          <cell r="BC52">
            <v>19</v>
          </cell>
          <cell r="BD52">
            <v>0</v>
          </cell>
          <cell r="BE52">
            <v>0</v>
          </cell>
          <cell r="BF52">
            <v>0.12295081967213101</v>
          </cell>
          <cell r="BH52">
            <v>2815</v>
          </cell>
          <cell r="BI52">
            <v>3143</v>
          </cell>
          <cell r="BJ52">
            <v>11160</v>
          </cell>
          <cell r="BK52">
            <v>2745</v>
          </cell>
          <cell r="BL52">
            <v>1410</v>
          </cell>
          <cell r="BM52">
            <v>315</v>
          </cell>
          <cell r="BN52">
            <v>0</v>
          </cell>
          <cell r="BO52">
            <v>0</v>
          </cell>
          <cell r="BP52">
            <v>225</v>
          </cell>
          <cell r="BQ52">
            <v>0</v>
          </cell>
          <cell r="BR52">
            <v>19</v>
          </cell>
          <cell r="BS52">
            <v>0</v>
          </cell>
          <cell r="BT52">
            <v>0</v>
          </cell>
          <cell r="BV52">
            <v>1783</v>
          </cell>
          <cell r="BX52">
            <v>15728</v>
          </cell>
          <cell r="BY52">
            <v>1579</v>
          </cell>
          <cell r="BZ52">
            <v>1406</v>
          </cell>
          <cell r="CA52">
            <v>315</v>
          </cell>
          <cell r="CB52">
            <v>13308.77488662317</v>
          </cell>
          <cell r="CC52">
            <v>2783.190902173073</v>
          </cell>
          <cell r="CD52">
            <v>0</v>
          </cell>
          <cell r="CE52">
            <v>9288.0148056800826</v>
          </cell>
          <cell r="CF52">
            <v>0</v>
          </cell>
          <cell r="CG52">
            <v>0</v>
          </cell>
          <cell r="CM52">
            <v>0</v>
          </cell>
          <cell r="CZ52">
            <v>0.21962276823193597</v>
          </cell>
          <cell r="DA52">
            <v>0.18436974789915966</v>
          </cell>
          <cell r="DB52">
            <v>62594960.490000002</v>
          </cell>
          <cell r="DC52">
            <v>89.9</v>
          </cell>
          <cell r="DD52">
            <v>4.9000000000000004</v>
          </cell>
          <cell r="DE52">
            <v>1.7</v>
          </cell>
          <cell r="DF52">
            <v>88.3</v>
          </cell>
          <cell r="DG52">
            <v>6.4</v>
          </cell>
          <cell r="DH52">
            <v>1</v>
          </cell>
          <cell r="DI52">
            <v>96.4</v>
          </cell>
          <cell r="DJ52">
            <v>95.7</v>
          </cell>
        </row>
        <row r="53">
          <cell r="A53">
            <v>355</v>
          </cell>
          <cell r="B53">
            <v>1.0774660969719499E-2</v>
          </cell>
          <cell r="C53">
            <v>8.1274382314694398E-3</v>
          </cell>
          <cell r="D53">
            <v>4.2553191489361703E-3</v>
          </cell>
          <cell r="E53">
            <v>7.86308973172988E-3</v>
          </cell>
          <cell r="F53">
            <v>4185</v>
          </cell>
          <cell r="G53">
            <v>0</v>
          </cell>
          <cell r="H53">
            <v>370</v>
          </cell>
          <cell r="I53">
            <v>240</v>
          </cell>
          <cell r="J53">
            <v>5.9818177162911983E-2</v>
          </cell>
          <cell r="K53">
            <v>5.927267311808037E-2</v>
          </cell>
          <cell r="L53">
            <v>90</v>
          </cell>
          <cell r="M53">
            <v>30</v>
          </cell>
          <cell r="N53">
            <v>225</v>
          </cell>
          <cell r="O53">
            <v>15</v>
          </cell>
          <cell r="P53">
            <v>110</v>
          </cell>
          <cell r="Q53">
            <v>0</v>
          </cell>
          <cell r="R53">
            <v>0</v>
          </cell>
          <cell r="S53">
            <v>4410</v>
          </cell>
          <cell r="T53">
            <v>15268</v>
          </cell>
          <cell r="U53">
            <v>2514</v>
          </cell>
          <cell r="V53">
            <v>450</v>
          </cell>
          <cell r="W53">
            <v>0</v>
          </cell>
          <cell r="X53">
            <v>0.68571428571428605</v>
          </cell>
          <cell r="Y53">
            <v>119</v>
          </cell>
          <cell r="Z53">
            <v>0</v>
          </cell>
          <cell r="AA53">
            <v>60</v>
          </cell>
          <cell r="AB53">
            <v>0</v>
          </cell>
          <cell r="AC53">
            <v>0</v>
          </cell>
          <cell r="AD53">
            <v>0</v>
          </cell>
          <cell r="AE53">
            <v>900</v>
          </cell>
          <cell r="AF53">
            <v>7175</v>
          </cell>
          <cell r="AG53">
            <v>3875</v>
          </cell>
          <cell r="AH53">
            <v>0</v>
          </cell>
          <cell r="AI53">
            <v>0</v>
          </cell>
          <cell r="AJ53">
            <v>1</v>
          </cell>
          <cell r="AK53">
            <v>1</v>
          </cell>
          <cell r="AL53">
            <v>0</v>
          </cell>
          <cell r="AM53">
            <v>0</v>
          </cell>
          <cell r="AN53">
            <v>0</v>
          </cell>
          <cell r="AO53">
            <v>0</v>
          </cell>
          <cell r="AP53">
            <v>60</v>
          </cell>
          <cell r="AQ53">
            <v>0</v>
          </cell>
          <cell r="AX53">
            <v>4225</v>
          </cell>
          <cell r="AY53">
            <v>1450</v>
          </cell>
          <cell r="AZ53">
            <v>15</v>
          </cell>
          <cell r="BA53">
            <v>15</v>
          </cell>
          <cell r="BB53">
            <v>320</v>
          </cell>
          <cell r="BC53">
            <v>0</v>
          </cell>
          <cell r="BD53">
            <v>0</v>
          </cell>
          <cell r="BE53">
            <v>0</v>
          </cell>
          <cell r="BF53">
            <v>8.5714285714285701E-2</v>
          </cell>
          <cell r="BH53">
            <v>3165</v>
          </cell>
          <cell r="BI53">
            <v>4875</v>
          </cell>
          <cell r="BJ53">
            <v>12787</v>
          </cell>
          <cell r="BK53">
            <v>1125</v>
          </cell>
          <cell r="BL53">
            <v>420</v>
          </cell>
          <cell r="BM53">
            <v>270</v>
          </cell>
          <cell r="BN53">
            <v>15</v>
          </cell>
          <cell r="BO53">
            <v>15</v>
          </cell>
          <cell r="BP53">
            <v>285</v>
          </cell>
          <cell r="BQ53">
            <v>0</v>
          </cell>
          <cell r="BR53">
            <v>35</v>
          </cell>
          <cell r="BS53">
            <v>0</v>
          </cell>
          <cell r="BT53">
            <v>8.5714285714285701E-2</v>
          </cell>
          <cell r="BV53">
            <v>4395</v>
          </cell>
          <cell r="BX53">
            <v>13712</v>
          </cell>
          <cell r="BY53">
            <v>735</v>
          </cell>
          <cell r="BZ53">
            <v>1430</v>
          </cell>
          <cell r="CA53">
            <v>270</v>
          </cell>
          <cell r="CB53">
            <v>10779.268405205741</v>
          </cell>
          <cell r="CC53">
            <v>6475.6188479013763</v>
          </cell>
          <cell r="CD53">
            <v>0</v>
          </cell>
          <cell r="CE53">
            <v>0</v>
          </cell>
          <cell r="CF53">
            <v>5638.1660470879806</v>
          </cell>
          <cell r="CG53">
            <v>0</v>
          </cell>
          <cell r="CM53">
            <v>0</v>
          </cell>
          <cell r="CZ53">
            <v>0.33096234309623429</v>
          </cell>
          <cell r="DA53">
            <v>0.24532758266584515</v>
          </cell>
          <cell r="DB53">
            <v>58319403.43</v>
          </cell>
          <cell r="DC53">
            <v>91.3</v>
          </cell>
          <cell r="DD53">
            <v>4.5</v>
          </cell>
          <cell r="DE53">
            <v>1</v>
          </cell>
          <cell r="DF53">
            <v>79.3</v>
          </cell>
          <cell r="DG53">
            <v>8.8000000000000007</v>
          </cell>
          <cell r="DH53">
            <v>2.7</v>
          </cell>
          <cell r="DI53">
            <v>96.8</v>
          </cell>
          <cell r="DJ53">
            <v>90.9</v>
          </cell>
        </row>
        <row r="54">
          <cell r="A54">
            <v>356</v>
          </cell>
          <cell r="B54">
            <v>1.7754160487724501E-2</v>
          </cell>
          <cell r="C54">
            <v>-7.8266600757950203E-4</v>
          </cell>
          <cell r="D54">
            <v>1.9105514546243998E-2</v>
          </cell>
          <cell r="E54">
            <v>7.8882616876537904E-3</v>
          </cell>
          <cell r="F54">
            <v>4067</v>
          </cell>
          <cell r="G54">
            <v>0</v>
          </cell>
          <cell r="H54">
            <v>90</v>
          </cell>
          <cell r="I54">
            <v>70</v>
          </cell>
          <cell r="J54">
            <v>9.2394063482296132E-2</v>
          </cell>
          <cell r="K54">
            <v>7.622040684943307E-2</v>
          </cell>
          <cell r="L54">
            <v>315</v>
          </cell>
          <cell r="M54">
            <v>630</v>
          </cell>
          <cell r="N54">
            <v>105</v>
          </cell>
          <cell r="O54">
            <v>49</v>
          </cell>
          <cell r="P54">
            <v>0</v>
          </cell>
          <cell r="Q54">
            <v>0</v>
          </cell>
          <cell r="R54">
            <v>0</v>
          </cell>
          <cell r="S54">
            <v>5917</v>
          </cell>
          <cell r="T54">
            <v>18070</v>
          </cell>
          <cell r="U54">
            <v>2179</v>
          </cell>
          <cell r="V54">
            <v>0</v>
          </cell>
          <cell r="W54">
            <v>0</v>
          </cell>
          <cell r="X54">
            <v>1</v>
          </cell>
          <cell r="Y54">
            <v>1</v>
          </cell>
          <cell r="Z54">
            <v>0</v>
          </cell>
          <cell r="AA54">
            <v>0</v>
          </cell>
          <cell r="AB54">
            <v>0</v>
          </cell>
          <cell r="AC54">
            <v>0</v>
          </cell>
          <cell r="AD54">
            <v>0</v>
          </cell>
          <cell r="AE54">
            <v>2847</v>
          </cell>
          <cell r="AF54">
            <v>6522</v>
          </cell>
          <cell r="AG54">
            <v>5551</v>
          </cell>
          <cell r="AH54">
            <v>0</v>
          </cell>
          <cell r="AI54">
            <v>0</v>
          </cell>
          <cell r="AJ54" t="str">
            <v>NULL</v>
          </cell>
          <cell r="AK54" t="str">
            <v>NULL</v>
          </cell>
          <cell r="AL54">
            <v>0</v>
          </cell>
          <cell r="AM54">
            <v>0</v>
          </cell>
          <cell r="AN54">
            <v>0</v>
          </cell>
          <cell r="AO54">
            <v>0</v>
          </cell>
          <cell r="AP54">
            <v>0</v>
          </cell>
          <cell r="AQ54">
            <v>0</v>
          </cell>
          <cell r="AX54">
            <v>1250</v>
          </cell>
          <cell r="AY54">
            <v>0</v>
          </cell>
          <cell r="AZ54">
            <v>0</v>
          </cell>
          <cell r="BA54">
            <v>105</v>
          </cell>
          <cell r="BB54">
            <v>0</v>
          </cell>
          <cell r="BC54">
            <v>49</v>
          </cell>
          <cell r="BD54">
            <v>0</v>
          </cell>
          <cell r="BE54">
            <v>0</v>
          </cell>
          <cell r="BF54">
            <v>0.68181818181818199</v>
          </cell>
          <cell r="BH54">
            <v>3454</v>
          </cell>
          <cell r="BI54">
            <v>2964</v>
          </cell>
          <cell r="BJ54">
            <v>13375</v>
          </cell>
          <cell r="BK54">
            <v>3249</v>
          </cell>
          <cell r="BL54">
            <v>1390</v>
          </cell>
          <cell r="BM54">
            <v>1734</v>
          </cell>
          <cell r="BN54">
            <v>0</v>
          </cell>
          <cell r="BO54">
            <v>0</v>
          </cell>
          <cell r="BP54">
            <v>105</v>
          </cell>
          <cell r="BQ54">
            <v>0</v>
          </cell>
          <cell r="BR54">
            <v>49</v>
          </cell>
          <cell r="BS54">
            <v>0</v>
          </cell>
          <cell r="BT54">
            <v>0</v>
          </cell>
          <cell r="BV54">
            <v>1575</v>
          </cell>
          <cell r="BX54">
            <v>17277</v>
          </cell>
          <cell r="BY54">
            <v>1166</v>
          </cell>
          <cell r="BZ54">
            <v>1140</v>
          </cell>
          <cell r="CA54">
            <v>1734</v>
          </cell>
          <cell r="CB54">
            <v>15701.749253315114</v>
          </cell>
          <cell r="CC54">
            <v>0</v>
          </cell>
          <cell r="CD54">
            <v>0</v>
          </cell>
          <cell r="CE54">
            <v>0</v>
          </cell>
          <cell r="CF54">
            <v>0</v>
          </cell>
          <cell r="CG54">
            <v>0</v>
          </cell>
          <cell r="CM54">
            <v>0</v>
          </cell>
          <cell r="CZ54">
            <v>0.17563685117793526</v>
          </cell>
          <cell r="DA54">
            <v>0.10233354742025262</v>
          </cell>
          <cell r="DB54">
            <v>43807468.869999997</v>
          </cell>
          <cell r="DC54">
            <v>90.8</v>
          </cell>
          <cell r="DD54">
            <v>5.3</v>
          </cell>
          <cell r="DE54">
            <v>1.4</v>
          </cell>
          <cell r="DF54">
            <v>83.8</v>
          </cell>
          <cell r="DG54">
            <v>9.1999999999999993</v>
          </cell>
          <cell r="DH54">
            <v>1.6</v>
          </cell>
          <cell r="DI54">
            <v>97.5</v>
          </cell>
          <cell r="DJ54">
            <v>94.7</v>
          </cell>
        </row>
        <row r="55">
          <cell r="A55">
            <v>357</v>
          </cell>
          <cell r="B55">
            <v>3.96068089187245E-2</v>
          </cell>
          <cell r="C55">
            <v>1.14121313833613E-2</v>
          </cell>
          <cell r="D55">
            <v>1.03329506314581E-2</v>
          </cell>
          <cell r="E55">
            <v>2.7171833141982401E-2</v>
          </cell>
          <cell r="F55">
            <v>3438</v>
          </cell>
          <cell r="G55">
            <v>0</v>
          </cell>
          <cell r="H55">
            <v>20</v>
          </cell>
          <cell r="I55">
            <v>130</v>
          </cell>
          <cell r="J55">
            <v>5.301795105463205E-2</v>
          </cell>
          <cell r="K55">
            <v>2.4802720521023308E-2</v>
          </cell>
          <cell r="L55">
            <v>180</v>
          </cell>
          <cell r="M55">
            <v>1080</v>
          </cell>
          <cell r="N55">
            <v>0</v>
          </cell>
          <cell r="O55">
            <v>82</v>
          </cell>
          <cell r="P55">
            <v>16</v>
          </cell>
          <cell r="Q55">
            <v>0</v>
          </cell>
          <cell r="R55">
            <v>0</v>
          </cell>
          <cell r="S55">
            <v>1259</v>
          </cell>
          <cell r="T55">
            <v>18414</v>
          </cell>
          <cell r="U55">
            <v>1960</v>
          </cell>
          <cell r="V55">
            <v>0</v>
          </cell>
          <cell r="W55">
            <v>0</v>
          </cell>
          <cell r="X55">
            <v>0.83673469387755095</v>
          </cell>
          <cell r="Y55">
            <v>107</v>
          </cell>
          <cell r="Z55">
            <v>31</v>
          </cell>
          <cell r="AA55">
            <v>0</v>
          </cell>
          <cell r="AB55">
            <v>0</v>
          </cell>
          <cell r="AC55">
            <v>0</v>
          </cell>
          <cell r="AD55">
            <v>0</v>
          </cell>
          <cell r="AE55">
            <v>2555</v>
          </cell>
          <cell r="AF55">
            <v>7423</v>
          </cell>
          <cell r="AG55">
            <v>1800</v>
          </cell>
          <cell r="AH55">
            <v>1350</v>
          </cell>
          <cell r="AI55">
            <v>0</v>
          </cell>
          <cell r="AJ55">
            <v>1</v>
          </cell>
          <cell r="AK55">
            <v>1</v>
          </cell>
          <cell r="AL55">
            <v>0</v>
          </cell>
          <cell r="AM55">
            <v>31</v>
          </cell>
          <cell r="AN55">
            <v>0</v>
          </cell>
          <cell r="AO55">
            <v>0</v>
          </cell>
          <cell r="AP55">
            <v>0</v>
          </cell>
          <cell r="AQ55">
            <v>0</v>
          </cell>
          <cell r="AX55">
            <v>2400</v>
          </cell>
          <cell r="AY55">
            <v>0</v>
          </cell>
          <cell r="AZ55">
            <v>16</v>
          </cell>
          <cell r="BA55">
            <v>15</v>
          </cell>
          <cell r="BB55">
            <v>51</v>
          </cell>
          <cell r="BC55">
            <v>16</v>
          </cell>
          <cell r="BD55">
            <v>0</v>
          </cell>
          <cell r="BE55">
            <v>0</v>
          </cell>
          <cell r="BF55">
            <v>0.31632653061224503</v>
          </cell>
          <cell r="BH55">
            <v>2099</v>
          </cell>
          <cell r="BI55">
            <v>3950</v>
          </cell>
          <cell r="BJ55">
            <v>11414</v>
          </cell>
          <cell r="BK55">
            <v>1960</v>
          </cell>
          <cell r="BL55">
            <v>875</v>
          </cell>
          <cell r="BM55">
            <v>1335</v>
          </cell>
          <cell r="BN55">
            <v>16</v>
          </cell>
          <cell r="BO55">
            <v>0</v>
          </cell>
          <cell r="BP55">
            <v>82</v>
          </cell>
          <cell r="BQ55">
            <v>0</v>
          </cell>
          <cell r="BR55">
            <v>0</v>
          </cell>
          <cell r="BS55">
            <v>0</v>
          </cell>
          <cell r="BT55">
            <v>0.16326530612244899</v>
          </cell>
          <cell r="BV55">
            <v>1520</v>
          </cell>
          <cell r="BX55">
            <v>12662</v>
          </cell>
          <cell r="BY55">
            <v>3851</v>
          </cell>
          <cell r="BZ55">
            <v>840</v>
          </cell>
          <cell r="CA55">
            <v>1335</v>
          </cell>
          <cell r="CB55">
            <v>10053.212829573253</v>
          </cell>
          <cell r="CC55">
            <v>2807.4113736143581</v>
          </cell>
          <cell r="CD55">
            <v>1177.8563015312134</v>
          </cell>
          <cell r="CE55">
            <v>17276.044871794871</v>
          </cell>
          <cell r="CF55">
            <v>0</v>
          </cell>
          <cell r="CG55">
            <v>0</v>
          </cell>
          <cell r="CM55">
            <v>0</v>
          </cell>
          <cell r="CZ55">
            <v>0.23038119805101748</v>
          </cell>
          <cell r="DA55">
            <v>0.26999826479264272</v>
          </cell>
          <cell r="DB55">
            <v>42745349.840000004</v>
          </cell>
          <cell r="DC55">
            <v>93.5</v>
          </cell>
          <cell r="DD55">
            <v>4.3</v>
          </cell>
          <cell r="DE55">
            <v>0.7</v>
          </cell>
          <cell r="DF55">
            <v>84.2</v>
          </cell>
          <cell r="DG55">
            <v>9</v>
          </cell>
          <cell r="DH55">
            <v>1.9</v>
          </cell>
          <cell r="DI55">
            <v>98.6</v>
          </cell>
          <cell r="DJ55">
            <v>95.1</v>
          </cell>
        </row>
        <row r="56">
          <cell r="A56">
            <v>358</v>
          </cell>
          <cell r="B56">
            <v>-1.36370161251735E-2</v>
          </cell>
          <cell r="C56">
            <v>-2.48815732810182E-3</v>
          </cell>
          <cell r="D56">
            <v>-2.4738722053181599E-2</v>
          </cell>
          <cell r="E56">
            <v>-1.25677999735415E-2</v>
          </cell>
          <cell r="F56">
            <v>3184</v>
          </cell>
          <cell r="G56">
            <v>1437</v>
          </cell>
          <cell r="H56">
            <v>300</v>
          </cell>
          <cell r="I56">
            <v>120</v>
          </cell>
          <cell r="J56">
            <v>3.9888670505670409E-2</v>
          </cell>
          <cell r="K56">
            <v>7.7068513478781797E-2</v>
          </cell>
          <cell r="L56">
            <v>420</v>
          </cell>
          <cell r="M56">
            <v>185</v>
          </cell>
          <cell r="N56">
            <v>276</v>
          </cell>
          <cell r="O56">
            <v>210</v>
          </cell>
          <cell r="P56">
            <v>0</v>
          </cell>
          <cell r="Q56">
            <v>0</v>
          </cell>
          <cell r="R56">
            <v>0</v>
          </cell>
          <cell r="S56">
            <v>10161</v>
          </cell>
          <cell r="T56">
            <v>9501</v>
          </cell>
          <cell r="U56">
            <v>630</v>
          </cell>
          <cell r="V56">
            <v>420</v>
          </cell>
          <cell r="W56">
            <v>0</v>
          </cell>
          <cell r="X56">
            <v>1</v>
          </cell>
          <cell r="Y56">
            <v>1</v>
          </cell>
          <cell r="Z56">
            <v>20</v>
          </cell>
          <cell r="AA56">
            <v>54</v>
          </cell>
          <cell r="AB56">
            <v>40</v>
          </cell>
          <cell r="AC56">
            <v>0</v>
          </cell>
          <cell r="AD56">
            <v>0</v>
          </cell>
          <cell r="AE56">
            <v>9811</v>
          </cell>
          <cell r="AF56">
            <v>8084</v>
          </cell>
          <cell r="AG56">
            <v>1594</v>
          </cell>
          <cell r="AH56">
            <v>0</v>
          </cell>
          <cell r="AI56">
            <v>582</v>
          </cell>
          <cell r="AJ56">
            <v>0.64912280701754399</v>
          </cell>
          <cell r="AK56">
            <v>87</v>
          </cell>
          <cell r="AL56">
            <v>20</v>
          </cell>
          <cell r="AM56">
            <v>0</v>
          </cell>
          <cell r="AN56">
            <v>40</v>
          </cell>
          <cell r="AO56">
            <v>54</v>
          </cell>
          <cell r="AP56">
            <v>0</v>
          </cell>
          <cell r="AQ56">
            <v>0</v>
          </cell>
          <cell r="AX56">
            <v>726</v>
          </cell>
          <cell r="AY56">
            <v>0</v>
          </cell>
          <cell r="AZ56">
            <v>310</v>
          </cell>
          <cell r="BA56">
            <v>176</v>
          </cell>
          <cell r="BB56">
            <v>0</v>
          </cell>
          <cell r="BC56">
            <v>0</v>
          </cell>
          <cell r="BD56">
            <v>0</v>
          </cell>
          <cell r="BE56">
            <v>0</v>
          </cell>
          <cell r="BF56">
            <v>1</v>
          </cell>
          <cell r="BH56">
            <v>3450</v>
          </cell>
          <cell r="BI56">
            <v>5612</v>
          </cell>
          <cell r="BJ56">
            <v>8889</v>
          </cell>
          <cell r="BK56">
            <v>1440</v>
          </cell>
          <cell r="BL56">
            <v>0</v>
          </cell>
          <cell r="BM56">
            <v>1321</v>
          </cell>
          <cell r="BN56">
            <v>28</v>
          </cell>
          <cell r="BO56">
            <v>300</v>
          </cell>
          <cell r="BP56">
            <v>158</v>
          </cell>
          <cell r="BQ56">
            <v>0</v>
          </cell>
          <cell r="BR56">
            <v>0</v>
          </cell>
          <cell r="BS56">
            <v>0</v>
          </cell>
          <cell r="BT56">
            <v>0.67489711934156404</v>
          </cell>
          <cell r="BV56">
            <v>2199</v>
          </cell>
          <cell r="BX56">
            <v>12151</v>
          </cell>
          <cell r="BY56">
            <v>862</v>
          </cell>
          <cell r="BZ56">
            <v>280</v>
          </cell>
          <cell r="CA56">
            <v>1321</v>
          </cell>
          <cell r="CB56">
            <v>15126.557027813371</v>
          </cell>
          <cell r="CC56">
            <v>0</v>
          </cell>
          <cell r="CD56">
            <v>0</v>
          </cell>
          <cell r="CE56">
            <v>0</v>
          </cell>
          <cell r="CF56">
            <v>0</v>
          </cell>
          <cell r="CG56">
            <v>0</v>
          </cell>
          <cell r="CM56">
            <v>0</v>
          </cell>
          <cell r="CZ56">
            <v>0.21596109839816935</v>
          </cell>
          <cell r="DA56">
            <v>0.14598945323341661</v>
          </cell>
          <cell r="DB56">
            <v>70054710.689999998</v>
          </cell>
          <cell r="DC56">
            <v>93.2</v>
          </cell>
          <cell r="DD56">
            <v>4.7</v>
          </cell>
          <cell r="DE56">
            <v>1.1000000000000001</v>
          </cell>
          <cell r="DF56">
            <v>77.7</v>
          </cell>
          <cell r="DG56">
            <v>12</v>
          </cell>
          <cell r="DH56">
            <v>4.5999999999999996</v>
          </cell>
          <cell r="DI56">
            <v>99</v>
          </cell>
          <cell r="DJ56">
            <v>94.4</v>
          </cell>
        </row>
        <row r="57">
          <cell r="A57">
            <v>359</v>
          </cell>
          <cell r="B57">
            <v>3.2215273829827602E-3</v>
          </cell>
          <cell r="C57">
            <v>1.4781125639567901E-3</v>
          </cell>
          <cell r="D57">
            <v>3.85477106911013E-2</v>
          </cell>
          <cell r="E57">
            <v>1.4304590107427999E-2</v>
          </cell>
          <cell r="F57">
            <v>1394</v>
          </cell>
          <cell r="G57">
            <v>250</v>
          </cell>
          <cell r="H57">
            <v>480</v>
          </cell>
          <cell r="I57">
            <v>200</v>
          </cell>
          <cell r="J57">
            <v>5.934744752575867E-2</v>
          </cell>
          <cell r="K57">
            <v>0.10083661465046566</v>
          </cell>
          <cell r="L57">
            <v>0</v>
          </cell>
          <cell r="M57">
            <v>0</v>
          </cell>
          <cell r="N57">
            <v>34</v>
          </cell>
          <cell r="O57">
            <v>360</v>
          </cell>
          <cell r="P57">
            <v>0</v>
          </cell>
          <cell r="Q57">
            <v>0</v>
          </cell>
          <cell r="R57">
            <v>0</v>
          </cell>
          <cell r="S57">
            <v>8295</v>
          </cell>
          <cell r="T57">
            <v>17143</v>
          </cell>
          <cell r="U57">
            <v>690</v>
          </cell>
          <cell r="V57">
            <v>523</v>
          </cell>
          <cell r="W57">
            <v>0</v>
          </cell>
          <cell r="X57">
            <v>1</v>
          </cell>
          <cell r="Y57">
            <v>1</v>
          </cell>
          <cell r="Z57">
            <v>304</v>
          </cell>
          <cell r="AA57">
            <v>296</v>
          </cell>
          <cell r="AB57">
            <v>0</v>
          </cell>
          <cell r="AC57">
            <v>0</v>
          </cell>
          <cell r="AD57">
            <v>0</v>
          </cell>
          <cell r="AE57">
            <v>1917</v>
          </cell>
          <cell r="AF57">
            <v>10859</v>
          </cell>
          <cell r="AG57">
            <v>5341</v>
          </cell>
          <cell r="AH57">
            <v>1797</v>
          </cell>
          <cell r="AI57">
            <v>0</v>
          </cell>
          <cell r="AJ57">
            <v>1</v>
          </cell>
          <cell r="AK57">
            <v>1</v>
          </cell>
          <cell r="AL57">
            <v>54</v>
          </cell>
          <cell r="AM57">
            <v>0</v>
          </cell>
          <cell r="AN57">
            <v>0</v>
          </cell>
          <cell r="AO57">
            <v>387</v>
          </cell>
          <cell r="AP57">
            <v>109</v>
          </cell>
          <cell r="AQ57">
            <v>50</v>
          </cell>
          <cell r="AX57">
            <v>5648</v>
          </cell>
          <cell r="AY57">
            <v>1750</v>
          </cell>
          <cell r="AZ57">
            <v>210</v>
          </cell>
          <cell r="BA57">
            <v>0</v>
          </cell>
          <cell r="BB57">
            <v>184</v>
          </cell>
          <cell r="BC57">
            <v>0</v>
          </cell>
          <cell r="BD57">
            <v>0</v>
          </cell>
          <cell r="BE57">
            <v>0</v>
          </cell>
          <cell r="BF57">
            <v>0.53299492385786795</v>
          </cell>
          <cell r="BH57">
            <v>5059</v>
          </cell>
          <cell r="BI57">
            <v>3587</v>
          </cell>
          <cell r="BJ57">
            <v>13996</v>
          </cell>
          <cell r="BK57">
            <v>2939</v>
          </cell>
          <cell r="BL57">
            <v>455</v>
          </cell>
          <cell r="BM57">
            <v>615</v>
          </cell>
          <cell r="BN57">
            <v>210</v>
          </cell>
          <cell r="BO57">
            <v>0</v>
          </cell>
          <cell r="BP57">
            <v>184</v>
          </cell>
          <cell r="BQ57">
            <v>0</v>
          </cell>
          <cell r="BR57">
            <v>0</v>
          </cell>
          <cell r="BS57">
            <v>0</v>
          </cell>
          <cell r="BT57">
            <v>0.53299492385786795</v>
          </cell>
          <cell r="BV57">
            <v>3932</v>
          </cell>
          <cell r="BX57">
            <v>14346</v>
          </cell>
          <cell r="BY57">
            <v>2729</v>
          </cell>
          <cell r="BZ57">
            <v>509</v>
          </cell>
          <cell r="CA57">
            <v>615</v>
          </cell>
          <cell r="CB57">
            <v>12740.521078720061</v>
          </cell>
          <cell r="CC57">
            <v>6934.1116798702142</v>
          </cell>
          <cell r="CD57">
            <v>0</v>
          </cell>
          <cell r="CE57">
            <v>15505.293729427971</v>
          </cell>
          <cell r="CF57">
            <v>0</v>
          </cell>
          <cell r="CG57">
            <v>0</v>
          </cell>
          <cell r="CM57">
            <v>0</v>
          </cell>
          <cell r="CZ57">
            <v>0.10174210148901168</v>
          </cell>
          <cell r="DA57">
            <v>2.5247099269445638E-2</v>
          </cell>
          <cell r="DB57">
            <v>44951617.739999995</v>
          </cell>
          <cell r="DC57">
            <v>91.4</v>
          </cell>
          <cell r="DD57">
            <v>5.0999999999999996</v>
          </cell>
          <cell r="DE57">
            <v>1.3</v>
          </cell>
          <cell r="DF57">
            <v>94.8</v>
          </cell>
          <cell r="DG57">
            <v>3.9</v>
          </cell>
          <cell r="DH57">
            <v>0.3</v>
          </cell>
          <cell r="DI57">
            <v>97.8</v>
          </cell>
          <cell r="DJ57">
            <v>99</v>
          </cell>
        </row>
        <row r="58">
          <cell r="A58">
            <v>370</v>
          </cell>
          <cell r="B58">
            <v>6.3040976634812602E-3</v>
          </cell>
          <cell r="C58">
            <v>5.5035773252614197E-4</v>
          </cell>
          <cell r="D58">
            <v>2.3096355106459798E-2</v>
          </cell>
          <cell r="E58">
            <v>1.14579574160953E-2</v>
          </cell>
          <cell r="F58">
            <v>1828</v>
          </cell>
          <cell r="G58">
            <v>0</v>
          </cell>
          <cell r="H58">
            <v>100</v>
          </cell>
          <cell r="I58">
            <v>110</v>
          </cell>
          <cell r="J58">
            <v>6.8164860722676912E-2</v>
          </cell>
          <cell r="K58">
            <v>7.8578822485618927E-2</v>
          </cell>
          <cell r="L58">
            <v>120</v>
          </cell>
          <cell r="M58">
            <v>320</v>
          </cell>
          <cell r="N58">
            <v>220</v>
          </cell>
          <cell r="O58">
            <v>410</v>
          </cell>
          <cell r="P58">
            <v>0</v>
          </cell>
          <cell r="Q58">
            <v>35</v>
          </cell>
          <cell r="R58">
            <v>0</v>
          </cell>
          <cell r="S58">
            <v>5370</v>
          </cell>
          <cell r="T58">
            <v>10785</v>
          </cell>
          <cell r="U58">
            <v>2176</v>
          </cell>
          <cell r="V58">
            <v>700</v>
          </cell>
          <cell r="W58">
            <v>0</v>
          </cell>
          <cell r="X58">
            <v>0.94736842105263197</v>
          </cell>
          <cell r="Y58">
            <v>83</v>
          </cell>
          <cell r="Z58">
            <v>0</v>
          </cell>
          <cell r="AA58">
            <v>0</v>
          </cell>
          <cell r="AB58">
            <v>0</v>
          </cell>
          <cell r="AC58">
            <v>0</v>
          </cell>
          <cell r="AD58">
            <v>0</v>
          </cell>
          <cell r="AE58">
            <v>0</v>
          </cell>
          <cell r="AF58">
            <v>5200</v>
          </cell>
          <cell r="AG58">
            <v>3300</v>
          </cell>
          <cell r="AH58">
            <v>1200</v>
          </cell>
          <cell r="AI58">
            <v>0</v>
          </cell>
          <cell r="AJ58" t="str">
            <v>NULL</v>
          </cell>
          <cell r="AK58" t="str">
            <v>NULL</v>
          </cell>
          <cell r="AL58">
            <v>0</v>
          </cell>
          <cell r="AM58">
            <v>0</v>
          </cell>
          <cell r="AN58">
            <v>0</v>
          </cell>
          <cell r="AO58">
            <v>0</v>
          </cell>
          <cell r="AP58">
            <v>0</v>
          </cell>
          <cell r="AQ58">
            <v>0</v>
          </cell>
          <cell r="AX58">
            <v>0</v>
          </cell>
          <cell r="AY58">
            <v>0</v>
          </cell>
          <cell r="AZ58">
            <v>245</v>
          </cell>
          <cell r="BA58">
            <v>195</v>
          </cell>
          <cell r="BB58">
            <v>225</v>
          </cell>
          <cell r="BC58">
            <v>0</v>
          </cell>
          <cell r="BD58">
            <v>0</v>
          </cell>
          <cell r="BE58">
            <v>0</v>
          </cell>
          <cell r="BF58">
            <v>0.66165413533834605</v>
          </cell>
          <cell r="BH58">
            <v>2570</v>
          </cell>
          <cell r="BI58">
            <v>4585</v>
          </cell>
          <cell r="BJ58">
            <v>9071</v>
          </cell>
          <cell r="BK58">
            <v>1715</v>
          </cell>
          <cell r="BL58">
            <v>1090</v>
          </cell>
          <cell r="BM58">
            <v>0</v>
          </cell>
          <cell r="BN58">
            <v>70</v>
          </cell>
          <cell r="BO58">
            <v>285</v>
          </cell>
          <cell r="BP58">
            <v>310</v>
          </cell>
          <cell r="BQ58">
            <v>0</v>
          </cell>
          <cell r="BR58">
            <v>0</v>
          </cell>
          <cell r="BS58">
            <v>0</v>
          </cell>
          <cell r="BT58">
            <v>0.533834586466165</v>
          </cell>
          <cell r="BV58">
            <v>1320</v>
          </cell>
          <cell r="BX58">
            <v>11746</v>
          </cell>
          <cell r="BY58">
            <v>770</v>
          </cell>
          <cell r="BZ58">
            <v>2455</v>
          </cell>
          <cell r="CA58">
            <v>0</v>
          </cell>
          <cell r="CB58">
            <v>12700.987124830079</v>
          </cell>
          <cell r="CC58">
            <v>7246.7618951965869</v>
          </cell>
          <cell r="CD58">
            <v>0</v>
          </cell>
          <cell r="CE58">
            <v>0</v>
          </cell>
          <cell r="CF58">
            <v>0</v>
          </cell>
          <cell r="CG58">
            <v>0</v>
          </cell>
          <cell r="CM58">
            <v>0</v>
          </cell>
          <cell r="CZ58">
            <v>0.19181479950392724</v>
          </cell>
          <cell r="DA58">
            <v>6.7290333169210568E-3</v>
          </cell>
          <cell r="DB58">
            <v>24949808.539999999</v>
          </cell>
          <cell r="DC58">
            <v>93</v>
          </cell>
          <cell r="DD58">
            <v>4.0999999999999996</v>
          </cell>
          <cell r="DE58">
            <v>0.8</v>
          </cell>
          <cell r="DF58">
            <v>95.7</v>
          </cell>
          <cell r="DG58">
            <v>2.5</v>
          </cell>
          <cell r="DH58">
            <v>0.2</v>
          </cell>
          <cell r="DI58">
            <v>97.9</v>
          </cell>
          <cell r="DJ58">
            <v>98.4</v>
          </cell>
        </row>
        <row r="59">
          <cell r="A59">
            <v>371</v>
          </cell>
          <cell r="B59">
            <v>3.7132226015574102E-2</v>
          </cell>
          <cell r="C59">
            <v>8.2473435881698608E-3</v>
          </cell>
          <cell r="D59">
            <v>5.2248890032816402E-2</v>
          </cell>
          <cell r="E59">
            <v>1.9303777105720399E-2</v>
          </cell>
          <cell r="F59">
            <v>2412</v>
          </cell>
          <cell r="G59">
            <v>10</v>
          </cell>
          <cell r="H59">
            <v>90</v>
          </cell>
          <cell r="I59">
            <v>140</v>
          </cell>
          <cell r="J59">
            <v>0.15111506808272931</v>
          </cell>
          <cell r="K59">
            <v>0.17747996377300893</v>
          </cell>
          <cell r="L59">
            <v>698</v>
          </cell>
          <cell r="M59">
            <v>250</v>
          </cell>
          <cell r="N59">
            <v>24</v>
          </cell>
          <cell r="O59">
            <v>131</v>
          </cell>
          <cell r="P59">
            <v>52</v>
          </cell>
          <cell r="Q59">
            <v>96</v>
          </cell>
          <cell r="R59">
            <v>0</v>
          </cell>
          <cell r="S59">
            <v>3800</v>
          </cell>
          <cell r="T59">
            <v>14215</v>
          </cell>
          <cell r="U59">
            <v>5711</v>
          </cell>
          <cell r="V59">
            <v>1670</v>
          </cell>
          <cell r="W59">
            <v>0</v>
          </cell>
          <cell r="X59">
            <v>0.51155115511551197</v>
          </cell>
          <cell r="Y59">
            <v>129</v>
          </cell>
          <cell r="Z59">
            <v>70</v>
          </cell>
          <cell r="AA59">
            <v>126</v>
          </cell>
          <cell r="AB59">
            <v>0</v>
          </cell>
          <cell r="AC59">
            <v>74</v>
          </cell>
          <cell r="AD59">
            <v>400</v>
          </cell>
          <cell r="AE59">
            <v>2679</v>
          </cell>
          <cell r="AF59">
            <v>6524</v>
          </cell>
          <cell r="AG59">
            <v>7610</v>
          </cell>
          <cell r="AH59">
            <v>3979</v>
          </cell>
          <cell r="AI59">
            <v>0</v>
          </cell>
          <cell r="AJ59">
            <v>0.72592592592592597</v>
          </cell>
          <cell r="AK59">
            <v>83</v>
          </cell>
          <cell r="AL59">
            <v>0</v>
          </cell>
          <cell r="AM59">
            <v>70</v>
          </cell>
          <cell r="AN59">
            <v>36</v>
          </cell>
          <cell r="AO59">
            <v>90</v>
          </cell>
          <cell r="AP59">
            <v>74</v>
          </cell>
          <cell r="AQ59">
            <v>400</v>
          </cell>
          <cell r="AX59">
            <v>3979</v>
          </cell>
          <cell r="AY59">
            <v>350</v>
          </cell>
          <cell r="AZ59">
            <v>0</v>
          </cell>
          <cell r="BA59">
            <v>0</v>
          </cell>
          <cell r="BB59">
            <v>171</v>
          </cell>
          <cell r="BC59">
            <v>30</v>
          </cell>
          <cell r="BD59">
            <v>52</v>
          </cell>
          <cell r="BE59">
            <v>50</v>
          </cell>
          <cell r="BF59">
            <v>0</v>
          </cell>
          <cell r="BH59">
            <v>2230</v>
          </cell>
          <cell r="BI59">
            <v>1453</v>
          </cell>
          <cell r="BJ59">
            <v>13916</v>
          </cell>
          <cell r="BK59">
            <v>2894</v>
          </cell>
          <cell r="BL59">
            <v>1939</v>
          </cell>
          <cell r="BM59">
            <v>2964</v>
          </cell>
          <cell r="BN59">
            <v>0</v>
          </cell>
          <cell r="BO59">
            <v>27</v>
          </cell>
          <cell r="BP59">
            <v>144</v>
          </cell>
          <cell r="BQ59">
            <v>30</v>
          </cell>
          <cell r="BR59">
            <v>52</v>
          </cell>
          <cell r="BS59">
            <v>50</v>
          </cell>
          <cell r="BT59">
            <v>0.106719367588933</v>
          </cell>
          <cell r="BV59">
            <v>1518</v>
          </cell>
          <cell r="BX59">
            <v>10315</v>
          </cell>
          <cell r="BY59">
            <v>3261</v>
          </cell>
          <cell r="BZ59">
            <v>4816</v>
          </cell>
          <cell r="CA59">
            <v>2964</v>
          </cell>
          <cell r="CB59">
            <v>17059.977986521597</v>
          </cell>
          <cell r="CC59">
            <v>5844.4079243179094</v>
          </cell>
          <cell r="CD59">
            <v>13328.489753489755</v>
          </cell>
          <cell r="CE59">
            <v>0</v>
          </cell>
          <cell r="CF59">
            <v>0</v>
          </cell>
          <cell r="CG59">
            <v>0</v>
          </cell>
          <cell r="CM59">
            <v>0</v>
          </cell>
          <cell r="CZ59">
            <v>0.12566751291254485</v>
          </cell>
          <cell r="DA59">
            <v>0.18654684095860566</v>
          </cell>
          <cell r="DB59">
            <v>34736235.740000002</v>
          </cell>
          <cell r="DC59">
            <v>96.2</v>
          </cell>
          <cell r="DD59">
            <v>2</v>
          </cell>
          <cell r="DE59">
            <v>0.1</v>
          </cell>
          <cell r="DF59">
            <v>90.3</v>
          </cell>
          <cell r="DG59">
            <v>4.0999999999999996</v>
          </cell>
          <cell r="DH59">
            <v>3.7</v>
          </cell>
          <cell r="DI59">
            <v>98.2</v>
          </cell>
          <cell r="DJ59">
            <v>98</v>
          </cell>
        </row>
        <row r="60">
          <cell r="A60">
            <v>372</v>
          </cell>
          <cell r="B60">
            <v>7.5646866672397497E-3</v>
          </cell>
          <cell r="C60">
            <v>1.4613599243531301E-2</v>
          </cell>
          <cell r="D60">
            <v>1.7805255023183902E-2</v>
          </cell>
          <cell r="E60">
            <v>2.0216383307573398E-2</v>
          </cell>
          <cell r="F60">
            <v>2462</v>
          </cell>
          <cell r="G60">
            <v>391</v>
          </cell>
          <cell r="H60">
            <v>20</v>
          </cell>
          <cell r="I60">
            <v>230</v>
          </cell>
          <cell r="J60">
            <v>9.6870686340200948E-2</v>
          </cell>
          <cell r="K60">
            <v>0.10346307830428783</v>
          </cell>
          <cell r="L60">
            <v>420</v>
          </cell>
          <cell r="M60">
            <v>600</v>
          </cell>
          <cell r="N60">
            <v>60</v>
          </cell>
          <cell r="O60">
            <v>162</v>
          </cell>
          <cell r="P60">
            <v>0</v>
          </cell>
          <cell r="Q60">
            <v>0</v>
          </cell>
          <cell r="R60">
            <v>0</v>
          </cell>
          <cell r="S60">
            <v>3772</v>
          </cell>
          <cell r="T60">
            <v>15731</v>
          </cell>
          <cell r="U60">
            <v>4141</v>
          </cell>
          <cell r="V60">
            <v>555</v>
          </cell>
          <cell r="W60">
            <v>0</v>
          </cell>
          <cell r="X60">
            <v>1</v>
          </cell>
          <cell r="Y60">
            <v>1</v>
          </cell>
          <cell r="Z60">
            <v>0</v>
          </cell>
          <cell r="AA60">
            <v>0</v>
          </cell>
          <cell r="AB60">
            <v>0</v>
          </cell>
          <cell r="AC60">
            <v>0</v>
          </cell>
          <cell r="AD60">
            <v>0</v>
          </cell>
          <cell r="AE60">
            <v>2980</v>
          </cell>
          <cell r="AF60">
            <v>10928</v>
          </cell>
          <cell r="AG60">
            <v>2148</v>
          </cell>
          <cell r="AH60">
            <v>1800</v>
          </cell>
          <cell r="AI60">
            <v>0</v>
          </cell>
          <cell r="AJ60" t="str">
            <v>NULL</v>
          </cell>
          <cell r="AK60" t="str">
            <v>NULL</v>
          </cell>
          <cell r="AL60">
            <v>0</v>
          </cell>
          <cell r="AM60">
            <v>0</v>
          </cell>
          <cell r="AN60">
            <v>0</v>
          </cell>
          <cell r="AO60">
            <v>0</v>
          </cell>
          <cell r="AP60">
            <v>0</v>
          </cell>
          <cell r="AQ60">
            <v>0</v>
          </cell>
          <cell r="AX60">
            <v>1444</v>
          </cell>
          <cell r="AY60">
            <v>0</v>
          </cell>
          <cell r="AZ60">
            <v>60</v>
          </cell>
          <cell r="BA60">
            <v>0</v>
          </cell>
          <cell r="BB60">
            <v>132</v>
          </cell>
          <cell r="BC60">
            <v>0</v>
          </cell>
          <cell r="BD60">
            <v>0</v>
          </cell>
          <cell r="BE60">
            <v>30</v>
          </cell>
          <cell r="BF60">
            <v>0.3125</v>
          </cell>
          <cell r="BH60">
            <v>1514</v>
          </cell>
          <cell r="BI60">
            <v>2920</v>
          </cell>
          <cell r="BJ60">
            <v>12201</v>
          </cell>
          <cell r="BK60">
            <v>1910</v>
          </cell>
          <cell r="BL60">
            <v>1791</v>
          </cell>
          <cell r="BM60">
            <v>3863</v>
          </cell>
          <cell r="BN60">
            <v>60</v>
          </cell>
          <cell r="BO60">
            <v>30</v>
          </cell>
          <cell r="BP60">
            <v>102</v>
          </cell>
          <cell r="BQ60">
            <v>0</v>
          </cell>
          <cell r="BR60">
            <v>0</v>
          </cell>
          <cell r="BS60">
            <v>30</v>
          </cell>
          <cell r="BT60">
            <v>0.46875</v>
          </cell>
          <cell r="BV60">
            <v>2105</v>
          </cell>
          <cell r="BX60">
            <v>11757</v>
          </cell>
          <cell r="BY60">
            <v>1143</v>
          </cell>
          <cell r="BZ60">
            <v>4201</v>
          </cell>
          <cell r="CA60">
            <v>3503</v>
          </cell>
          <cell r="CB60">
            <v>12010.138937340023</v>
          </cell>
          <cell r="CC60">
            <v>0</v>
          </cell>
          <cell r="CD60">
            <v>26820.918249489681</v>
          </cell>
          <cell r="CE60">
            <v>15520.666104323695</v>
          </cell>
          <cell r="CF60">
            <v>0</v>
          </cell>
          <cell r="CG60">
            <v>0</v>
          </cell>
          <cell r="CM60">
            <v>0</v>
          </cell>
          <cell r="CZ60">
            <v>0.1445830085736555</v>
          </cell>
          <cell r="DA60">
            <v>6.6785014691478947E-2</v>
          </cell>
          <cell r="DB60">
            <v>27618615.07</v>
          </cell>
          <cell r="DC60">
            <v>93.5</v>
          </cell>
          <cell r="DD60">
            <v>3.9</v>
          </cell>
          <cell r="DE60">
            <v>0.7</v>
          </cell>
          <cell r="DF60">
            <v>93.9</v>
          </cell>
          <cell r="DG60">
            <v>3.7</v>
          </cell>
          <cell r="DH60">
            <v>0.5</v>
          </cell>
          <cell r="DI60">
            <v>98.1</v>
          </cell>
          <cell r="DJ60">
            <v>98.1</v>
          </cell>
        </row>
        <row r="61">
          <cell r="A61">
            <v>373</v>
          </cell>
          <cell r="B61">
            <v>3.2794634014585398E-2</v>
          </cell>
          <cell r="C61">
            <v>1.24696137570901E-2</v>
          </cell>
          <cell r="D61">
            <v>2.5857539593184702E-2</v>
          </cell>
          <cell r="E61">
            <v>9.4573294303084907E-3</v>
          </cell>
          <cell r="F61">
            <v>3955</v>
          </cell>
          <cell r="G61">
            <v>1917</v>
          </cell>
          <cell r="H61">
            <v>370</v>
          </cell>
          <cell r="I61">
            <v>580</v>
          </cell>
          <cell r="J61">
            <v>7.2205113378598945E-2</v>
          </cell>
          <cell r="K61">
            <v>5.5119915663444756E-2</v>
          </cell>
          <cell r="L61">
            <v>720</v>
          </cell>
          <cell r="M61">
            <v>1740</v>
          </cell>
          <cell r="N61">
            <v>30</v>
          </cell>
          <cell r="O61">
            <v>28</v>
          </cell>
          <cell r="P61">
            <v>0</v>
          </cell>
          <cell r="Q61">
            <v>0</v>
          </cell>
          <cell r="R61">
            <v>0</v>
          </cell>
          <cell r="S61">
            <v>6321</v>
          </cell>
          <cell r="T61">
            <v>30720</v>
          </cell>
          <cell r="U61">
            <v>7910</v>
          </cell>
          <cell r="V61">
            <v>395</v>
          </cell>
          <cell r="W61">
            <v>0</v>
          </cell>
          <cell r="X61">
            <v>1</v>
          </cell>
          <cell r="Y61">
            <v>1</v>
          </cell>
          <cell r="Z61">
            <v>50</v>
          </cell>
          <cell r="AA61">
            <v>0</v>
          </cell>
          <cell r="AB61">
            <v>190</v>
          </cell>
          <cell r="AC61">
            <v>0</v>
          </cell>
          <cell r="AD61">
            <v>360</v>
          </cell>
          <cell r="AE61">
            <v>6599</v>
          </cell>
          <cell r="AF61">
            <v>13616</v>
          </cell>
          <cell r="AG61">
            <v>6738</v>
          </cell>
          <cell r="AH61">
            <v>2250</v>
          </cell>
          <cell r="AI61">
            <v>240</v>
          </cell>
          <cell r="AJ61">
            <v>0.20833333333333301</v>
          </cell>
          <cell r="AK61">
            <v>97</v>
          </cell>
          <cell r="AL61">
            <v>0</v>
          </cell>
          <cell r="AM61">
            <v>50</v>
          </cell>
          <cell r="AN61">
            <v>0</v>
          </cell>
          <cell r="AO61">
            <v>190</v>
          </cell>
          <cell r="AP61">
            <v>0</v>
          </cell>
          <cell r="AQ61">
            <v>360</v>
          </cell>
          <cell r="AX61">
            <v>2250</v>
          </cell>
          <cell r="AY61">
            <v>3332</v>
          </cell>
          <cell r="AZ61">
            <v>0</v>
          </cell>
          <cell r="BA61">
            <v>30</v>
          </cell>
          <cell r="BB61">
            <v>28</v>
          </cell>
          <cell r="BC61">
            <v>0</v>
          </cell>
          <cell r="BD61">
            <v>0</v>
          </cell>
          <cell r="BE61">
            <v>0</v>
          </cell>
          <cell r="BF61">
            <v>0.51724137931034497</v>
          </cell>
          <cell r="BH61">
            <v>4227</v>
          </cell>
          <cell r="BI61">
            <v>5976</v>
          </cell>
          <cell r="BJ61">
            <v>22538</v>
          </cell>
          <cell r="BK61">
            <v>6853</v>
          </cell>
          <cell r="BL61">
            <v>1054</v>
          </cell>
          <cell r="BM61">
            <v>4698</v>
          </cell>
          <cell r="BN61">
            <v>0</v>
          </cell>
          <cell r="BO61">
            <v>0</v>
          </cell>
          <cell r="BP61">
            <v>58</v>
          </cell>
          <cell r="BQ61">
            <v>0</v>
          </cell>
          <cell r="BR61">
            <v>0</v>
          </cell>
          <cell r="BS61">
            <v>0</v>
          </cell>
          <cell r="BT61">
            <v>0</v>
          </cell>
          <cell r="BV61">
            <v>4213</v>
          </cell>
          <cell r="BX61">
            <v>25372</v>
          </cell>
          <cell r="BY61">
            <v>4983</v>
          </cell>
          <cell r="BZ61">
            <v>3066</v>
          </cell>
          <cell r="CA61">
            <v>4698</v>
          </cell>
          <cell r="CB61">
            <v>16761.960205636235</v>
          </cell>
          <cell r="CC61">
            <v>6231.9430035351288</v>
          </cell>
          <cell r="CD61">
            <v>0</v>
          </cell>
          <cell r="CE61">
            <v>19788.677726484602</v>
          </cell>
          <cell r="CF61">
            <v>10324.401239785857</v>
          </cell>
          <cell r="CG61">
            <v>0</v>
          </cell>
          <cell r="CM61">
            <v>0</v>
          </cell>
          <cell r="CZ61">
            <v>0.17934385121721869</v>
          </cell>
          <cell r="DA61">
            <v>0.18474528339999191</v>
          </cell>
          <cell r="DB61">
            <v>117514989.79000001</v>
          </cell>
          <cell r="DC61">
            <v>93.8</v>
          </cell>
          <cell r="DD61">
            <v>3.9</v>
          </cell>
          <cell r="DE61">
            <v>1.1000000000000001</v>
          </cell>
          <cell r="DF61">
            <v>90.6</v>
          </cell>
          <cell r="DG61">
            <v>5.4</v>
          </cell>
          <cell r="DH61">
            <v>1.5</v>
          </cell>
          <cell r="DI61">
            <v>98.8</v>
          </cell>
          <cell r="DJ61">
            <v>97.5</v>
          </cell>
        </row>
        <row r="62">
          <cell r="A62">
            <v>380</v>
          </cell>
          <cell r="B62">
            <v>2.4139058413252E-2</v>
          </cell>
          <cell r="C62">
            <v>3.7416448706771299E-3</v>
          </cell>
          <cell r="D62">
            <v>4.8982810282289901E-2</v>
          </cell>
          <cell r="E62">
            <v>1.04715344582873E-2</v>
          </cell>
          <cell r="F62">
            <v>7657</v>
          </cell>
          <cell r="G62">
            <v>4820</v>
          </cell>
          <cell r="H62">
            <v>100</v>
          </cell>
          <cell r="I62">
            <v>260</v>
          </cell>
          <cell r="J62">
            <v>7.0880700870588398E-2</v>
          </cell>
          <cell r="K62">
            <v>9.0057055205891828E-2</v>
          </cell>
          <cell r="L62">
            <v>813</v>
          </cell>
          <cell r="M62">
            <v>1080</v>
          </cell>
          <cell r="N62">
            <v>0</v>
          </cell>
          <cell r="O62">
            <v>102</v>
          </cell>
          <cell r="P62">
            <v>0</v>
          </cell>
          <cell r="Q62">
            <v>0</v>
          </cell>
          <cell r="R62">
            <v>0</v>
          </cell>
          <cell r="S62">
            <v>7923</v>
          </cell>
          <cell r="T62">
            <v>34944</v>
          </cell>
          <cell r="U62">
            <v>10098</v>
          </cell>
          <cell r="V62">
            <v>2583</v>
          </cell>
          <cell r="W62">
            <v>0</v>
          </cell>
          <cell r="X62">
            <v>1</v>
          </cell>
          <cell r="Y62">
            <v>1</v>
          </cell>
          <cell r="Z62">
            <v>228</v>
          </cell>
          <cell r="AA62">
            <v>313</v>
          </cell>
          <cell r="AB62">
            <v>0</v>
          </cell>
          <cell r="AC62">
            <v>0</v>
          </cell>
          <cell r="AD62">
            <v>0</v>
          </cell>
          <cell r="AE62">
            <v>7604</v>
          </cell>
          <cell r="AF62">
            <v>12262</v>
          </cell>
          <cell r="AG62">
            <v>8290</v>
          </cell>
          <cell r="AH62">
            <v>2948</v>
          </cell>
          <cell r="AI62">
            <v>0</v>
          </cell>
          <cell r="AJ62">
            <v>1</v>
          </cell>
          <cell r="AK62">
            <v>1</v>
          </cell>
          <cell r="AL62">
            <v>186</v>
          </cell>
          <cell r="AM62">
            <v>148</v>
          </cell>
          <cell r="AN62">
            <v>127</v>
          </cell>
          <cell r="AO62">
            <v>40</v>
          </cell>
          <cell r="AP62">
            <v>0</v>
          </cell>
          <cell r="AQ62">
            <v>40</v>
          </cell>
          <cell r="AX62">
            <v>2138</v>
          </cell>
          <cell r="AY62">
            <v>1730</v>
          </cell>
          <cell r="AZ62">
            <v>0</v>
          </cell>
          <cell r="BA62">
            <v>0</v>
          </cell>
          <cell r="BB62">
            <v>75</v>
          </cell>
          <cell r="BC62">
            <v>0</v>
          </cell>
          <cell r="BD62">
            <v>0</v>
          </cell>
          <cell r="BE62">
            <v>27</v>
          </cell>
          <cell r="BF62">
            <v>0</v>
          </cell>
          <cell r="BH62">
            <v>8505</v>
          </cell>
          <cell r="BI62">
            <v>12714</v>
          </cell>
          <cell r="BJ62">
            <v>24810</v>
          </cell>
          <cell r="BK62">
            <v>5879</v>
          </cell>
          <cell r="BL62">
            <v>630</v>
          </cell>
          <cell r="BM62">
            <v>3010</v>
          </cell>
          <cell r="BN62">
            <v>0</v>
          </cell>
          <cell r="BO62">
            <v>0</v>
          </cell>
          <cell r="BP62">
            <v>75</v>
          </cell>
          <cell r="BQ62">
            <v>0</v>
          </cell>
          <cell r="BR62">
            <v>0</v>
          </cell>
          <cell r="BS62">
            <v>27</v>
          </cell>
          <cell r="BT62">
            <v>0</v>
          </cell>
          <cell r="BV62">
            <v>4604</v>
          </cell>
          <cell r="BX62">
            <v>32023</v>
          </cell>
          <cell r="BY62">
            <v>5452</v>
          </cell>
          <cell r="BZ62">
            <v>4148</v>
          </cell>
          <cell r="CA62">
            <v>3010</v>
          </cell>
          <cell r="CB62">
            <v>16571.13841341019</v>
          </cell>
          <cell r="CC62">
            <v>11943.348416289595</v>
          </cell>
          <cell r="CD62">
            <v>0</v>
          </cell>
          <cell r="CE62">
            <v>7784.7024608501124</v>
          </cell>
          <cell r="CF62">
            <v>0</v>
          </cell>
          <cell r="CG62">
            <v>17470.335101192246</v>
          </cell>
          <cell r="CM62">
            <v>1</v>
          </cell>
          <cell r="CZ62">
            <v>0.16459404771941658</v>
          </cell>
          <cell r="DA62">
            <v>0.35165783794388855</v>
          </cell>
          <cell r="DB62">
            <v>113819680.30999999</v>
          </cell>
          <cell r="DC62">
            <v>89.1</v>
          </cell>
          <cell r="DD62">
            <v>5.6</v>
          </cell>
          <cell r="DE62">
            <v>2.2999999999999998</v>
          </cell>
          <cell r="DF62">
            <v>74.2</v>
          </cell>
          <cell r="DG62">
            <v>9.5</v>
          </cell>
          <cell r="DH62">
            <v>4.3</v>
          </cell>
          <cell r="DI62">
            <v>97</v>
          </cell>
          <cell r="DJ62">
            <v>88</v>
          </cell>
        </row>
        <row r="63">
          <cell r="A63">
            <v>381</v>
          </cell>
          <cell r="B63">
            <v>1.23547272536907E-2</v>
          </cell>
          <cell r="C63">
            <v>1.5705161763166199E-2</v>
          </cell>
          <cell r="D63">
            <v>4.7680217621278498E-2</v>
          </cell>
          <cell r="E63">
            <v>2.4331267946199199E-2</v>
          </cell>
          <cell r="F63">
            <v>1471</v>
          </cell>
          <cell r="G63">
            <v>1611</v>
          </cell>
          <cell r="H63">
            <v>80</v>
          </cell>
          <cell r="I63">
            <v>30</v>
          </cell>
          <cell r="J63">
            <v>0.11211926926217079</v>
          </cell>
          <cell r="K63">
            <v>3.5312576666048021E-2</v>
          </cell>
          <cell r="L63">
            <v>126</v>
          </cell>
          <cell r="M63">
            <v>375</v>
          </cell>
          <cell r="N63">
            <v>0</v>
          </cell>
          <cell r="O63">
            <v>0</v>
          </cell>
          <cell r="P63">
            <v>30</v>
          </cell>
          <cell r="Q63">
            <v>0</v>
          </cell>
          <cell r="R63">
            <v>0</v>
          </cell>
          <cell r="S63">
            <v>6291</v>
          </cell>
          <cell r="T63">
            <v>11817</v>
          </cell>
          <cell r="U63">
            <v>1741</v>
          </cell>
          <cell r="V63">
            <v>855</v>
          </cell>
          <cell r="W63">
            <v>0</v>
          </cell>
          <cell r="X63">
            <v>0</v>
          </cell>
          <cell r="Y63">
            <v>135</v>
          </cell>
          <cell r="Z63">
            <v>0</v>
          </cell>
          <cell r="AA63">
            <v>100</v>
          </cell>
          <cell r="AB63">
            <v>0</v>
          </cell>
          <cell r="AC63">
            <v>0</v>
          </cell>
          <cell r="AD63">
            <v>0</v>
          </cell>
          <cell r="AE63">
            <v>4305</v>
          </cell>
          <cell r="AF63">
            <v>9513</v>
          </cell>
          <cell r="AG63">
            <v>1442</v>
          </cell>
          <cell r="AH63">
            <v>1675</v>
          </cell>
          <cell r="AI63">
            <v>0</v>
          </cell>
          <cell r="AJ63">
            <v>1</v>
          </cell>
          <cell r="AK63">
            <v>1</v>
          </cell>
          <cell r="AL63">
            <v>0</v>
          </cell>
          <cell r="AM63">
            <v>100</v>
          </cell>
          <cell r="AN63">
            <v>0</v>
          </cell>
          <cell r="AO63">
            <v>0</v>
          </cell>
          <cell r="AP63">
            <v>0</v>
          </cell>
          <cell r="AQ63">
            <v>0</v>
          </cell>
          <cell r="AX63">
            <v>631</v>
          </cell>
          <cell r="AY63">
            <v>0</v>
          </cell>
          <cell r="AZ63">
            <v>0</v>
          </cell>
          <cell r="BA63">
            <v>0</v>
          </cell>
          <cell r="BB63">
            <v>30</v>
          </cell>
          <cell r="BC63">
            <v>0</v>
          </cell>
          <cell r="BD63">
            <v>0</v>
          </cell>
          <cell r="BE63">
            <v>0</v>
          </cell>
          <cell r="BF63">
            <v>0</v>
          </cell>
          <cell r="BH63">
            <v>1940</v>
          </cell>
          <cell r="BI63">
            <v>3097</v>
          </cell>
          <cell r="BJ63">
            <v>12188</v>
          </cell>
          <cell r="BK63">
            <v>1050</v>
          </cell>
          <cell r="BL63">
            <v>1529</v>
          </cell>
          <cell r="BM63">
            <v>900</v>
          </cell>
          <cell r="BN63">
            <v>0</v>
          </cell>
          <cell r="BO63">
            <v>0</v>
          </cell>
          <cell r="BP63">
            <v>0</v>
          </cell>
          <cell r="BQ63">
            <v>30</v>
          </cell>
          <cell r="BR63">
            <v>0</v>
          </cell>
          <cell r="BS63">
            <v>0</v>
          </cell>
          <cell r="BT63">
            <v>0</v>
          </cell>
          <cell r="BV63">
            <v>2299</v>
          </cell>
          <cell r="BX63">
            <v>12750</v>
          </cell>
          <cell r="BY63">
            <v>2220</v>
          </cell>
          <cell r="BZ63">
            <v>2120</v>
          </cell>
          <cell r="CA63">
            <v>900</v>
          </cell>
          <cell r="CB63">
            <v>4551.7122698330759</v>
          </cell>
          <cell r="CC63">
            <v>0</v>
          </cell>
          <cell r="CD63">
            <v>15506.318545651879</v>
          </cell>
          <cell r="CE63">
            <v>0</v>
          </cell>
          <cell r="CF63">
            <v>0</v>
          </cell>
          <cell r="CG63">
            <v>0</v>
          </cell>
          <cell r="CM63">
            <v>0</v>
          </cell>
          <cell r="CZ63">
            <v>8.8110281447443997E-2</v>
          </cell>
          <cell r="DA63">
            <v>0.11475658844079897</v>
          </cell>
          <cell r="DB63">
            <v>26437160.869999997</v>
          </cell>
          <cell r="DC63">
            <v>94.7</v>
          </cell>
          <cell r="DD63">
            <v>3.4</v>
          </cell>
          <cell r="DE63">
            <v>0.8</v>
          </cell>
          <cell r="DF63">
            <v>87.5</v>
          </cell>
          <cell r="DG63">
            <v>5.7</v>
          </cell>
          <cell r="DH63">
            <v>3.3</v>
          </cell>
          <cell r="DI63">
            <v>98.9</v>
          </cell>
          <cell r="DJ63">
            <v>96.5</v>
          </cell>
        </row>
        <row r="64">
          <cell r="A64">
            <v>382</v>
          </cell>
          <cell r="B64">
            <v>8.5523571130579901E-3</v>
          </cell>
          <cell r="C64">
            <v>3.23320817688778E-3</v>
          </cell>
          <cell r="D64">
            <v>8.2320003342944304E-3</v>
          </cell>
          <cell r="E64">
            <v>1.00706196982993E-2</v>
          </cell>
          <cell r="F64">
            <v>2857</v>
          </cell>
          <cell r="G64">
            <v>1446</v>
          </cell>
          <cell r="H64">
            <v>300</v>
          </cell>
          <cell r="I64">
            <v>100</v>
          </cell>
          <cell r="J64">
            <v>9.8901452063024101E-2</v>
          </cell>
          <cell r="K64">
            <v>6.1222006637002502E-2</v>
          </cell>
          <cell r="L64">
            <v>692</v>
          </cell>
          <cell r="M64">
            <v>294</v>
          </cell>
          <cell r="N64">
            <v>0</v>
          </cell>
          <cell r="O64">
            <v>167</v>
          </cell>
          <cell r="P64">
            <v>85</v>
          </cell>
          <cell r="Q64">
            <v>0</v>
          </cell>
          <cell r="R64">
            <v>0</v>
          </cell>
          <cell r="S64">
            <v>4098</v>
          </cell>
          <cell r="T64">
            <v>27319</v>
          </cell>
          <cell r="U64">
            <v>5176</v>
          </cell>
          <cell r="V64">
            <v>1050</v>
          </cell>
          <cell r="W64">
            <v>630</v>
          </cell>
          <cell r="X64">
            <v>0.66269841269841301</v>
          </cell>
          <cell r="Y64">
            <v>121</v>
          </cell>
          <cell r="Z64">
            <v>211</v>
          </cell>
          <cell r="AA64">
            <v>105</v>
          </cell>
          <cell r="AB64">
            <v>0</v>
          </cell>
          <cell r="AC64">
            <v>200</v>
          </cell>
          <cell r="AD64">
            <v>0</v>
          </cell>
          <cell r="AE64">
            <v>5144</v>
          </cell>
          <cell r="AF64">
            <v>13816</v>
          </cell>
          <cell r="AG64">
            <v>5355</v>
          </cell>
          <cell r="AH64">
            <v>2886</v>
          </cell>
          <cell r="AI64">
            <v>0</v>
          </cell>
          <cell r="AJ64">
            <v>0.612403100775194</v>
          </cell>
          <cell r="AK64">
            <v>89</v>
          </cell>
          <cell r="AL64">
            <v>150</v>
          </cell>
          <cell r="AM64">
            <v>0</v>
          </cell>
          <cell r="AN64">
            <v>0</v>
          </cell>
          <cell r="AO64">
            <v>305</v>
          </cell>
          <cell r="AP64">
            <v>0</v>
          </cell>
          <cell r="AQ64">
            <v>61</v>
          </cell>
          <cell r="AX64">
            <v>1547</v>
          </cell>
          <cell r="AY64">
            <v>2043</v>
          </cell>
          <cell r="AZ64">
            <v>0</v>
          </cell>
          <cell r="BA64">
            <v>47</v>
          </cell>
          <cell r="BB64">
            <v>85</v>
          </cell>
          <cell r="BC64">
            <v>90</v>
          </cell>
          <cell r="BD64">
            <v>30</v>
          </cell>
          <cell r="BE64">
            <v>0</v>
          </cell>
          <cell r="BF64">
            <v>0.18650793650793701</v>
          </cell>
          <cell r="BH64">
            <v>995</v>
          </cell>
          <cell r="BI64">
            <v>5420</v>
          </cell>
          <cell r="BJ64">
            <v>16813</v>
          </cell>
          <cell r="BK64">
            <v>5141</v>
          </cell>
          <cell r="BL64">
            <v>2450</v>
          </cell>
          <cell r="BM64">
            <v>7454</v>
          </cell>
          <cell r="BN64">
            <v>0</v>
          </cell>
          <cell r="BO64">
            <v>0</v>
          </cell>
          <cell r="BP64">
            <v>106</v>
          </cell>
          <cell r="BQ64">
            <v>26</v>
          </cell>
          <cell r="BR64">
            <v>120</v>
          </cell>
          <cell r="BS64">
            <v>0</v>
          </cell>
          <cell r="BT64">
            <v>0</v>
          </cell>
          <cell r="BV64">
            <v>397</v>
          </cell>
          <cell r="BX64">
            <v>19188</v>
          </cell>
          <cell r="BY64">
            <v>3147</v>
          </cell>
          <cell r="BZ64">
            <v>6051</v>
          </cell>
          <cell r="CA64">
            <v>7454</v>
          </cell>
          <cell r="CB64">
            <v>29516.083729095695</v>
          </cell>
          <cell r="CC64">
            <v>8267.2106950719099</v>
          </cell>
          <cell r="CD64">
            <v>0</v>
          </cell>
          <cell r="CE64">
            <v>0</v>
          </cell>
          <cell r="CF64">
            <v>0</v>
          </cell>
          <cell r="CG64">
            <v>0</v>
          </cell>
          <cell r="CM64">
            <v>0</v>
          </cell>
          <cell r="CZ64">
            <v>0.13002286834367854</v>
          </cell>
          <cell r="DA64">
            <v>0.1076099624465835</v>
          </cell>
          <cell r="DB64">
            <v>53224451.890000001</v>
          </cell>
          <cell r="DC64">
            <v>93</v>
          </cell>
          <cell r="DD64">
            <v>4.4000000000000004</v>
          </cell>
          <cell r="DE64">
            <v>1.1000000000000001</v>
          </cell>
          <cell r="DF64">
            <v>86</v>
          </cell>
          <cell r="DG64">
            <v>7.7</v>
          </cell>
          <cell r="DH64">
            <v>3</v>
          </cell>
          <cell r="DI64">
            <v>98.4</v>
          </cell>
          <cell r="DJ64">
            <v>96.8</v>
          </cell>
        </row>
        <row r="65">
          <cell r="A65">
            <v>383</v>
          </cell>
          <cell r="B65">
            <v>1.9464543085501301E-2</v>
          </cell>
          <cell r="C65">
            <v>1.16466974333591E-2</v>
          </cell>
          <cell r="D65">
            <v>1.41421753328309E-2</v>
          </cell>
          <cell r="E65">
            <v>5.5513690027631296E-3</v>
          </cell>
          <cell r="F65">
            <v>11067</v>
          </cell>
          <cell r="G65">
            <v>6146</v>
          </cell>
          <cell r="H65">
            <v>2860</v>
          </cell>
          <cell r="I65">
            <v>1380</v>
          </cell>
          <cell r="J65">
            <v>6.3328961090780109E-2</v>
          </cell>
          <cell r="K65">
            <v>8.9740960575769038E-2</v>
          </cell>
          <cell r="L65">
            <v>2635</v>
          </cell>
          <cell r="M65">
            <v>502</v>
          </cell>
          <cell r="N65">
            <v>65</v>
          </cell>
          <cell r="O65">
            <v>769</v>
          </cell>
          <cell r="P65">
            <v>265</v>
          </cell>
          <cell r="Q65">
            <v>0</v>
          </cell>
          <cell r="R65">
            <v>420</v>
          </cell>
          <cell r="S65">
            <v>12266</v>
          </cell>
          <cell r="T65">
            <v>45341</v>
          </cell>
          <cell r="U65">
            <v>9991</v>
          </cell>
          <cell r="V65">
            <v>1197</v>
          </cell>
          <cell r="W65">
            <v>0</v>
          </cell>
          <cell r="X65">
            <v>0.75887170154686101</v>
          </cell>
          <cell r="Y65">
            <v>112</v>
          </cell>
          <cell r="Z65">
            <v>215</v>
          </cell>
          <cell r="AA65">
            <v>257</v>
          </cell>
          <cell r="AB65">
            <v>151</v>
          </cell>
          <cell r="AC65">
            <v>0</v>
          </cell>
          <cell r="AD65">
            <v>0</v>
          </cell>
          <cell r="AE65">
            <v>8909</v>
          </cell>
          <cell r="AF65">
            <v>24775</v>
          </cell>
          <cell r="AG65">
            <v>15645</v>
          </cell>
          <cell r="AH65">
            <v>0</v>
          </cell>
          <cell r="AI65">
            <v>300</v>
          </cell>
          <cell r="AJ65">
            <v>0.75762439807383597</v>
          </cell>
          <cell r="AK65">
            <v>79</v>
          </cell>
          <cell r="AL65">
            <v>68</v>
          </cell>
          <cell r="AM65">
            <v>305</v>
          </cell>
          <cell r="AN65">
            <v>180</v>
          </cell>
          <cell r="AO65">
            <v>70</v>
          </cell>
          <cell r="AP65">
            <v>0</v>
          </cell>
          <cell r="AQ65">
            <v>0</v>
          </cell>
          <cell r="AX65">
            <v>2418</v>
          </cell>
          <cell r="AY65">
            <v>2992</v>
          </cell>
          <cell r="AZ65">
            <v>88</v>
          </cell>
          <cell r="BA65">
            <v>26</v>
          </cell>
          <cell r="BB65">
            <v>502</v>
          </cell>
          <cell r="BC65">
            <v>165</v>
          </cell>
          <cell r="BD65">
            <v>0</v>
          </cell>
          <cell r="BE65">
            <v>738</v>
          </cell>
          <cell r="BF65">
            <v>0.14596670934699099</v>
          </cell>
          <cell r="BH65">
            <v>8207</v>
          </cell>
          <cell r="BI65">
            <v>7292</v>
          </cell>
          <cell r="BJ65">
            <v>36934</v>
          </cell>
          <cell r="BK65">
            <v>7650</v>
          </cell>
          <cell r="BL65">
            <v>4554</v>
          </cell>
          <cell r="BM65">
            <v>4158</v>
          </cell>
          <cell r="BN65">
            <v>86</v>
          </cell>
          <cell r="BO65">
            <v>0</v>
          </cell>
          <cell r="BP65">
            <v>698</v>
          </cell>
          <cell r="BQ65">
            <v>15</v>
          </cell>
          <cell r="BR65">
            <v>0</v>
          </cell>
          <cell r="BS65">
            <v>720</v>
          </cell>
          <cell r="BT65">
            <v>0.107634543178974</v>
          </cell>
          <cell r="BV65">
            <v>6107</v>
          </cell>
          <cell r="BX65">
            <v>41955</v>
          </cell>
          <cell r="BY65">
            <v>3180</v>
          </cell>
          <cell r="BZ65">
            <v>7010</v>
          </cell>
          <cell r="CA65">
            <v>3726</v>
          </cell>
          <cell r="CB65">
            <v>50132.583848576767</v>
          </cell>
          <cell r="CC65">
            <v>15699.921200310517</v>
          </cell>
          <cell r="CD65">
            <v>0</v>
          </cell>
          <cell r="CE65">
            <v>71287.686672302065</v>
          </cell>
          <cell r="CF65">
            <v>0</v>
          </cell>
          <cell r="CG65">
            <v>0</v>
          </cell>
          <cell r="CM65">
            <v>0</v>
          </cell>
          <cell r="CZ65">
            <v>0.32830133372416825</v>
          </cell>
          <cell r="DA65">
            <v>0.23096728731333172</v>
          </cell>
          <cell r="DB65">
            <v>222044282.20000002</v>
          </cell>
          <cell r="DC65">
            <v>88.2</v>
          </cell>
          <cell r="DD65">
            <v>6.1</v>
          </cell>
          <cell r="DE65">
            <v>1.6</v>
          </cell>
          <cell r="DF65">
            <v>82.3</v>
          </cell>
          <cell r="DG65">
            <v>8.1</v>
          </cell>
          <cell r="DH65">
            <v>2.7</v>
          </cell>
          <cell r="DI65">
            <v>95.9</v>
          </cell>
          <cell r="DJ65">
            <v>93.1</v>
          </cell>
        </row>
        <row r="66">
          <cell r="A66">
            <v>384</v>
          </cell>
          <cell r="B66">
            <v>4.3338459387669498E-3</v>
          </cell>
          <cell r="C66">
            <v>3.0476723053264401E-2</v>
          </cell>
          <cell r="D66">
            <v>1.1371751909026E-2</v>
          </cell>
          <cell r="E66">
            <v>4.2575399659396801E-2</v>
          </cell>
          <cell r="F66">
            <v>2383</v>
          </cell>
          <cell r="G66">
            <v>57</v>
          </cell>
          <cell r="H66">
            <v>280</v>
          </cell>
          <cell r="I66">
            <v>380</v>
          </cell>
          <cell r="J66">
            <v>6.0333543300687645E-2</v>
          </cell>
          <cell r="K66">
            <v>6.941553212299513E-2</v>
          </cell>
          <cell r="L66">
            <v>515</v>
          </cell>
          <cell r="M66">
            <v>125</v>
          </cell>
          <cell r="N66">
            <v>26</v>
          </cell>
          <cell r="O66">
            <v>261</v>
          </cell>
          <cell r="P66">
            <v>58</v>
          </cell>
          <cell r="Q66">
            <v>0</v>
          </cell>
          <cell r="R66">
            <v>0</v>
          </cell>
          <cell r="S66">
            <v>3686</v>
          </cell>
          <cell r="T66">
            <v>19609</v>
          </cell>
          <cell r="U66">
            <v>5946</v>
          </cell>
          <cell r="V66">
            <v>665</v>
          </cell>
          <cell r="W66">
            <v>0</v>
          </cell>
          <cell r="X66">
            <v>0.83188405797101495</v>
          </cell>
          <cell r="Y66">
            <v>109</v>
          </cell>
          <cell r="Z66">
            <v>0</v>
          </cell>
          <cell r="AA66">
            <v>0</v>
          </cell>
          <cell r="AB66">
            <v>0</v>
          </cell>
          <cell r="AC66">
            <v>0</v>
          </cell>
          <cell r="AD66">
            <v>0</v>
          </cell>
          <cell r="AE66">
            <v>2950</v>
          </cell>
          <cell r="AF66">
            <v>14177</v>
          </cell>
          <cell r="AG66">
            <v>3223</v>
          </cell>
          <cell r="AH66">
            <v>1050</v>
          </cell>
          <cell r="AI66">
            <v>0</v>
          </cell>
          <cell r="AJ66" t="str">
            <v>NULL</v>
          </cell>
          <cell r="AK66" t="str">
            <v>NULL</v>
          </cell>
          <cell r="AL66">
            <v>0</v>
          </cell>
          <cell r="AM66">
            <v>0</v>
          </cell>
          <cell r="AN66">
            <v>0</v>
          </cell>
          <cell r="AO66">
            <v>0</v>
          </cell>
          <cell r="AP66">
            <v>0</v>
          </cell>
          <cell r="AQ66">
            <v>0</v>
          </cell>
          <cell r="AX66">
            <v>1059</v>
          </cell>
          <cell r="AY66">
            <v>2203</v>
          </cell>
          <cell r="AZ66">
            <v>0</v>
          </cell>
          <cell r="BA66">
            <v>135</v>
          </cell>
          <cell r="BB66">
            <v>146</v>
          </cell>
          <cell r="BC66">
            <v>49</v>
          </cell>
          <cell r="BD66">
            <v>0</v>
          </cell>
          <cell r="BE66">
            <v>15</v>
          </cell>
          <cell r="BF66">
            <v>0.40909090909090901</v>
          </cell>
          <cell r="BH66">
            <v>1050</v>
          </cell>
          <cell r="BI66">
            <v>2499</v>
          </cell>
          <cell r="BJ66">
            <v>14737</v>
          </cell>
          <cell r="BK66">
            <v>6097</v>
          </cell>
          <cell r="BL66">
            <v>2567</v>
          </cell>
          <cell r="BM66">
            <v>2956</v>
          </cell>
          <cell r="BN66">
            <v>0</v>
          </cell>
          <cell r="BO66">
            <v>0</v>
          </cell>
          <cell r="BP66">
            <v>277</v>
          </cell>
          <cell r="BQ66">
            <v>18</v>
          </cell>
          <cell r="BR66">
            <v>35</v>
          </cell>
          <cell r="BS66">
            <v>15</v>
          </cell>
          <cell r="BT66">
            <v>0</v>
          </cell>
          <cell r="BV66">
            <v>1357</v>
          </cell>
          <cell r="BX66">
            <v>16845</v>
          </cell>
          <cell r="BY66">
            <v>2727</v>
          </cell>
          <cell r="BZ66">
            <v>4858</v>
          </cell>
          <cell r="CA66">
            <v>2956</v>
          </cell>
          <cell r="CB66">
            <v>15722.087954720842</v>
          </cell>
          <cell r="CC66">
            <v>9952.0504627994269</v>
          </cell>
          <cell r="CD66">
            <v>0</v>
          </cell>
          <cell r="CE66">
            <v>0</v>
          </cell>
          <cell r="CF66">
            <v>13105.413105413107</v>
          </cell>
          <cell r="CG66">
            <v>0</v>
          </cell>
          <cell r="CM66">
            <v>0</v>
          </cell>
          <cell r="CZ66">
            <v>0.24708605439365131</v>
          </cell>
          <cell r="DA66">
            <v>0.17208326243548297</v>
          </cell>
          <cell r="DB66">
            <v>43208774.009999998</v>
          </cell>
          <cell r="DC66">
            <v>94.5</v>
          </cell>
          <cell r="DD66">
            <v>3</v>
          </cell>
          <cell r="DE66">
            <v>0.6</v>
          </cell>
          <cell r="DF66">
            <v>92.2</v>
          </cell>
          <cell r="DG66">
            <v>4.5</v>
          </cell>
          <cell r="DH66">
            <v>0.7</v>
          </cell>
          <cell r="DI66">
            <v>98.1</v>
          </cell>
          <cell r="DJ66">
            <v>97.3</v>
          </cell>
        </row>
        <row r="67">
          <cell r="A67">
            <v>390</v>
          </cell>
          <cell r="B67">
            <v>-1.5349706353443701E-3</v>
          </cell>
          <cell r="C67">
            <v>-6.7405232247730899E-3</v>
          </cell>
          <cell r="D67">
            <v>7.1295529801324503E-2</v>
          </cell>
          <cell r="E67">
            <v>-7.5951986754966894E-2</v>
          </cell>
          <cell r="F67">
            <v>1427</v>
          </cell>
          <cell r="G67">
            <v>400</v>
          </cell>
          <cell r="H67">
            <v>20</v>
          </cell>
          <cell r="I67">
            <v>10</v>
          </cell>
          <cell r="J67">
            <v>0.12635939553120798</v>
          </cell>
          <cell r="K67">
            <v>8.8992864166286878E-2</v>
          </cell>
          <cell r="L67">
            <v>0</v>
          </cell>
          <cell r="M67">
            <v>73</v>
          </cell>
          <cell r="N67">
            <v>330</v>
          </cell>
          <cell r="O67">
            <v>0</v>
          </cell>
          <cell r="P67">
            <v>0</v>
          </cell>
          <cell r="Q67">
            <v>0</v>
          </cell>
          <cell r="R67">
            <v>0</v>
          </cell>
          <cell r="S67">
            <v>6332</v>
          </cell>
          <cell r="T67">
            <v>9098</v>
          </cell>
          <cell r="U67">
            <v>1362</v>
          </cell>
          <cell r="V67">
            <v>0</v>
          </cell>
          <cell r="W67">
            <v>0</v>
          </cell>
          <cell r="X67">
            <v>1</v>
          </cell>
          <cell r="Y67">
            <v>1</v>
          </cell>
          <cell r="Z67">
            <v>0</v>
          </cell>
          <cell r="AA67">
            <v>0</v>
          </cell>
          <cell r="AB67">
            <v>0</v>
          </cell>
          <cell r="AC67">
            <v>0</v>
          </cell>
          <cell r="AD67">
            <v>0</v>
          </cell>
          <cell r="AE67">
            <v>4256</v>
          </cell>
          <cell r="AF67">
            <v>1713</v>
          </cell>
          <cell r="AG67">
            <v>4003</v>
          </cell>
          <cell r="AH67">
            <v>2066</v>
          </cell>
          <cell r="AI67">
            <v>0</v>
          </cell>
          <cell r="AJ67" t="str">
            <v>NULL</v>
          </cell>
          <cell r="AK67" t="str">
            <v>NULL</v>
          </cell>
          <cell r="AL67">
            <v>0</v>
          </cell>
          <cell r="AM67">
            <v>0</v>
          </cell>
          <cell r="AN67">
            <v>0</v>
          </cell>
          <cell r="AO67">
            <v>0</v>
          </cell>
          <cell r="AP67">
            <v>0</v>
          </cell>
          <cell r="AQ67">
            <v>0</v>
          </cell>
          <cell r="AX67">
            <v>2066</v>
          </cell>
          <cell r="AY67">
            <v>0</v>
          </cell>
          <cell r="AZ67">
            <v>0</v>
          </cell>
          <cell r="BA67">
            <v>0</v>
          </cell>
          <cell r="BB67">
            <v>270</v>
          </cell>
          <cell r="BC67">
            <v>60</v>
          </cell>
          <cell r="BD67">
            <v>0</v>
          </cell>
          <cell r="BE67">
            <v>0</v>
          </cell>
          <cell r="BF67">
            <v>0</v>
          </cell>
          <cell r="BH67">
            <v>4549</v>
          </cell>
          <cell r="BI67">
            <v>3072</v>
          </cell>
          <cell r="BJ67">
            <v>6388</v>
          </cell>
          <cell r="BK67">
            <v>1415</v>
          </cell>
          <cell r="BL67">
            <v>928</v>
          </cell>
          <cell r="BM67">
            <v>440</v>
          </cell>
          <cell r="BN67">
            <v>0</v>
          </cell>
          <cell r="BO67">
            <v>105</v>
          </cell>
          <cell r="BP67">
            <v>225</v>
          </cell>
          <cell r="BQ67">
            <v>0</v>
          </cell>
          <cell r="BR67">
            <v>0</v>
          </cell>
          <cell r="BS67">
            <v>0</v>
          </cell>
          <cell r="BT67">
            <v>0.31818181818181801</v>
          </cell>
          <cell r="BV67">
            <v>4565</v>
          </cell>
          <cell r="BX67">
            <v>8051</v>
          </cell>
          <cell r="BY67">
            <v>718</v>
          </cell>
          <cell r="BZ67">
            <v>0</v>
          </cell>
          <cell r="CA67">
            <v>440</v>
          </cell>
          <cell r="CB67">
            <v>17275.514643405451</v>
          </cell>
          <cell r="CC67">
            <v>0</v>
          </cell>
          <cell r="CD67">
            <v>0</v>
          </cell>
          <cell r="CE67">
            <v>0</v>
          </cell>
          <cell r="CF67">
            <v>0</v>
          </cell>
          <cell r="CG67">
            <v>0</v>
          </cell>
          <cell r="CM67">
            <v>0</v>
          </cell>
          <cell r="CZ67">
            <v>0.10697124269978561</v>
          </cell>
          <cell r="DA67">
            <v>9.1039720825207837E-2</v>
          </cell>
          <cell r="DB67">
            <v>20118052.379999999</v>
          </cell>
          <cell r="DC67">
            <v>92.7</v>
          </cell>
          <cell r="DD67">
            <v>4.4000000000000004</v>
          </cell>
          <cell r="DE67">
            <v>1.3</v>
          </cell>
          <cell r="DF67">
            <v>89</v>
          </cell>
          <cell r="DG67">
            <v>8.6999999999999993</v>
          </cell>
          <cell r="DH67">
            <v>0.8</v>
          </cell>
          <cell r="DI67">
            <v>98.4</v>
          </cell>
          <cell r="DJ67">
            <v>98.5</v>
          </cell>
        </row>
        <row r="68">
          <cell r="A68">
            <v>391</v>
          </cell>
          <cell r="B68">
            <v>1.8051044083526702E-2</v>
          </cell>
          <cell r="C68">
            <v>7.8422273781902606E-3</v>
          </cell>
          <cell r="D68">
            <v>3.8960006360817402E-2</v>
          </cell>
          <cell r="E68">
            <v>1.4391349288383599E-2</v>
          </cell>
          <cell r="F68">
            <v>1805</v>
          </cell>
          <cell r="G68">
            <v>0</v>
          </cell>
          <cell r="H68">
            <v>170</v>
          </cell>
          <cell r="I68">
            <v>430</v>
          </cell>
          <cell r="J68">
            <v>6.2339955033213844E-2</v>
          </cell>
          <cell r="K68">
            <v>5.5402907166426457E-2</v>
          </cell>
          <cell r="L68">
            <v>150</v>
          </cell>
          <cell r="M68">
            <v>300</v>
          </cell>
          <cell r="N68">
            <v>38</v>
          </cell>
          <cell r="O68">
            <v>60</v>
          </cell>
          <cell r="P68">
            <v>0</v>
          </cell>
          <cell r="Q68">
            <v>0</v>
          </cell>
          <cell r="R68">
            <v>0</v>
          </cell>
          <cell r="S68">
            <v>5625</v>
          </cell>
          <cell r="T68">
            <v>13860</v>
          </cell>
          <cell r="U68">
            <v>2765</v>
          </cell>
          <cell r="V68">
            <v>0</v>
          </cell>
          <cell r="W68">
            <v>0</v>
          </cell>
          <cell r="X68">
            <v>1</v>
          </cell>
          <cell r="Y68">
            <v>1</v>
          </cell>
          <cell r="Z68">
            <v>0</v>
          </cell>
          <cell r="AA68">
            <v>0</v>
          </cell>
          <cell r="AB68">
            <v>0</v>
          </cell>
          <cell r="AC68">
            <v>0</v>
          </cell>
          <cell r="AD68">
            <v>0</v>
          </cell>
          <cell r="AE68">
            <v>5956</v>
          </cell>
          <cell r="AF68">
            <v>4700</v>
          </cell>
          <cell r="AG68">
            <v>3954</v>
          </cell>
          <cell r="AH68">
            <v>1928</v>
          </cell>
          <cell r="AI68">
            <v>720</v>
          </cell>
          <cell r="AJ68" t="str">
            <v>NULL</v>
          </cell>
          <cell r="AK68" t="str">
            <v>NULL</v>
          </cell>
          <cell r="AL68">
            <v>0</v>
          </cell>
          <cell r="AM68">
            <v>0</v>
          </cell>
          <cell r="AN68">
            <v>0</v>
          </cell>
          <cell r="AO68">
            <v>0</v>
          </cell>
          <cell r="AP68">
            <v>0</v>
          </cell>
          <cell r="AQ68">
            <v>0</v>
          </cell>
          <cell r="AX68">
            <v>2954</v>
          </cell>
          <cell r="AY68">
            <v>4469</v>
          </cell>
          <cell r="AZ68">
            <v>38</v>
          </cell>
          <cell r="BA68">
            <v>0</v>
          </cell>
          <cell r="BB68">
            <v>0</v>
          </cell>
          <cell r="BC68">
            <v>0</v>
          </cell>
          <cell r="BD68">
            <v>0</v>
          </cell>
          <cell r="BE68">
            <v>60</v>
          </cell>
          <cell r="BF68">
            <v>1</v>
          </cell>
          <cell r="BH68">
            <v>6490</v>
          </cell>
          <cell r="BI68">
            <v>3591</v>
          </cell>
          <cell r="BJ68">
            <v>7806</v>
          </cell>
          <cell r="BK68">
            <v>420</v>
          </cell>
          <cell r="BL68">
            <v>420</v>
          </cell>
          <cell r="BM68">
            <v>3523</v>
          </cell>
          <cell r="BN68">
            <v>38</v>
          </cell>
          <cell r="BO68">
            <v>0</v>
          </cell>
          <cell r="BP68">
            <v>0</v>
          </cell>
          <cell r="BQ68">
            <v>0</v>
          </cell>
          <cell r="BR68">
            <v>0</v>
          </cell>
          <cell r="BS68">
            <v>60</v>
          </cell>
          <cell r="BT68">
            <v>1</v>
          </cell>
          <cell r="BV68">
            <v>5460</v>
          </cell>
          <cell r="BX68">
            <v>7983</v>
          </cell>
          <cell r="BY68">
            <v>840</v>
          </cell>
          <cell r="BZ68">
            <v>420</v>
          </cell>
          <cell r="CA68">
            <v>3523</v>
          </cell>
          <cell r="CB68">
            <v>16967.852836886057</v>
          </cell>
          <cell r="CC68">
            <v>0</v>
          </cell>
          <cell r="CD68">
            <v>0</v>
          </cell>
          <cell r="CE68">
            <v>0</v>
          </cell>
          <cell r="CF68">
            <v>0</v>
          </cell>
          <cell r="CG68">
            <v>0</v>
          </cell>
          <cell r="CM68">
            <v>0</v>
          </cell>
          <cell r="CZ68">
            <v>0.23223483799501524</v>
          </cell>
          <cell r="DA68">
            <v>0.2250932107864389</v>
          </cell>
          <cell r="DB68">
            <v>39837261.640000008</v>
          </cell>
          <cell r="DC68">
            <v>89.5</v>
          </cell>
          <cell r="DD68">
            <v>5.6</v>
          </cell>
          <cell r="DE68">
            <v>1.6</v>
          </cell>
          <cell r="DF68">
            <v>82.1</v>
          </cell>
          <cell r="DG68">
            <v>7.9</v>
          </cell>
          <cell r="DH68">
            <v>3.5</v>
          </cell>
          <cell r="DI68">
            <v>96.8</v>
          </cell>
          <cell r="DJ68">
            <v>93.5</v>
          </cell>
        </row>
        <row r="69">
          <cell r="A69">
            <v>392</v>
          </cell>
          <cell r="B69">
            <v>9.4194422212645502E-3</v>
          </cell>
          <cell r="C69">
            <v>-9.8503970941328598E-4</v>
          </cell>
          <cell r="D69">
            <v>1.8366742371877201E-2</v>
          </cell>
          <cell r="E69">
            <v>-9.8745926730522404E-5</v>
          </cell>
          <cell r="F69">
            <v>0</v>
          </cell>
          <cell r="G69">
            <v>1333</v>
          </cell>
          <cell r="H69">
            <v>20</v>
          </cell>
          <cell r="I69">
            <v>30</v>
          </cell>
          <cell r="J69">
            <v>9.0453181101212213E-2</v>
          </cell>
          <cell r="K69">
            <v>0.1252531649285713</v>
          </cell>
          <cell r="L69">
            <v>105</v>
          </cell>
          <cell r="M69">
            <v>0</v>
          </cell>
          <cell r="N69">
            <v>0</v>
          </cell>
          <cell r="O69">
            <v>0</v>
          </cell>
          <cell r="P69">
            <v>0</v>
          </cell>
          <cell r="Q69">
            <v>0</v>
          </cell>
          <cell r="R69">
            <v>0</v>
          </cell>
          <cell r="S69">
            <v>6094</v>
          </cell>
          <cell r="T69">
            <v>10895</v>
          </cell>
          <cell r="U69">
            <v>790</v>
          </cell>
          <cell r="V69">
            <v>0</v>
          </cell>
          <cell r="W69">
            <v>0</v>
          </cell>
          <cell r="X69" t="str">
            <v>NULL</v>
          </cell>
          <cell r="Y69" t="str">
            <v>NULL</v>
          </cell>
          <cell r="Z69">
            <v>0</v>
          </cell>
          <cell r="AA69">
            <v>0</v>
          </cell>
          <cell r="AB69">
            <v>0</v>
          </cell>
          <cell r="AC69">
            <v>0</v>
          </cell>
          <cell r="AD69">
            <v>0</v>
          </cell>
          <cell r="AE69">
            <v>3983</v>
          </cell>
          <cell r="AF69">
            <v>5695</v>
          </cell>
          <cell r="AG69">
            <v>3452</v>
          </cell>
          <cell r="AH69">
            <v>0</v>
          </cell>
          <cell r="AI69">
            <v>0</v>
          </cell>
          <cell r="AJ69" t="str">
            <v>NULL</v>
          </cell>
          <cell r="AK69" t="str">
            <v>NULL</v>
          </cell>
          <cell r="AL69">
            <v>0</v>
          </cell>
          <cell r="AM69">
            <v>0</v>
          </cell>
          <cell r="AN69">
            <v>0</v>
          </cell>
          <cell r="AO69">
            <v>0</v>
          </cell>
          <cell r="AP69">
            <v>0</v>
          </cell>
          <cell r="AQ69">
            <v>0</v>
          </cell>
          <cell r="AX69">
            <v>1335</v>
          </cell>
          <cell r="AY69">
            <v>3573</v>
          </cell>
          <cell r="AZ69">
            <v>0</v>
          </cell>
          <cell r="BA69">
            <v>0</v>
          </cell>
          <cell r="BB69">
            <v>0</v>
          </cell>
          <cell r="BC69">
            <v>0</v>
          </cell>
          <cell r="BD69">
            <v>0</v>
          </cell>
          <cell r="BE69">
            <v>0</v>
          </cell>
          <cell r="BF69" t="str">
            <v>NULL</v>
          </cell>
          <cell r="BH69">
            <v>2413</v>
          </cell>
          <cell r="BI69">
            <v>2625</v>
          </cell>
          <cell r="BJ69">
            <v>8053</v>
          </cell>
          <cell r="BK69">
            <v>525</v>
          </cell>
          <cell r="BL69">
            <v>972</v>
          </cell>
          <cell r="BM69">
            <v>3191</v>
          </cell>
          <cell r="BN69">
            <v>0</v>
          </cell>
          <cell r="BO69">
            <v>0</v>
          </cell>
          <cell r="BP69">
            <v>0</v>
          </cell>
          <cell r="BQ69">
            <v>0</v>
          </cell>
          <cell r="BR69">
            <v>0</v>
          </cell>
          <cell r="BS69">
            <v>0</v>
          </cell>
          <cell r="BT69" t="str">
            <v>NULL</v>
          </cell>
          <cell r="BV69">
            <v>1083</v>
          </cell>
          <cell r="BX69">
            <v>9567</v>
          </cell>
          <cell r="BY69">
            <v>595</v>
          </cell>
          <cell r="BZ69">
            <v>602</v>
          </cell>
          <cell r="CA69">
            <v>3191</v>
          </cell>
          <cell r="CB69">
            <v>0</v>
          </cell>
          <cell r="CC69">
            <v>0</v>
          </cell>
          <cell r="CD69">
            <v>0</v>
          </cell>
          <cell r="CE69">
            <v>0</v>
          </cell>
          <cell r="CF69">
            <v>0</v>
          </cell>
          <cell r="CG69">
            <v>0</v>
          </cell>
          <cell r="CM69">
            <v>0</v>
          </cell>
          <cell r="CZ69">
            <v>0.13023868998057175</v>
          </cell>
          <cell r="DA69">
            <v>3.9330623050014182E-2</v>
          </cell>
          <cell r="DB69">
            <v>8603150.3900000006</v>
          </cell>
          <cell r="DC69">
            <v>93.2</v>
          </cell>
          <cell r="DD69">
            <v>4.2</v>
          </cell>
          <cell r="DE69">
            <v>0.8</v>
          </cell>
          <cell r="DF69">
            <v>93.1</v>
          </cell>
          <cell r="DG69">
            <v>4.4000000000000004</v>
          </cell>
          <cell r="DH69">
            <v>0.4</v>
          </cell>
          <cell r="DI69">
            <v>98.3</v>
          </cell>
          <cell r="DJ69">
            <v>97.9</v>
          </cell>
        </row>
        <row r="70">
          <cell r="A70">
            <v>393</v>
          </cell>
          <cell r="B70">
            <v>9.3087398724357902E-3</v>
          </cell>
          <cell r="C70">
            <v>6.0334425099120804E-3</v>
          </cell>
          <cell r="D70">
            <v>3.7493375728669801E-2</v>
          </cell>
          <cell r="E70">
            <v>1.2056173820879699E-2</v>
          </cell>
          <cell r="F70">
            <v>0</v>
          </cell>
          <cell r="G70">
            <v>197</v>
          </cell>
          <cell r="H70">
            <v>110</v>
          </cell>
          <cell r="I70">
            <v>0</v>
          </cell>
          <cell r="J70">
            <v>9.3439831663793438E-2</v>
          </cell>
          <cell r="K70">
            <v>0.14092070979066751</v>
          </cell>
          <cell r="L70">
            <v>630</v>
          </cell>
          <cell r="M70">
            <v>0</v>
          </cell>
          <cell r="N70">
            <v>0</v>
          </cell>
          <cell r="O70">
            <v>0</v>
          </cell>
          <cell r="P70">
            <v>0</v>
          </cell>
          <cell r="Q70">
            <v>0</v>
          </cell>
          <cell r="R70">
            <v>0</v>
          </cell>
          <cell r="S70">
            <v>3004</v>
          </cell>
          <cell r="T70">
            <v>7905</v>
          </cell>
          <cell r="U70">
            <v>1493</v>
          </cell>
          <cell r="V70">
            <v>0</v>
          </cell>
          <cell r="W70">
            <v>0</v>
          </cell>
          <cell r="X70" t="str">
            <v>NULL</v>
          </cell>
          <cell r="Y70" t="str">
            <v>NULL</v>
          </cell>
          <cell r="Z70">
            <v>0</v>
          </cell>
          <cell r="AA70">
            <v>0</v>
          </cell>
          <cell r="AB70">
            <v>0</v>
          </cell>
          <cell r="AC70">
            <v>0</v>
          </cell>
          <cell r="AD70">
            <v>0</v>
          </cell>
          <cell r="AE70">
            <v>3978</v>
          </cell>
          <cell r="AF70">
            <v>3382</v>
          </cell>
          <cell r="AG70">
            <v>2185</v>
          </cell>
          <cell r="AH70">
            <v>907</v>
          </cell>
          <cell r="AI70">
            <v>0</v>
          </cell>
          <cell r="AJ70" t="str">
            <v>NULL</v>
          </cell>
          <cell r="AK70" t="str">
            <v>NULL</v>
          </cell>
          <cell r="AL70">
            <v>0</v>
          </cell>
          <cell r="AM70">
            <v>0</v>
          </cell>
          <cell r="AN70">
            <v>0</v>
          </cell>
          <cell r="AO70">
            <v>0</v>
          </cell>
          <cell r="AP70">
            <v>0</v>
          </cell>
          <cell r="AQ70">
            <v>0</v>
          </cell>
          <cell r="AX70">
            <v>0</v>
          </cell>
          <cell r="AY70">
            <v>0</v>
          </cell>
          <cell r="AZ70">
            <v>0</v>
          </cell>
          <cell r="BA70">
            <v>0</v>
          </cell>
          <cell r="BB70">
            <v>0</v>
          </cell>
          <cell r="BC70">
            <v>0</v>
          </cell>
          <cell r="BD70">
            <v>0</v>
          </cell>
          <cell r="BE70">
            <v>0</v>
          </cell>
          <cell r="BF70" t="str">
            <v>NULL</v>
          </cell>
          <cell r="BH70">
            <v>2180</v>
          </cell>
          <cell r="BI70">
            <v>398</v>
          </cell>
          <cell r="BJ70">
            <v>7914</v>
          </cell>
          <cell r="BK70">
            <v>525</v>
          </cell>
          <cell r="BL70">
            <v>677</v>
          </cell>
          <cell r="BM70">
            <v>708</v>
          </cell>
          <cell r="BN70">
            <v>0</v>
          </cell>
          <cell r="BO70">
            <v>0</v>
          </cell>
          <cell r="BP70">
            <v>0</v>
          </cell>
          <cell r="BQ70">
            <v>0</v>
          </cell>
          <cell r="BR70">
            <v>0</v>
          </cell>
          <cell r="BS70">
            <v>0</v>
          </cell>
          <cell r="BT70" t="str">
            <v>NULL</v>
          </cell>
          <cell r="BV70">
            <v>1873</v>
          </cell>
          <cell r="BX70">
            <v>6676</v>
          </cell>
          <cell r="BY70">
            <v>623</v>
          </cell>
          <cell r="BZ70">
            <v>843</v>
          </cell>
          <cell r="CA70">
            <v>708</v>
          </cell>
          <cell r="CB70">
            <v>0</v>
          </cell>
          <cell r="CC70">
            <v>0</v>
          </cell>
          <cell r="CD70">
            <v>0</v>
          </cell>
          <cell r="CE70">
            <v>0</v>
          </cell>
          <cell r="CF70">
            <v>0</v>
          </cell>
          <cell r="CG70">
            <v>0</v>
          </cell>
          <cell r="CM70">
            <v>0</v>
          </cell>
          <cell r="CZ70">
            <v>0.13721750739010202</v>
          </cell>
          <cell r="DA70">
            <v>-3.6586791350087668E-2</v>
          </cell>
          <cell r="DB70">
            <v>7189364.3799999999</v>
          </cell>
          <cell r="DC70">
            <v>93.7</v>
          </cell>
          <cell r="DD70">
            <v>3.3</v>
          </cell>
          <cell r="DE70">
            <v>0.6</v>
          </cell>
          <cell r="DF70">
            <v>89.8</v>
          </cell>
          <cell r="DG70">
            <v>5</v>
          </cell>
          <cell r="DH70">
            <v>1.1000000000000001</v>
          </cell>
          <cell r="DI70">
            <v>97.6</v>
          </cell>
          <cell r="DJ70">
            <v>95.9</v>
          </cell>
        </row>
        <row r="71">
          <cell r="A71">
            <v>394</v>
          </cell>
          <cell r="B71">
            <v>-1.0031004924311499E-3</v>
          </cell>
          <cell r="C71">
            <v>1.6323180740470501E-2</v>
          </cell>
          <cell r="D71">
            <v>9.5973444941550006E-3</v>
          </cell>
          <cell r="E71">
            <v>2.0565738201760699E-2</v>
          </cell>
          <cell r="F71">
            <v>139</v>
          </cell>
          <cell r="G71">
            <v>0</v>
          </cell>
          <cell r="H71">
            <v>40</v>
          </cell>
          <cell r="I71">
            <v>80</v>
          </cell>
          <cell r="J71">
            <v>0.10463143081826083</v>
          </cell>
          <cell r="K71">
            <v>0.127745148890687</v>
          </cell>
          <cell r="L71">
            <v>105</v>
          </cell>
          <cell r="M71">
            <v>0</v>
          </cell>
          <cell r="N71">
            <v>0</v>
          </cell>
          <cell r="O71">
            <v>30</v>
          </cell>
          <cell r="P71">
            <v>0</v>
          </cell>
          <cell r="Q71">
            <v>0</v>
          </cell>
          <cell r="R71">
            <v>0</v>
          </cell>
          <cell r="S71">
            <v>2764</v>
          </cell>
          <cell r="T71">
            <v>18180</v>
          </cell>
          <cell r="U71">
            <v>1752</v>
          </cell>
          <cell r="V71">
            <v>0</v>
          </cell>
          <cell r="W71">
            <v>0</v>
          </cell>
          <cell r="X71">
            <v>1</v>
          </cell>
          <cell r="Y71">
            <v>1</v>
          </cell>
          <cell r="Z71">
            <v>0</v>
          </cell>
          <cell r="AA71">
            <v>81</v>
          </cell>
          <cell r="AB71">
            <v>80</v>
          </cell>
          <cell r="AC71">
            <v>0</v>
          </cell>
          <cell r="AD71">
            <v>0</v>
          </cell>
          <cell r="AE71">
            <v>1359</v>
          </cell>
          <cell r="AF71">
            <v>9160</v>
          </cell>
          <cell r="AG71">
            <v>5234</v>
          </cell>
          <cell r="AH71">
            <v>600</v>
          </cell>
          <cell r="AI71">
            <v>0</v>
          </cell>
          <cell r="AJ71">
            <v>0.50310559006211197</v>
          </cell>
          <cell r="AK71">
            <v>93</v>
          </cell>
          <cell r="AL71">
            <v>0</v>
          </cell>
          <cell r="AM71">
            <v>0</v>
          </cell>
          <cell r="AN71">
            <v>141</v>
          </cell>
          <cell r="AO71">
            <v>0</v>
          </cell>
          <cell r="AP71">
            <v>20</v>
          </cell>
          <cell r="AQ71">
            <v>0</v>
          </cell>
          <cell r="AX71">
            <v>6815</v>
          </cell>
          <cell r="AY71">
            <v>0</v>
          </cell>
          <cell r="AZ71">
            <v>0</v>
          </cell>
          <cell r="BA71">
            <v>15</v>
          </cell>
          <cell r="BB71">
            <v>0</v>
          </cell>
          <cell r="BC71">
            <v>0</v>
          </cell>
          <cell r="BD71">
            <v>15</v>
          </cell>
          <cell r="BE71">
            <v>0</v>
          </cell>
          <cell r="BF71">
            <v>0.5</v>
          </cell>
          <cell r="BH71">
            <v>3183</v>
          </cell>
          <cell r="BI71">
            <v>5025</v>
          </cell>
          <cell r="BJ71">
            <v>10357</v>
          </cell>
          <cell r="BK71">
            <v>1050</v>
          </cell>
          <cell r="BL71">
            <v>756</v>
          </cell>
          <cell r="BM71">
            <v>2325</v>
          </cell>
          <cell r="BN71">
            <v>0</v>
          </cell>
          <cell r="BO71">
            <v>30</v>
          </cell>
          <cell r="BP71">
            <v>0</v>
          </cell>
          <cell r="BQ71">
            <v>0</v>
          </cell>
          <cell r="BR71">
            <v>0</v>
          </cell>
          <cell r="BS71">
            <v>0</v>
          </cell>
          <cell r="BT71">
            <v>1</v>
          </cell>
          <cell r="BV71">
            <v>4483</v>
          </cell>
          <cell r="BX71">
            <v>8538</v>
          </cell>
          <cell r="BY71">
            <v>1890</v>
          </cell>
          <cell r="BZ71">
            <v>630</v>
          </cell>
          <cell r="CA71">
            <v>1905</v>
          </cell>
          <cell r="CB71">
            <v>0</v>
          </cell>
          <cell r="CC71">
            <v>0</v>
          </cell>
          <cell r="CD71">
            <v>8338.0536988784406</v>
          </cell>
          <cell r="CE71">
            <v>0</v>
          </cell>
          <cell r="CF71">
            <v>0</v>
          </cell>
          <cell r="CG71">
            <v>0</v>
          </cell>
          <cell r="CM71">
            <v>0</v>
          </cell>
          <cell r="CZ71">
            <v>9.2269703688772423E-2</v>
          </cell>
          <cell r="DA71">
            <v>7.2475106685633006E-2</v>
          </cell>
          <cell r="DB71">
            <v>8798378.2200000007</v>
          </cell>
          <cell r="DC71">
            <v>95.6</v>
          </cell>
          <cell r="DD71">
            <v>3.1</v>
          </cell>
          <cell r="DE71">
            <v>0.4</v>
          </cell>
          <cell r="DF71">
            <v>90.4</v>
          </cell>
          <cell r="DG71">
            <v>5</v>
          </cell>
          <cell r="DH71">
            <v>1.3</v>
          </cell>
          <cell r="DI71">
            <v>99.2</v>
          </cell>
          <cell r="DJ71">
            <v>96.7</v>
          </cell>
        </row>
        <row r="72">
          <cell r="A72">
            <v>420</v>
          </cell>
          <cell r="B72">
            <v>1.3157894736842099E-2</v>
          </cell>
          <cell r="C72">
            <v>-6.5789473684210495E-2</v>
          </cell>
          <cell r="D72">
            <v>0.16470588235294101</v>
          </cell>
          <cell r="E72">
            <v>-2.3529411764705899E-2</v>
          </cell>
          <cell r="F72">
            <v>0</v>
          </cell>
          <cell r="G72">
            <v>285</v>
          </cell>
          <cell r="H72">
            <v>10</v>
          </cell>
          <cell r="I72">
            <v>10</v>
          </cell>
          <cell r="J72">
            <v>0.15938519975533252</v>
          </cell>
          <cell r="K72">
            <v>0.1865546218487395</v>
          </cell>
          <cell r="L72">
            <v>0</v>
          </cell>
          <cell r="M72">
            <v>0</v>
          </cell>
          <cell r="N72">
            <v>0</v>
          </cell>
          <cell r="O72">
            <v>0</v>
          </cell>
          <cell r="P72">
            <v>0</v>
          </cell>
          <cell r="Q72">
            <v>0</v>
          </cell>
          <cell r="R72">
            <v>0</v>
          </cell>
          <cell r="S72">
            <v>0</v>
          </cell>
          <cell r="T72">
            <v>0</v>
          </cell>
          <cell r="U72">
            <v>0</v>
          </cell>
          <cell r="V72">
            <v>166</v>
          </cell>
          <cell r="W72">
            <v>0</v>
          </cell>
          <cell r="X72" t="str">
            <v>NULL</v>
          </cell>
          <cell r="Y72" t="str">
            <v>NULL</v>
          </cell>
          <cell r="Z72">
            <v>0</v>
          </cell>
          <cell r="AA72">
            <v>0</v>
          </cell>
          <cell r="AB72">
            <v>0</v>
          </cell>
          <cell r="AC72">
            <v>0</v>
          </cell>
          <cell r="AD72">
            <v>0</v>
          </cell>
          <cell r="AE72">
            <v>0</v>
          </cell>
          <cell r="AF72">
            <v>0</v>
          </cell>
          <cell r="AG72">
            <v>0</v>
          </cell>
          <cell r="AH72">
            <v>119</v>
          </cell>
          <cell r="AI72">
            <v>0</v>
          </cell>
          <cell r="AJ72" t="str">
            <v>NULL</v>
          </cell>
          <cell r="AK72" t="str">
            <v>NULL</v>
          </cell>
          <cell r="AL72">
            <v>0</v>
          </cell>
          <cell r="AM72">
            <v>0</v>
          </cell>
          <cell r="AN72">
            <v>0</v>
          </cell>
          <cell r="AO72">
            <v>0</v>
          </cell>
          <cell r="AP72">
            <v>0</v>
          </cell>
          <cell r="AQ72">
            <v>0</v>
          </cell>
          <cell r="AX72">
            <v>0</v>
          </cell>
          <cell r="AY72">
            <v>0</v>
          </cell>
          <cell r="AZ72">
            <v>0</v>
          </cell>
          <cell r="BA72">
            <v>0</v>
          </cell>
          <cell r="BB72">
            <v>0</v>
          </cell>
          <cell r="BC72">
            <v>0</v>
          </cell>
          <cell r="BD72">
            <v>0</v>
          </cell>
          <cell r="BE72">
            <v>0</v>
          </cell>
          <cell r="BF72" t="str">
            <v>NULL</v>
          </cell>
          <cell r="BH72">
            <v>0</v>
          </cell>
          <cell r="BI72">
            <v>0</v>
          </cell>
          <cell r="BJ72">
            <v>166</v>
          </cell>
          <cell r="BK72">
            <v>0</v>
          </cell>
          <cell r="BL72">
            <v>0</v>
          </cell>
          <cell r="BM72">
            <v>0</v>
          </cell>
          <cell r="BN72">
            <v>0</v>
          </cell>
          <cell r="BO72">
            <v>0</v>
          </cell>
          <cell r="BP72">
            <v>0</v>
          </cell>
          <cell r="BQ72">
            <v>0</v>
          </cell>
          <cell r="BR72">
            <v>0</v>
          </cell>
          <cell r="BS72">
            <v>0</v>
          </cell>
          <cell r="BT72" t="str">
            <v>NULL</v>
          </cell>
          <cell r="BV72">
            <v>0</v>
          </cell>
          <cell r="BX72">
            <v>166</v>
          </cell>
          <cell r="BY72">
            <v>0</v>
          </cell>
          <cell r="BZ72">
            <v>0</v>
          </cell>
          <cell r="CA72">
            <v>0</v>
          </cell>
          <cell r="CB72">
            <v>0</v>
          </cell>
          <cell r="CC72">
            <v>0</v>
          </cell>
          <cell r="CD72">
            <v>0</v>
          </cell>
          <cell r="CE72">
            <v>0</v>
          </cell>
          <cell r="CF72">
            <v>0</v>
          </cell>
          <cell r="CG72">
            <v>0</v>
          </cell>
          <cell r="CM72">
            <v>0</v>
          </cell>
          <cell r="CZ72">
            <v>4.7945205479452052E-2</v>
          </cell>
          <cell r="DA72">
            <v>-9.3457943925233638E-3</v>
          </cell>
          <cell r="DB72">
            <v>656457.96</v>
          </cell>
          <cell r="DC72" t="str">
            <v>N/A</v>
          </cell>
          <cell r="DD72" t="str">
            <v>N/A</v>
          </cell>
          <cell r="DE72" t="str">
            <v>N/A</v>
          </cell>
          <cell r="DF72" t="str">
            <v>N/A</v>
          </cell>
          <cell r="DG72" t="str">
            <v>N/A</v>
          </cell>
          <cell r="DH72" t="str">
            <v>N/A</v>
          </cell>
          <cell r="DI72" t="str">
            <v>N/A</v>
          </cell>
          <cell r="DJ72" t="str">
            <v>N/A</v>
          </cell>
        </row>
        <row r="73">
          <cell r="A73">
            <v>800</v>
          </cell>
          <cell r="B73">
            <v>7.0451751690227396E-2</v>
          </cell>
          <cell r="C73">
            <v>1.95912722802704E-2</v>
          </cell>
          <cell r="D73">
            <v>8.3837913367489497E-3</v>
          </cell>
          <cell r="E73">
            <v>1.16441546343735E-2</v>
          </cell>
          <cell r="F73">
            <v>1978</v>
          </cell>
          <cell r="G73">
            <v>1502</v>
          </cell>
          <cell r="H73">
            <v>160</v>
          </cell>
          <cell r="I73">
            <v>440</v>
          </cell>
          <cell r="J73">
            <v>0.11986529023918528</v>
          </cell>
          <cell r="K73">
            <v>7.9307911819848975E-2</v>
          </cell>
          <cell r="L73">
            <v>820</v>
          </cell>
          <cell r="M73">
            <v>0</v>
          </cell>
          <cell r="N73">
            <v>105</v>
          </cell>
          <cell r="O73">
            <v>145</v>
          </cell>
          <cell r="P73">
            <v>0</v>
          </cell>
          <cell r="Q73">
            <v>0</v>
          </cell>
          <cell r="R73">
            <v>420</v>
          </cell>
          <cell r="S73">
            <v>2991</v>
          </cell>
          <cell r="T73">
            <v>9400</v>
          </cell>
          <cell r="U73">
            <v>750</v>
          </cell>
          <cell r="V73">
            <v>420</v>
          </cell>
          <cell r="W73">
            <v>0</v>
          </cell>
          <cell r="X73">
            <v>1</v>
          </cell>
          <cell r="Y73">
            <v>1</v>
          </cell>
          <cell r="Z73">
            <v>0</v>
          </cell>
          <cell r="AA73">
            <v>0</v>
          </cell>
          <cell r="AB73">
            <v>0</v>
          </cell>
          <cell r="AC73">
            <v>0</v>
          </cell>
          <cell r="AD73">
            <v>0</v>
          </cell>
          <cell r="AE73">
            <v>3298</v>
          </cell>
          <cell r="AF73">
            <v>9095</v>
          </cell>
          <cell r="AG73">
            <v>2245</v>
          </cell>
          <cell r="AH73">
            <v>720</v>
          </cell>
          <cell r="AI73">
            <v>0</v>
          </cell>
          <cell r="AJ73" t="str">
            <v>NULL</v>
          </cell>
          <cell r="AK73" t="str">
            <v>NULL</v>
          </cell>
          <cell r="AL73">
            <v>0</v>
          </cell>
          <cell r="AM73">
            <v>0</v>
          </cell>
          <cell r="AN73">
            <v>0</v>
          </cell>
          <cell r="AO73">
            <v>0</v>
          </cell>
          <cell r="AP73">
            <v>0</v>
          </cell>
          <cell r="AQ73">
            <v>0</v>
          </cell>
          <cell r="AX73">
            <v>2394</v>
          </cell>
          <cell r="AY73">
            <v>2236</v>
          </cell>
          <cell r="AZ73">
            <v>0</v>
          </cell>
          <cell r="BA73">
            <v>0</v>
          </cell>
          <cell r="BB73">
            <v>190</v>
          </cell>
          <cell r="BC73">
            <v>0</v>
          </cell>
          <cell r="BD73">
            <v>0</v>
          </cell>
          <cell r="BE73">
            <v>480</v>
          </cell>
          <cell r="BF73">
            <v>0</v>
          </cell>
          <cell r="BH73">
            <v>700</v>
          </cell>
          <cell r="BI73">
            <v>315</v>
          </cell>
          <cell r="BJ73">
            <v>5798</v>
          </cell>
          <cell r="BK73">
            <v>2030</v>
          </cell>
          <cell r="BL73">
            <v>1319</v>
          </cell>
          <cell r="BM73">
            <v>3399</v>
          </cell>
          <cell r="BN73">
            <v>0</v>
          </cell>
          <cell r="BO73">
            <v>0</v>
          </cell>
          <cell r="BP73">
            <v>165</v>
          </cell>
          <cell r="BQ73">
            <v>0</v>
          </cell>
          <cell r="BR73">
            <v>25</v>
          </cell>
          <cell r="BS73">
            <v>480</v>
          </cell>
          <cell r="BT73">
            <v>0</v>
          </cell>
          <cell r="BV73">
            <v>896</v>
          </cell>
          <cell r="BX73">
            <v>5727</v>
          </cell>
          <cell r="BY73">
            <v>971</v>
          </cell>
          <cell r="BZ73">
            <v>440</v>
          </cell>
          <cell r="CA73">
            <v>3399</v>
          </cell>
          <cell r="CB73">
            <v>14179.387356587771</v>
          </cell>
          <cell r="CC73">
            <v>6558.3142684132745</v>
          </cell>
          <cell r="CD73">
            <v>0</v>
          </cell>
          <cell r="CE73">
            <v>0</v>
          </cell>
          <cell r="CF73">
            <v>0</v>
          </cell>
          <cell r="CG73">
            <v>0</v>
          </cell>
          <cell r="CM73">
            <v>0</v>
          </cell>
          <cell r="CZ73">
            <v>0.20757997218358831</v>
          </cell>
          <cell r="DA73">
            <v>9.9822247169987832E-2</v>
          </cell>
          <cell r="DB73">
            <v>37131626.920000002</v>
          </cell>
          <cell r="DC73">
            <v>94.8</v>
          </cell>
          <cell r="DD73">
            <v>3.7</v>
          </cell>
          <cell r="DE73">
            <v>0.4</v>
          </cell>
          <cell r="DF73">
            <v>80.900000000000006</v>
          </cell>
          <cell r="DG73">
            <v>8.4</v>
          </cell>
          <cell r="DH73">
            <v>2.8</v>
          </cell>
          <cell r="DI73">
            <v>98.9</v>
          </cell>
          <cell r="DJ73">
            <v>92.1</v>
          </cell>
        </row>
        <row r="74">
          <cell r="A74">
            <v>801</v>
          </cell>
          <cell r="B74">
            <v>2.2261326182894801E-2</v>
          </cell>
          <cell r="C74">
            <v>1.34629350315625E-2</v>
          </cell>
          <cell r="D74">
            <v>2.8615666934281501E-2</v>
          </cell>
          <cell r="E74">
            <v>1.03222846656727E-2</v>
          </cell>
          <cell r="F74">
            <v>9959</v>
          </cell>
          <cell r="G74">
            <v>3398</v>
          </cell>
          <cell r="H74">
            <v>30</v>
          </cell>
          <cell r="I74">
            <v>90</v>
          </cell>
          <cell r="J74">
            <v>0.10182554614118891</v>
          </cell>
          <cell r="K74">
            <v>7.4363200196337312E-2</v>
          </cell>
          <cell r="L74">
            <v>210</v>
          </cell>
          <cell r="M74">
            <v>675</v>
          </cell>
          <cell r="N74">
            <v>0</v>
          </cell>
          <cell r="O74">
            <v>223</v>
          </cell>
          <cell r="P74">
            <v>45</v>
          </cell>
          <cell r="Q74">
            <v>0</v>
          </cell>
          <cell r="R74">
            <v>0</v>
          </cell>
          <cell r="S74">
            <v>10349</v>
          </cell>
          <cell r="T74">
            <v>19496</v>
          </cell>
          <cell r="U74">
            <v>5963</v>
          </cell>
          <cell r="V74">
            <v>3675</v>
          </cell>
          <cell r="W74">
            <v>0</v>
          </cell>
          <cell r="X74">
            <v>0.83208955223880599</v>
          </cell>
          <cell r="Y74">
            <v>108</v>
          </cell>
          <cell r="Z74">
            <v>250</v>
          </cell>
          <cell r="AA74">
            <v>0</v>
          </cell>
          <cell r="AB74">
            <v>0</v>
          </cell>
          <cell r="AC74">
            <v>0</v>
          </cell>
          <cell r="AD74">
            <v>0</v>
          </cell>
          <cell r="AE74">
            <v>4514</v>
          </cell>
          <cell r="AF74">
            <v>12435</v>
          </cell>
          <cell r="AG74">
            <v>2763</v>
          </cell>
          <cell r="AH74">
            <v>2135</v>
          </cell>
          <cell r="AI74">
            <v>0</v>
          </cell>
          <cell r="AJ74">
            <v>1</v>
          </cell>
          <cell r="AK74">
            <v>1</v>
          </cell>
          <cell r="AL74">
            <v>0</v>
          </cell>
          <cell r="AM74">
            <v>250</v>
          </cell>
          <cell r="AN74">
            <v>0</v>
          </cell>
          <cell r="AO74">
            <v>0</v>
          </cell>
          <cell r="AP74">
            <v>0</v>
          </cell>
          <cell r="AQ74">
            <v>0</v>
          </cell>
          <cell r="AX74">
            <v>3435</v>
          </cell>
          <cell r="AY74">
            <v>260</v>
          </cell>
          <cell r="AZ74">
            <v>0</v>
          </cell>
          <cell r="BA74">
            <v>0</v>
          </cell>
          <cell r="BB74">
            <v>96</v>
          </cell>
          <cell r="BC74">
            <v>127</v>
          </cell>
          <cell r="BD74">
            <v>0</v>
          </cell>
          <cell r="BE74">
            <v>45</v>
          </cell>
          <cell r="BF74">
            <v>0</v>
          </cell>
          <cell r="BH74">
            <v>4050</v>
          </cell>
          <cell r="BI74">
            <v>6285</v>
          </cell>
          <cell r="BJ74">
            <v>17090</v>
          </cell>
          <cell r="BK74">
            <v>5003</v>
          </cell>
          <cell r="BL74">
            <v>3301</v>
          </cell>
          <cell r="BM74">
            <v>3754</v>
          </cell>
          <cell r="BN74">
            <v>0</v>
          </cell>
          <cell r="BO74">
            <v>0</v>
          </cell>
          <cell r="BP74">
            <v>223</v>
          </cell>
          <cell r="BQ74">
            <v>0</v>
          </cell>
          <cell r="BR74">
            <v>0</v>
          </cell>
          <cell r="BS74">
            <v>45</v>
          </cell>
          <cell r="BT74">
            <v>0</v>
          </cell>
          <cell r="BV74">
            <v>2790</v>
          </cell>
          <cell r="BX74">
            <v>20905</v>
          </cell>
          <cell r="BY74">
            <v>3248</v>
          </cell>
          <cell r="BZ74">
            <v>4489</v>
          </cell>
          <cell r="CA74">
            <v>3754</v>
          </cell>
          <cell r="CB74">
            <v>25951.857415480878</v>
          </cell>
          <cell r="CC74">
            <v>0</v>
          </cell>
          <cell r="CD74">
            <v>18837.018837018837</v>
          </cell>
          <cell r="CE74">
            <v>13126.185433659231</v>
          </cell>
          <cell r="CF74">
            <v>0</v>
          </cell>
          <cell r="CG74">
            <v>0</v>
          </cell>
          <cell r="CM74">
            <v>0</v>
          </cell>
          <cell r="CZ74">
            <v>0.33942013326130022</v>
          </cell>
          <cell r="DA74">
            <v>0.86001872659176026</v>
          </cell>
          <cell r="DB74">
            <v>158733554.51999998</v>
          </cell>
          <cell r="DC74">
            <v>88.4</v>
          </cell>
          <cell r="DD74">
            <v>7.4</v>
          </cell>
          <cell r="DE74">
            <v>2.2000000000000002</v>
          </cell>
          <cell r="DF74">
            <v>70.7</v>
          </cell>
          <cell r="DG74">
            <v>12.7</v>
          </cell>
          <cell r="DH74">
            <v>5.6</v>
          </cell>
          <cell r="DI74">
            <v>98</v>
          </cell>
          <cell r="DJ74">
            <v>89.1</v>
          </cell>
        </row>
        <row r="75">
          <cell r="A75">
            <v>802</v>
          </cell>
          <cell r="B75">
            <v>1.8562030075187998E-2</v>
          </cell>
          <cell r="C75">
            <v>-1.1748120300751901E-3</v>
          </cell>
          <cell r="D75">
            <v>4.0585311982330202E-2</v>
          </cell>
          <cell r="E75">
            <v>7.0863243143751203E-3</v>
          </cell>
          <cell r="F75">
            <v>2785</v>
          </cell>
          <cell r="G75">
            <v>1014</v>
          </cell>
          <cell r="H75">
            <v>110</v>
          </cell>
          <cell r="I75">
            <v>190</v>
          </cell>
          <cell r="J75">
            <v>0.1177749937371692</v>
          </cell>
          <cell r="K75">
            <v>9.1561605886741809E-2</v>
          </cell>
          <cell r="L75">
            <v>750</v>
          </cell>
          <cell r="M75">
            <v>360</v>
          </cell>
          <cell r="N75">
            <v>30</v>
          </cell>
          <cell r="O75">
            <v>149</v>
          </cell>
          <cell r="P75">
            <v>0</v>
          </cell>
          <cell r="Q75">
            <v>0</v>
          </cell>
          <cell r="R75">
            <v>0</v>
          </cell>
          <cell r="S75">
            <v>2416</v>
          </cell>
          <cell r="T75">
            <v>13627</v>
          </cell>
          <cell r="U75">
            <v>840</v>
          </cell>
          <cell r="V75">
            <v>0</v>
          </cell>
          <cell r="W75">
            <v>0</v>
          </cell>
          <cell r="X75">
            <v>1</v>
          </cell>
          <cell r="Y75">
            <v>1</v>
          </cell>
          <cell r="Z75">
            <v>0</v>
          </cell>
          <cell r="AA75">
            <v>0</v>
          </cell>
          <cell r="AB75">
            <v>0</v>
          </cell>
          <cell r="AC75">
            <v>0</v>
          </cell>
          <cell r="AD75">
            <v>0</v>
          </cell>
          <cell r="AE75">
            <v>7851</v>
          </cell>
          <cell r="AF75">
            <v>2500</v>
          </cell>
          <cell r="AG75">
            <v>2650</v>
          </cell>
          <cell r="AH75">
            <v>0</v>
          </cell>
          <cell r="AI75">
            <v>0</v>
          </cell>
          <cell r="AJ75" t="str">
            <v>NULL</v>
          </cell>
          <cell r="AK75" t="str">
            <v>NULL</v>
          </cell>
          <cell r="AL75">
            <v>0</v>
          </cell>
          <cell r="AM75">
            <v>0</v>
          </cell>
          <cell r="AN75">
            <v>0</v>
          </cell>
          <cell r="AO75">
            <v>0</v>
          </cell>
          <cell r="AP75">
            <v>0</v>
          </cell>
          <cell r="AQ75">
            <v>0</v>
          </cell>
          <cell r="AX75">
            <v>0</v>
          </cell>
          <cell r="AY75">
            <v>700</v>
          </cell>
          <cell r="AZ75">
            <v>0</v>
          </cell>
          <cell r="BA75">
            <v>0</v>
          </cell>
          <cell r="BB75">
            <v>117</v>
          </cell>
          <cell r="BC75">
            <v>0</v>
          </cell>
          <cell r="BD75">
            <v>0</v>
          </cell>
          <cell r="BE75">
            <v>62</v>
          </cell>
          <cell r="BF75">
            <v>0</v>
          </cell>
          <cell r="BH75">
            <v>105</v>
          </cell>
          <cell r="BI75">
            <v>1365</v>
          </cell>
          <cell r="BJ75">
            <v>7463</v>
          </cell>
          <cell r="BK75">
            <v>1635</v>
          </cell>
          <cell r="BL75">
            <v>850</v>
          </cell>
          <cell r="BM75">
            <v>5465</v>
          </cell>
          <cell r="BN75">
            <v>0</v>
          </cell>
          <cell r="BO75">
            <v>17</v>
          </cell>
          <cell r="BP75">
            <v>100</v>
          </cell>
          <cell r="BQ75">
            <v>0</v>
          </cell>
          <cell r="BR75">
            <v>0</v>
          </cell>
          <cell r="BS75">
            <v>62</v>
          </cell>
          <cell r="BT75">
            <v>0.145299145299145</v>
          </cell>
          <cell r="BV75">
            <v>0</v>
          </cell>
          <cell r="BX75">
            <v>6785</v>
          </cell>
          <cell r="BY75">
            <v>1740</v>
          </cell>
          <cell r="BZ75">
            <v>840</v>
          </cell>
          <cell r="CA75">
            <v>5465</v>
          </cell>
          <cell r="CB75">
            <v>14345.964702813964</v>
          </cell>
          <cell r="CC75">
            <v>9675.1631541754996</v>
          </cell>
          <cell r="CD75">
            <v>0</v>
          </cell>
          <cell r="CE75">
            <v>0</v>
          </cell>
          <cell r="CF75">
            <v>0</v>
          </cell>
          <cell r="CG75">
            <v>0</v>
          </cell>
          <cell r="CM75">
            <v>0</v>
          </cell>
          <cell r="CZ75">
            <v>0.13508404779585501</v>
          </cell>
          <cell r="DA75">
            <v>7.4937700249199005E-2</v>
          </cell>
          <cell r="DB75">
            <v>63268315.32</v>
          </cell>
          <cell r="DC75">
            <v>93.9</v>
          </cell>
          <cell r="DD75">
            <v>4.2</v>
          </cell>
          <cell r="DE75">
            <v>0.6</v>
          </cell>
          <cell r="DF75">
            <v>92.7</v>
          </cell>
          <cell r="DG75">
            <v>5.0999999999999996</v>
          </cell>
          <cell r="DH75">
            <v>0.6</v>
          </cell>
          <cell r="DI75">
            <v>98.7</v>
          </cell>
          <cell r="DJ75">
            <v>98.4</v>
          </cell>
        </row>
        <row r="76">
          <cell r="A76">
            <v>803</v>
          </cell>
          <cell r="B76">
            <v>3.9434333076988799E-2</v>
          </cell>
          <cell r="C76">
            <v>5.29778689224985E-3</v>
          </cell>
          <cell r="D76">
            <v>6.3219723317103294E-2</v>
          </cell>
          <cell r="E76">
            <v>2.1176288739469799E-2</v>
          </cell>
          <cell r="F76">
            <v>1711</v>
          </cell>
          <cell r="G76">
            <v>0</v>
          </cell>
          <cell r="H76">
            <v>90</v>
          </cell>
          <cell r="I76">
            <v>30</v>
          </cell>
          <cell r="J76">
            <v>9.2062971016405426E-2</v>
          </cell>
          <cell r="K76">
            <v>0.18918445040694559</v>
          </cell>
          <cell r="L76">
            <v>210</v>
          </cell>
          <cell r="M76">
            <v>190</v>
          </cell>
          <cell r="N76">
            <v>120</v>
          </cell>
          <cell r="O76">
            <v>75</v>
          </cell>
          <cell r="P76">
            <v>30</v>
          </cell>
          <cell r="Q76">
            <v>0</v>
          </cell>
          <cell r="R76">
            <v>0</v>
          </cell>
          <cell r="S76">
            <v>3096</v>
          </cell>
          <cell r="T76">
            <v>19079</v>
          </cell>
          <cell r="U76">
            <v>3589</v>
          </cell>
          <cell r="V76">
            <v>210</v>
          </cell>
          <cell r="W76">
            <v>0</v>
          </cell>
          <cell r="X76">
            <v>0.86666666666666703</v>
          </cell>
          <cell r="Y76">
            <v>101</v>
          </cell>
          <cell r="Z76">
            <v>0</v>
          </cell>
          <cell r="AA76">
            <v>0</v>
          </cell>
          <cell r="AB76">
            <v>101</v>
          </cell>
          <cell r="AC76">
            <v>0</v>
          </cell>
          <cell r="AD76">
            <v>0</v>
          </cell>
          <cell r="AE76">
            <v>0</v>
          </cell>
          <cell r="AF76">
            <v>6709</v>
          </cell>
          <cell r="AG76">
            <v>7511</v>
          </cell>
          <cell r="AH76">
            <v>3518</v>
          </cell>
          <cell r="AI76">
            <v>0</v>
          </cell>
          <cell r="AJ76">
            <v>0</v>
          </cell>
          <cell r="AK76">
            <v>102</v>
          </cell>
          <cell r="AL76">
            <v>0</v>
          </cell>
          <cell r="AM76">
            <v>0</v>
          </cell>
          <cell r="AN76">
            <v>101</v>
          </cell>
          <cell r="AO76">
            <v>0</v>
          </cell>
          <cell r="AP76">
            <v>0</v>
          </cell>
          <cell r="AQ76">
            <v>0</v>
          </cell>
          <cell r="AX76">
            <v>780</v>
          </cell>
          <cell r="AY76">
            <v>800</v>
          </cell>
          <cell r="AZ76">
            <v>60</v>
          </cell>
          <cell r="BA76">
            <v>0</v>
          </cell>
          <cell r="BB76">
            <v>135</v>
          </cell>
          <cell r="BC76">
            <v>30</v>
          </cell>
          <cell r="BD76">
            <v>0</v>
          </cell>
          <cell r="BE76">
            <v>0</v>
          </cell>
          <cell r="BF76">
            <v>0.266666666666667</v>
          </cell>
          <cell r="BH76">
            <v>1665</v>
          </cell>
          <cell r="BI76">
            <v>840</v>
          </cell>
          <cell r="BJ76">
            <v>12623</v>
          </cell>
          <cell r="BK76">
            <v>5143</v>
          </cell>
          <cell r="BL76">
            <v>2585</v>
          </cell>
          <cell r="BM76">
            <v>3118</v>
          </cell>
          <cell r="BN76">
            <v>0</v>
          </cell>
          <cell r="BO76">
            <v>60</v>
          </cell>
          <cell r="BP76">
            <v>165</v>
          </cell>
          <cell r="BQ76">
            <v>0</v>
          </cell>
          <cell r="BR76">
            <v>0</v>
          </cell>
          <cell r="BS76">
            <v>0</v>
          </cell>
          <cell r="BT76">
            <v>0.266666666666667</v>
          </cell>
          <cell r="BV76">
            <v>855</v>
          </cell>
          <cell r="BX76">
            <v>14947</v>
          </cell>
          <cell r="BY76">
            <v>2239</v>
          </cell>
          <cell r="BZ76">
            <v>2550</v>
          </cell>
          <cell r="CA76">
            <v>3118</v>
          </cell>
          <cell r="CB76">
            <v>14779.791030794902</v>
          </cell>
          <cell r="CC76">
            <v>2866.2864009503742</v>
          </cell>
          <cell r="CD76">
            <v>13962.301647418943</v>
          </cell>
          <cell r="CE76">
            <v>0</v>
          </cell>
          <cell r="CF76">
            <v>0</v>
          </cell>
          <cell r="CG76">
            <v>0</v>
          </cell>
          <cell r="CM76">
            <v>0</v>
          </cell>
          <cell r="CZ76">
            <v>0.17715006794797128</v>
          </cell>
          <cell r="DA76">
            <v>9.9220576773187838E-2</v>
          </cell>
          <cell r="DB76">
            <v>38061326.859999999</v>
          </cell>
          <cell r="DC76">
            <v>91.4</v>
          </cell>
          <cell r="DD76">
            <v>5.5</v>
          </cell>
          <cell r="DE76">
            <v>0.9</v>
          </cell>
          <cell r="DF76">
            <v>82.8</v>
          </cell>
          <cell r="DG76">
            <v>10</v>
          </cell>
          <cell r="DH76">
            <v>2.9</v>
          </cell>
          <cell r="DI76">
            <v>97.8</v>
          </cell>
          <cell r="DJ76">
            <v>95.7</v>
          </cell>
        </row>
        <row r="77">
          <cell r="A77">
            <v>805</v>
          </cell>
          <cell r="B77">
            <v>-1.75006162188809E-2</v>
          </cell>
          <cell r="C77">
            <v>-1.9719004190288398E-3</v>
          </cell>
          <cell r="D77">
            <v>1.3824884792626699E-2</v>
          </cell>
          <cell r="E77">
            <v>9.6006144393241209E-3</v>
          </cell>
          <cell r="F77">
            <v>853</v>
          </cell>
          <cell r="G77">
            <v>0</v>
          </cell>
          <cell r="H77">
            <v>10</v>
          </cell>
          <cell r="I77">
            <v>0</v>
          </cell>
          <cell r="J77">
            <v>0.12764712584424101</v>
          </cell>
          <cell r="K77">
            <v>0.13318978633816844</v>
          </cell>
          <cell r="L77">
            <v>35</v>
          </cell>
          <cell r="M77">
            <v>300</v>
          </cell>
          <cell r="N77">
            <v>22</v>
          </cell>
          <cell r="O77">
            <v>0</v>
          </cell>
          <cell r="P77">
            <v>0</v>
          </cell>
          <cell r="Q77">
            <v>0</v>
          </cell>
          <cell r="R77">
            <v>0</v>
          </cell>
          <cell r="S77">
            <v>1952</v>
          </cell>
          <cell r="T77">
            <v>5724</v>
          </cell>
          <cell r="U77">
            <v>1327</v>
          </cell>
          <cell r="V77">
            <v>0</v>
          </cell>
          <cell r="W77">
            <v>0</v>
          </cell>
          <cell r="X77">
            <v>1</v>
          </cell>
          <cell r="Y77">
            <v>1</v>
          </cell>
          <cell r="Z77">
            <v>0</v>
          </cell>
          <cell r="AA77">
            <v>42</v>
          </cell>
          <cell r="AB77">
            <v>36</v>
          </cell>
          <cell r="AC77">
            <v>0</v>
          </cell>
          <cell r="AD77">
            <v>0</v>
          </cell>
          <cell r="AE77">
            <v>0</v>
          </cell>
          <cell r="AF77">
            <v>2523</v>
          </cell>
          <cell r="AG77">
            <v>3794</v>
          </cell>
          <cell r="AH77">
            <v>0</v>
          </cell>
          <cell r="AI77">
            <v>0</v>
          </cell>
          <cell r="AJ77">
            <v>0.53846153846153799</v>
          </cell>
          <cell r="AK77">
            <v>92</v>
          </cell>
          <cell r="AL77">
            <v>0</v>
          </cell>
          <cell r="AM77">
            <v>0</v>
          </cell>
          <cell r="AN77">
            <v>36</v>
          </cell>
          <cell r="AO77">
            <v>42</v>
          </cell>
          <cell r="AP77">
            <v>0</v>
          </cell>
          <cell r="AQ77">
            <v>0</v>
          </cell>
          <cell r="AX77">
            <v>2160</v>
          </cell>
          <cell r="AY77">
            <v>0</v>
          </cell>
          <cell r="AZ77">
            <v>0</v>
          </cell>
          <cell r="BA77">
            <v>0</v>
          </cell>
          <cell r="BB77">
            <v>22</v>
          </cell>
          <cell r="BC77">
            <v>0</v>
          </cell>
          <cell r="BD77">
            <v>0</v>
          </cell>
          <cell r="BE77">
            <v>0</v>
          </cell>
          <cell r="BF77">
            <v>0</v>
          </cell>
          <cell r="BH77">
            <v>1005</v>
          </cell>
          <cell r="BI77">
            <v>959</v>
          </cell>
          <cell r="BJ77">
            <v>5244</v>
          </cell>
          <cell r="BK77">
            <v>1235</v>
          </cell>
          <cell r="BL77">
            <v>0</v>
          </cell>
          <cell r="BM77">
            <v>560</v>
          </cell>
          <cell r="BN77">
            <v>0</v>
          </cell>
          <cell r="BO77">
            <v>0</v>
          </cell>
          <cell r="BP77">
            <v>22</v>
          </cell>
          <cell r="BQ77">
            <v>0</v>
          </cell>
          <cell r="BR77">
            <v>0</v>
          </cell>
          <cell r="BS77">
            <v>0</v>
          </cell>
          <cell r="BT77">
            <v>0</v>
          </cell>
          <cell r="BV77">
            <v>1005</v>
          </cell>
          <cell r="BX77">
            <v>5482</v>
          </cell>
          <cell r="BY77">
            <v>805</v>
          </cell>
          <cell r="BZ77">
            <v>381</v>
          </cell>
          <cell r="CA77">
            <v>560</v>
          </cell>
          <cell r="CB77">
            <v>13216.192904460944</v>
          </cell>
          <cell r="CC77">
            <v>0</v>
          </cell>
          <cell r="CD77">
            <v>0</v>
          </cell>
          <cell r="CE77">
            <v>0</v>
          </cell>
          <cell r="CF77">
            <v>0</v>
          </cell>
          <cell r="CG77">
            <v>0</v>
          </cell>
          <cell r="CM77">
            <v>0</v>
          </cell>
          <cell r="CZ77">
            <v>6.5975494816211122E-2</v>
          </cell>
          <cell r="DA77">
            <v>-6.3602442333785619E-2</v>
          </cell>
          <cell r="DB77">
            <v>8640607.5199999996</v>
          </cell>
          <cell r="DC77">
            <v>97</v>
          </cell>
          <cell r="DD77">
            <v>2.2999999999999998</v>
          </cell>
          <cell r="DE77">
            <v>0</v>
          </cell>
          <cell r="DF77">
            <v>96.2</v>
          </cell>
          <cell r="DG77">
            <v>2.6</v>
          </cell>
          <cell r="DH77">
            <v>0.1</v>
          </cell>
          <cell r="DI77">
            <v>99.4</v>
          </cell>
          <cell r="DJ77">
            <v>98.9</v>
          </cell>
        </row>
        <row r="78">
          <cell r="A78">
            <v>806</v>
          </cell>
          <cell r="B78">
            <v>-2.2521511410400302E-2</v>
          </cell>
          <cell r="C78">
            <v>1.79573512906846E-3</v>
          </cell>
          <cell r="D78">
            <v>-5.7652711050102997E-3</v>
          </cell>
          <cell r="E78">
            <v>-4.3925875085792697E-3</v>
          </cell>
          <cell r="F78">
            <v>513</v>
          </cell>
          <cell r="G78">
            <v>0</v>
          </cell>
          <cell r="H78">
            <v>100</v>
          </cell>
          <cell r="I78">
            <v>50</v>
          </cell>
          <cell r="J78">
            <v>4.588002352686011E-2</v>
          </cell>
          <cell r="K78">
            <v>3.6890661328815792E-2</v>
          </cell>
          <cell r="L78">
            <v>0</v>
          </cell>
          <cell r="M78">
            <v>0</v>
          </cell>
          <cell r="N78">
            <v>0</v>
          </cell>
          <cell r="O78">
            <v>75</v>
          </cell>
          <cell r="P78">
            <v>0</v>
          </cell>
          <cell r="Q78">
            <v>0</v>
          </cell>
          <cell r="R78">
            <v>0</v>
          </cell>
          <cell r="S78">
            <v>1963</v>
          </cell>
          <cell r="T78">
            <v>9951</v>
          </cell>
          <cell r="U78">
            <v>1579</v>
          </cell>
          <cell r="V78">
            <v>0</v>
          </cell>
          <cell r="W78">
            <v>0</v>
          </cell>
          <cell r="X78">
            <v>1</v>
          </cell>
          <cell r="Y78">
            <v>1</v>
          </cell>
          <cell r="Z78">
            <v>0</v>
          </cell>
          <cell r="AA78">
            <v>0</v>
          </cell>
          <cell r="AB78">
            <v>0</v>
          </cell>
          <cell r="AC78">
            <v>0</v>
          </cell>
          <cell r="AD78">
            <v>0</v>
          </cell>
          <cell r="AE78">
            <v>0</v>
          </cell>
          <cell r="AF78">
            <v>6295</v>
          </cell>
          <cell r="AG78">
            <v>1500</v>
          </cell>
          <cell r="AH78">
            <v>1050</v>
          </cell>
          <cell r="AI78">
            <v>0</v>
          </cell>
          <cell r="AJ78" t="str">
            <v>NULL</v>
          </cell>
          <cell r="AK78" t="str">
            <v>NULL</v>
          </cell>
          <cell r="AL78">
            <v>0</v>
          </cell>
          <cell r="AM78">
            <v>0</v>
          </cell>
          <cell r="AN78">
            <v>0</v>
          </cell>
          <cell r="AO78">
            <v>0</v>
          </cell>
          <cell r="AP78">
            <v>0</v>
          </cell>
          <cell r="AQ78">
            <v>0</v>
          </cell>
          <cell r="AX78">
            <v>1050</v>
          </cell>
          <cell r="AY78">
            <v>0</v>
          </cell>
          <cell r="AZ78">
            <v>48</v>
          </cell>
          <cell r="BA78">
            <v>0</v>
          </cell>
          <cell r="BB78">
            <v>27</v>
          </cell>
          <cell r="BC78">
            <v>0</v>
          </cell>
          <cell r="BD78">
            <v>0</v>
          </cell>
          <cell r="BE78">
            <v>0</v>
          </cell>
          <cell r="BF78">
            <v>0.64</v>
          </cell>
          <cell r="BH78">
            <v>1926</v>
          </cell>
          <cell r="BI78">
            <v>2909</v>
          </cell>
          <cell r="BJ78">
            <v>5447</v>
          </cell>
          <cell r="BK78">
            <v>1496</v>
          </cell>
          <cell r="BL78">
            <v>1085</v>
          </cell>
          <cell r="BM78">
            <v>630</v>
          </cell>
          <cell r="BN78">
            <v>0</v>
          </cell>
          <cell r="BO78">
            <v>48</v>
          </cell>
          <cell r="BP78">
            <v>27</v>
          </cell>
          <cell r="BQ78">
            <v>0</v>
          </cell>
          <cell r="BR78">
            <v>0</v>
          </cell>
          <cell r="BS78">
            <v>0</v>
          </cell>
          <cell r="BT78">
            <v>0.64</v>
          </cell>
          <cell r="BV78">
            <v>630</v>
          </cell>
          <cell r="BX78">
            <v>8081</v>
          </cell>
          <cell r="BY78">
            <v>315</v>
          </cell>
          <cell r="BZ78">
            <v>1474</v>
          </cell>
          <cell r="CA78">
            <v>630</v>
          </cell>
          <cell r="CB78">
            <v>12636.563823059829</v>
          </cell>
          <cell r="CC78">
            <v>0</v>
          </cell>
          <cell r="CD78">
            <v>0</v>
          </cell>
          <cell r="CE78">
            <v>0</v>
          </cell>
          <cell r="CF78">
            <v>0</v>
          </cell>
          <cell r="CG78">
            <v>0</v>
          </cell>
          <cell r="CM78">
            <v>0</v>
          </cell>
          <cell r="CZ78">
            <v>0.1996683829304477</v>
          </cell>
          <cell r="DA78">
            <v>0.59191472244569587</v>
          </cell>
          <cell r="DB78">
            <v>6037953.71</v>
          </cell>
          <cell r="DC78">
            <v>94.8</v>
          </cell>
          <cell r="DD78">
            <v>2.9</v>
          </cell>
          <cell r="DE78">
            <v>0.4</v>
          </cell>
          <cell r="DF78">
            <v>88</v>
          </cell>
          <cell r="DG78">
            <v>7.2</v>
          </cell>
          <cell r="DH78">
            <v>1.9</v>
          </cell>
          <cell r="DI78">
            <v>98.1</v>
          </cell>
          <cell r="DJ78">
            <v>97.1</v>
          </cell>
        </row>
        <row r="79">
          <cell r="A79">
            <v>807</v>
          </cell>
          <cell r="B79">
            <v>-2.2661140992857799E-2</v>
          </cell>
          <cell r="C79">
            <v>-8.2003350674543698E-3</v>
          </cell>
          <cell r="D79">
            <v>-8.7686333458599495E-4</v>
          </cell>
          <cell r="E79">
            <v>-9.7707628711010894E-3</v>
          </cell>
          <cell r="F79">
            <v>380</v>
          </cell>
          <cell r="G79">
            <v>0</v>
          </cell>
          <cell r="H79">
            <v>0</v>
          </cell>
          <cell r="I79">
            <v>60</v>
          </cell>
          <cell r="J79">
            <v>0.11936863565696119</v>
          </cell>
          <cell r="K79">
            <v>0.11637299138436887</v>
          </cell>
          <cell r="L79">
            <v>101</v>
          </cell>
          <cell r="M79">
            <v>0</v>
          </cell>
          <cell r="N79">
            <v>22</v>
          </cell>
          <cell r="O79">
            <v>0</v>
          </cell>
          <cell r="P79">
            <v>0</v>
          </cell>
          <cell r="Q79">
            <v>0</v>
          </cell>
          <cell r="R79">
            <v>0</v>
          </cell>
          <cell r="S79">
            <v>3396</v>
          </cell>
          <cell r="T79">
            <v>8852</v>
          </cell>
          <cell r="U79">
            <v>396</v>
          </cell>
          <cell r="V79">
            <v>0</v>
          </cell>
          <cell r="W79">
            <v>0</v>
          </cell>
          <cell r="X79">
            <v>1</v>
          </cell>
          <cell r="Y79">
            <v>1</v>
          </cell>
          <cell r="Z79">
            <v>0</v>
          </cell>
          <cell r="AA79">
            <v>0</v>
          </cell>
          <cell r="AB79">
            <v>0</v>
          </cell>
          <cell r="AC79">
            <v>0</v>
          </cell>
          <cell r="AD79">
            <v>0</v>
          </cell>
          <cell r="AE79">
            <v>3318</v>
          </cell>
          <cell r="AF79">
            <v>563</v>
          </cell>
          <cell r="AG79">
            <v>1297</v>
          </cell>
          <cell r="AH79">
            <v>2275</v>
          </cell>
          <cell r="AI79">
            <v>0</v>
          </cell>
          <cell r="AJ79" t="str">
            <v>NULL</v>
          </cell>
          <cell r="AK79" t="str">
            <v>NULL</v>
          </cell>
          <cell r="AL79">
            <v>0</v>
          </cell>
          <cell r="AM79">
            <v>0</v>
          </cell>
          <cell r="AN79">
            <v>0</v>
          </cell>
          <cell r="AO79">
            <v>0</v>
          </cell>
          <cell r="AP79">
            <v>0</v>
          </cell>
          <cell r="AQ79">
            <v>0</v>
          </cell>
          <cell r="AX79">
            <v>2275</v>
          </cell>
          <cell r="AY79">
            <v>0</v>
          </cell>
          <cell r="AZ79">
            <v>22</v>
          </cell>
          <cell r="BA79">
            <v>0</v>
          </cell>
          <cell r="BB79">
            <v>0</v>
          </cell>
          <cell r="BC79">
            <v>0</v>
          </cell>
          <cell r="BD79">
            <v>0</v>
          </cell>
          <cell r="BE79">
            <v>0</v>
          </cell>
          <cell r="BF79">
            <v>1</v>
          </cell>
          <cell r="BH79">
            <v>3257</v>
          </cell>
          <cell r="BI79">
            <v>2408</v>
          </cell>
          <cell r="BJ79">
            <v>3316</v>
          </cell>
          <cell r="BK79">
            <v>351</v>
          </cell>
          <cell r="BL79">
            <v>189</v>
          </cell>
          <cell r="BM79">
            <v>3123</v>
          </cell>
          <cell r="BN79">
            <v>22</v>
          </cell>
          <cell r="BO79">
            <v>0</v>
          </cell>
          <cell r="BP79">
            <v>0</v>
          </cell>
          <cell r="BQ79">
            <v>0</v>
          </cell>
          <cell r="BR79">
            <v>0</v>
          </cell>
          <cell r="BS79">
            <v>0</v>
          </cell>
          <cell r="BT79">
            <v>1</v>
          </cell>
          <cell r="BV79">
            <v>2331</v>
          </cell>
          <cell r="BX79">
            <v>3721</v>
          </cell>
          <cell r="BY79">
            <v>960</v>
          </cell>
          <cell r="BZ79">
            <v>308</v>
          </cell>
          <cell r="CA79">
            <v>3123</v>
          </cell>
          <cell r="CB79">
            <v>14475.331030392337</v>
          </cell>
          <cell r="CC79">
            <v>0</v>
          </cell>
          <cell r="CD79">
            <v>0</v>
          </cell>
          <cell r="CE79">
            <v>0</v>
          </cell>
          <cell r="CF79">
            <v>0</v>
          </cell>
          <cell r="CG79">
            <v>0</v>
          </cell>
          <cell r="CM79">
            <v>0</v>
          </cell>
          <cell r="CZ79">
            <v>7.7512695218932642E-2</v>
          </cell>
          <cell r="DA79">
            <v>-8.56329391151993E-2</v>
          </cell>
          <cell r="DB79">
            <v>4277339.8199999994</v>
          </cell>
          <cell r="DC79">
            <v>97.3</v>
          </cell>
          <cell r="DD79">
            <v>1.6</v>
          </cell>
          <cell r="DE79">
            <v>0</v>
          </cell>
          <cell r="DF79">
            <v>89.6</v>
          </cell>
          <cell r="DG79">
            <v>3.9</v>
          </cell>
          <cell r="DH79">
            <v>1.4</v>
          </cell>
          <cell r="DI79">
            <v>98.9</v>
          </cell>
          <cell r="DJ79">
            <v>95</v>
          </cell>
        </row>
        <row r="80">
          <cell r="A80">
            <v>808</v>
          </cell>
          <cell r="B80">
            <v>2.27574654883613E-2</v>
          </cell>
          <cell r="C80">
            <v>5.8915265985097897E-3</v>
          </cell>
          <cell r="D80">
            <v>5.4865022334433897E-2</v>
          </cell>
          <cell r="E80">
            <v>2.2431540104874699E-2</v>
          </cell>
          <cell r="F80">
            <v>3580</v>
          </cell>
          <cell r="G80">
            <v>0</v>
          </cell>
          <cell r="H80">
            <v>0</v>
          </cell>
          <cell r="I80">
            <v>770</v>
          </cell>
          <cell r="J80">
            <v>0.11623905601233871</v>
          </cell>
          <cell r="K80">
            <v>0.13937245959989053</v>
          </cell>
          <cell r="L80">
            <v>0</v>
          </cell>
          <cell r="M80">
            <v>800</v>
          </cell>
          <cell r="N80">
            <v>0</v>
          </cell>
          <cell r="O80">
            <v>789</v>
          </cell>
          <cell r="P80">
            <v>0</v>
          </cell>
          <cell r="Q80">
            <v>0</v>
          </cell>
          <cell r="R80">
            <v>0</v>
          </cell>
          <cell r="S80">
            <v>4184</v>
          </cell>
          <cell r="T80">
            <v>12739</v>
          </cell>
          <cell r="U80">
            <v>1677</v>
          </cell>
          <cell r="V80">
            <v>0</v>
          </cell>
          <cell r="W80">
            <v>0</v>
          </cell>
          <cell r="X80">
            <v>1</v>
          </cell>
          <cell r="Y80">
            <v>1</v>
          </cell>
          <cell r="Z80">
            <v>0</v>
          </cell>
          <cell r="AA80">
            <v>200</v>
          </cell>
          <cell r="AB80">
            <v>0</v>
          </cell>
          <cell r="AC80">
            <v>0</v>
          </cell>
          <cell r="AD80">
            <v>0</v>
          </cell>
          <cell r="AE80">
            <v>3025</v>
          </cell>
          <cell r="AF80">
            <v>6541</v>
          </cell>
          <cell r="AG80">
            <v>1050</v>
          </cell>
          <cell r="AH80">
            <v>555</v>
          </cell>
          <cell r="AI80">
            <v>0</v>
          </cell>
          <cell r="AJ80">
            <v>1</v>
          </cell>
          <cell r="AK80">
            <v>1</v>
          </cell>
          <cell r="AL80">
            <v>0</v>
          </cell>
          <cell r="AM80">
            <v>0</v>
          </cell>
          <cell r="AN80">
            <v>0</v>
          </cell>
          <cell r="AO80">
            <v>200</v>
          </cell>
          <cell r="AP80">
            <v>0</v>
          </cell>
          <cell r="AQ80">
            <v>0</v>
          </cell>
          <cell r="AX80">
            <v>0</v>
          </cell>
          <cell r="AY80">
            <v>750</v>
          </cell>
          <cell r="AZ80">
            <v>105</v>
          </cell>
          <cell r="BA80">
            <v>107</v>
          </cell>
          <cell r="BB80">
            <v>577</v>
          </cell>
          <cell r="BC80">
            <v>0</v>
          </cell>
          <cell r="BD80">
            <v>0</v>
          </cell>
          <cell r="BE80">
            <v>0</v>
          </cell>
          <cell r="BF80">
            <v>0.26869455006337101</v>
          </cell>
          <cell r="BH80">
            <v>1218</v>
          </cell>
          <cell r="BI80">
            <v>4232</v>
          </cell>
          <cell r="BJ80">
            <v>10376</v>
          </cell>
          <cell r="BK80">
            <v>1246</v>
          </cell>
          <cell r="BL80">
            <v>0</v>
          </cell>
          <cell r="BM80">
            <v>1528</v>
          </cell>
          <cell r="BN80">
            <v>317</v>
          </cell>
          <cell r="BO80">
            <v>0</v>
          </cell>
          <cell r="BP80">
            <v>312</v>
          </cell>
          <cell r="BQ80">
            <v>0</v>
          </cell>
          <cell r="BR80">
            <v>160</v>
          </cell>
          <cell r="BS80">
            <v>0</v>
          </cell>
          <cell r="BT80">
            <v>0.401774397972117</v>
          </cell>
          <cell r="BV80">
            <v>1433</v>
          </cell>
          <cell r="BX80">
            <v>11785</v>
          </cell>
          <cell r="BY80">
            <v>805</v>
          </cell>
          <cell r="BZ80">
            <v>1506</v>
          </cell>
          <cell r="CA80">
            <v>1528</v>
          </cell>
          <cell r="CB80">
            <v>12746.926726895013</v>
          </cell>
          <cell r="CC80">
            <v>10672.363162534013</v>
          </cell>
          <cell r="CD80">
            <v>0</v>
          </cell>
          <cell r="CE80">
            <v>0</v>
          </cell>
          <cell r="CF80">
            <v>0</v>
          </cell>
          <cell r="CG80">
            <v>0</v>
          </cell>
          <cell r="CM80">
            <v>0</v>
          </cell>
          <cell r="CZ80">
            <v>0.19657416923603974</v>
          </cell>
          <cell r="DA80">
            <v>8.6720117961478202E-2</v>
          </cell>
          <cell r="DB80">
            <v>61591277.460000008</v>
          </cell>
          <cell r="DC80">
            <v>95.8</v>
          </cell>
          <cell r="DD80">
            <v>2.8</v>
          </cell>
          <cell r="DE80">
            <v>0.4</v>
          </cell>
          <cell r="DF80">
            <v>87.7</v>
          </cell>
          <cell r="DG80">
            <v>7</v>
          </cell>
          <cell r="DH80">
            <v>1.7</v>
          </cell>
          <cell r="DI80">
            <v>99</v>
          </cell>
          <cell r="DJ80">
            <v>96.4</v>
          </cell>
        </row>
        <row r="81">
          <cell r="A81">
            <v>810</v>
          </cell>
          <cell r="B81">
            <v>8.8324829567379796E-3</v>
          </cell>
          <cell r="C81">
            <v>1.1447926939073001E-2</v>
          </cell>
          <cell r="D81">
            <v>1.47713950762016E-2</v>
          </cell>
          <cell r="E81">
            <v>2.1883548261039502E-2</v>
          </cell>
          <cell r="F81">
            <v>4347</v>
          </cell>
          <cell r="G81">
            <v>455</v>
          </cell>
          <cell r="H81">
            <v>20</v>
          </cell>
          <cell r="I81">
            <v>330</v>
          </cell>
          <cell r="J81">
            <v>7.5585859709018072E-2</v>
          </cell>
          <cell r="K81">
            <v>3.7519041632308583E-2</v>
          </cell>
          <cell r="L81">
            <v>475</v>
          </cell>
          <cell r="M81">
            <v>200</v>
          </cell>
          <cell r="N81">
            <v>105</v>
          </cell>
          <cell r="O81">
            <v>197</v>
          </cell>
          <cell r="P81">
            <v>55</v>
          </cell>
          <cell r="Q81">
            <v>0</v>
          </cell>
          <cell r="R81">
            <v>0</v>
          </cell>
          <cell r="S81">
            <v>5070</v>
          </cell>
          <cell r="T81">
            <v>15689</v>
          </cell>
          <cell r="U81">
            <v>3077</v>
          </cell>
          <cell r="V81">
            <v>0</v>
          </cell>
          <cell r="W81">
            <v>0</v>
          </cell>
          <cell r="X81">
            <v>0.84593837535014005</v>
          </cell>
          <cell r="Y81">
            <v>106</v>
          </cell>
          <cell r="Z81">
            <v>148</v>
          </cell>
          <cell r="AA81">
            <v>400</v>
          </cell>
          <cell r="AB81">
            <v>0</v>
          </cell>
          <cell r="AC81">
            <v>0</v>
          </cell>
          <cell r="AD81">
            <v>300</v>
          </cell>
          <cell r="AE81">
            <v>5552</v>
          </cell>
          <cell r="AF81">
            <v>4250</v>
          </cell>
          <cell r="AG81">
            <v>3650</v>
          </cell>
          <cell r="AH81">
            <v>0</v>
          </cell>
          <cell r="AI81">
            <v>0</v>
          </cell>
          <cell r="AJ81">
            <v>1</v>
          </cell>
          <cell r="AK81">
            <v>1</v>
          </cell>
          <cell r="AL81">
            <v>400</v>
          </cell>
          <cell r="AM81">
            <v>0</v>
          </cell>
          <cell r="AN81">
            <v>0</v>
          </cell>
          <cell r="AO81">
            <v>0</v>
          </cell>
          <cell r="AP81">
            <v>0</v>
          </cell>
          <cell r="AQ81">
            <v>448</v>
          </cell>
          <cell r="AX81">
            <v>600</v>
          </cell>
          <cell r="AY81">
            <v>1852</v>
          </cell>
          <cell r="AZ81">
            <v>122</v>
          </cell>
          <cell r="BA81">
            <v>55</v>
          </cell>
          <cell r="BB81">
            <v>70</v>
          </cell>
          <cell r="BC81">
            <v>31</v>
          </cell>
          <cell r="BD81">
            <v>0</v>
          </cell>
          <cell r="BE81">
            <v>79</v>
          </cell>
          <cell r="BF81">
            <v>0.63669064748201398</v>
          </cell>
          <cell r="BH81">
            <v>4943</v>
          </cell>
          <cell r="BI81">
            <v>5673</v>
          </cell>
          <cell r="BJ81">
            <v>8945</v>
          </cell>
          <cell r="BK81">
            <v>949</v>
          </cell>
          <cell r="BL81">
            <v>350</v>
          </cell>
          <cell r="BM81">
            <v>2976</v>
          </cell>
          <cell r="BN81">
            <v>30</v>
          </cell>
          <cell r="BO81">
            <v>91</v>
          </cell>
          <cell r="BP81">
            <v>126</v>
          </cell>
          <cell r="BQ81">
            <v>31</v>
          </cell>
          <cell r="BR81">
            <v>0</v>
          </cell>
          <cell r="BS81">
            <v>79</v>
          </cell>
          <cell r="BT81">
            <v>0.43525179856115098</v>
          </cell>
          <cell r="BV81">
            <v>4089</v>
          </cell>
          <cell r="BX81">
            <v>12029</v>
          </cell>
          <cell r="BY81">
            <v>599</v>
          </cell>
          <cell r="BZ81">
            <v>700</v>
          </cell>
          <cell r="CA81">
            <v>2976</v>
          </cell>
          <cell r="CB81">
            <v>8771.3876368345173</v>
          </cell>
          <cell r="CC81">
            <v>6534.839671814223</v>
          </cell>
          <cell r="CD81">
            <v>6136.0667637585202</v>
          </cell>
          <cell r="CE81">
            <v>0</v>
          </cell>
          <cell r="CF81">
            <v>0</v>
          </cell>
          <cell r="CG81">
            <v>0</v>
          </cell>
          <cell r="CM81">
            <v>0</v>
          </cell>
          <cell r="CZ81">
            <v>0.28013839333982055</v>
          </cell>
          <cell r="DA81">
            <v>0.278695614566214</v>
          </cell>
          <cell r="DB81">
            <v>43544656.759999998</v>
          </cell>
          <cell r="DC81">
            <v>94.2</v>
          </cell>
          <cell r="DD81">
            <v>3.8</v>
          </cell>
          <cell r="DE81">
            <v>0.6</v>
          </cell>
          <cell r="DF81">
            <v>82.6</v>
          </cell>
          <cell r="DG81">
            <v>7.8</v>
          </cell>
          <cell r="DH81">
            <v>3.5</v>
          </cell>
          <cell r="DI81">
            <v>98.7</v>
          </cell>
          <cell r="DJ81">
            <v>93.9</v>
          </cell>
        </row>
        <row r="82">
          <cell r="A82">
            <v>811</v>
          </cell>
          <cell r="B82">
            <v>-1.5666947149096399E-2</v>
          </cell>
          <cell r="C82">
            <v>-1.44248106743599E-3</v>
          </cell>
          <cell r="D82">
            <v>-1.22047964850186E-4</v>
          </cell>
          <cell r="E82">
            <v>4.8208946115823499E-3</v>
          </cell>
          <cell r="F82">
            <v>460</v>
          </cell>
          <cell r="G82">
            <v>1320</v>
          </cell>
          <cell r="H82">
            <v>50</v>
          </cell>
          <cell r="I82">
            <v>10</v>
          </cell>
          <cell r="J82">
            <v>0.15071835109729279</v>
          </cell>
          <cell r="K82">
            <v>0.27028451883458299</v>
          </cell>
          <cell r="L82">
            <v>330</v>
          </cell>
          <cell r="M82">
            <v>0</v>
          </cell>
          <cell r="N82">
            <v>48</v>
          </cell>
          <cell r="O82">
            <v>106</v>
          </cell>
          <cell r="P82">
            <v>0</v>
          </cell>
          <cell r="Q82">
            <v>0</v>
          </cell>
          <cell r="R82">
            <v>0</v>
          </cell>
          <cell r="S82">
            <v>4251</v>
          </cell>
          <cell r="T82">
            <v>18660</v>
          </cell>
          <cell r="U82">
            <v>3987</v>
          </cell>
          <cell r="V82">
            <v>0</v>
          </cell>
          <cell r="W82">
            <v>0</v>
          </cell>
          <cell r="X82">
            <v>1</v>
          </cell>
          <cell r="Y82">
            <v>1</v>
          </cell>
          <cell r="Z82">
            <v>0</v>
          </cell>
          <cell r="AA82">
            <v>0</v>
          </cell>
          <cell r="AB82">
            <v>536</v>
          </cell>
          <cell r="AC82">
            <v>0</v>
          </cell>
          <cell r="AD82">
            <v>0</v>
          </cell>
          <cell r="AE82">
            <v>2232</v>
          </cell>
          <cell r="AF82">
            <v>13708</v>
          </cell>
          <cell r="AG82">
            <v>5131</v>
          </cell>
          <cell r="AH82">
            <v>1855</v>
          </cell>
          <cell r="AI82">
            <v>0</v>
          </cell>
          <cell r="AJ82">
            <v>0</v>
          </cell>
          <cell r="AK82">
            <v>102</v>
          </cell>
          <cell r="AL82">
            <v>0</v>
          </cell>
          <cell r="AM82">
            <v>0</v>
          </cell>
          <cell r="AN82">
            <v>0</v>
          </cell>
          <cell r="AO82">
            <v>0</v>
          </cell>
          <cell r="AP82">
            <v>0</v>
          </cell>
          <cell r="AQ82">
            <v>536</v>
          </cell>
          <cell r="AX82">
            <v>0</v>
          </cell>
          <cell r="AY82">
            <v>1214</v>
          </cell>
          <cell r="AZ82">
            <v>0</v>
          </cell>
          <cell r="BA82">
            <v>0</v>
          </cell>
          <cell r="BB82">
            <v>65</v>
          </cell>
          <cell r="BC82">
            <v>47</v>
          </cell>
          <cell r="BD82">
            <v>0</v>
          </cell>
          <cell r="BE82">
            <v>42</v>
          </cell>
          <cell r="BF82">
            <v>0</v>
          </cell>
          <cell r="BH82">
            <v>1434</v>
          </cell>
          <cell r="BI82">
            <v>1275</v>
          </cell>
          <cell r="BJ82">
            <v>14189</v>
          </cell>
          <cell r="BK82">
            <v>5208</v>
          </cell>
          <cell r="BL82">
            <v>2491</v>
          </cell>
          <cell r="BM82">
            <v>2301</v>
          </cell>
          <cell r="BN82">
            <v>0</v>
          </cell>
          <cell r="BO82">
            <v>0</v>
          </cell>
          <cell r="BP82">
            <v>63</v>
          </cell>
          <cell r="BQ82">
            <v>32</v>
          </cell>
          <cell r="BR82">
            <v>17</v>
          </cell>
          <cell r="BS82">
            <v>42</v>
          </cell>
          <cell r="BT82">
            <v>0</v>
          </cell>
          <cell r="BV82">
            <v>2408</v>
          </cell>
          <cell r="BX82">
            <v>13456</v>
          </cell>
          <cell r="BY82">
            <v>3410</v>
          </cell>
          <cell r="BZ82">
            <v>3639</v>
          </cell>
          <cell r="CA82">
            <v>2301</v>
          </cell>
          <cell r="CB82">
            <v>9903.7479386400864</v>
          </cell>
          <cell r="CC82">
            <v>4950.8523484670277</v>
          </cell>
          <cell r="CD82">
            <v>0</v>
          </cell>
          <cell r="CE82">
            <v>0</v>
          </cell>
          <cell r="CF82">
            <v>0</v>
          </cell>
          <cell r="CG82">
            <v>0</v>
          </cell>
          <cell r="CM82">
            <v>0</v>
          </cell>
          <cell r="CZ82">
            <v>4.2690536644145113E-2</v>
          </cell>
          <cell r="DA82">
            <v>-0.12537943098214746</v>
          </cell>
          <cell r="DB82">
            <v>15992520.200000001</v>
          </cell>
          <cell r="DC82">
            <v>97.6</v>
          </cell>
          <cell r="DD82">
            <v>1.6</v>
          </cell>
          <cell r="DE82">
            <v>0</v>
          </cell>
          <cell r="DF82">
            <v>96.7</v>
          </cell>
          <cell r="DG82">
            <v>2.1</v>
          </cell>
          <cell r="DH82">
            <v>0.2</v>
          </cell>
          <cell r="DI82">
            <v>99.2</v>
          </cell>
          <cell r="DJ82">
            <v>99</v>
          </cell>
        </row>
        <row r="83">
          <cell r="A83">
            <v>812</v>
          </cell>
          <cell r="B83">
            <v>8.3817366370119804E-3</v>
          </cell>
          <cell r="C83">
            <v>9.4845967208293507E-3</v>
          </cell>
          <cell r="D83">
            <v>8.4540165862111605E-2</v>
          </cell>
          <cell r="E83">
            <v>4.51788587696497E-2</v>
          </cell>
          <cell r="F83">
            <v>1456</v>
          </cell>
          <cell r="G83">
            <v>0</v>
          </cell>
          <cell r="H83">
            <v>440</v>
          </cell>
          <cell r="I83">
            <v>0</v>
          </cell>
          <cell r="J83">
            <v>0.11824715811404002</v>
          </cell>
          <cell r="K83">
            <v>6.1967544852058673E-2</v>
          </cell>
          <cell r="L83">
            <v>105</v>
          </cell>
          <cell r="M83">
            <v>0</v>
          </cell>
          <cell r="N83">
            <v>16</v>
          </cell>
          <cell r="O83">
            <v>0</v>
          </cell>
          <cell r="P83">
            <v>0</v>
          </cell>
          <cell r="Q83">
            <v>0</v>
          </cell>
          <cell r="R83">
            <v>0</v>
          </cell>
          <cell r="S83">
            <v>1409</v>
          </cell>
          <cell r="T83">
            <v>11503</v>
          </cell>
          <cell r="U83">
            <v>1815</v>
          </cell>
          <cell r="V83">
            <v>315</v>
          </cell>
          <cell r="W83">
            <v>0</v>
          </cell>
          <cell r="X83">
            <v>1</v>
          </cell>
          <cell r="Y83">
            <v>1</v>
          </cell>
          <cell r="Z83">
            <v>0</v>
          </cell>
          <cell r="AA83">
            <v>0</v>
          </cell>
          <cell r="AB83">
            <v>0</v>
          </cell>
          <cell r="AC83">
            <v>0</v>
          </cell>
          <cell r="AD83">
            <v>0</v>
          </cell>
          <cell r="AE83">
            <v>4087</v>
          </cell>
          <cell r="AF83">
            <v>4404</v>
          </cell>
          <cell r="AG83">
            <v>1700</v>
          </cell>
          <cell r="AH83">
            <v>0</v>
          </cell>
          <cell r="AI83">
            <v>0</v>
          </cell>
          <cell r="AJ83" t="str">
            <v>NULL</v>
          </cell>
          <cell r="AK83" t="str">
            <v>NULL</v>
          </cell>
          <cell r="AL83">
            <v>0</v>
          </cell>
          <cell r="AM83">
            <v>0</v>
          </cell>
          <cell r="AN83">
            <v>0</v>
          </cell>
          <cell r="AO83">
            <v>0</v>
          </cell>
          <cell r="AP83">
            <v>0</v>
          </cell>
          <cell r="AQ83">
            <v>0</v>
          </cell>
          <cell r="AX83">
            <v>950</v>
          </cell>
          <cell r="AY83">
            <v>0</v>
          </cell>
          <cell r="AZ83">
            <v>0</v>
          </cell>
          <cell r="BA83">
            <v>0</v>
          </cell>
          <cell r="BB83">
            <v>0</v>
          </cell>
          <cell r="BC83">
            <v>16</v>
          </cell>
          <cell r="BD83">
            <v>0</v>
          </cell>
          <cell r="BE83">
            <v>0</v>
          </cell>
          <cell r="BF83">
            <v>0</v>
          </cell>
          <cell r="BH83">
            <v>3100</v>
          </cell>
          <cell r="BI83">
            <v>3255</v>
          </cell>
          <cell r="BJ83">
            <v>7023</v>
          </cell>
          <cell r="BK83">
            <v>944</v>
          </cell>
          <cell r="BL83">
            <v>0</v>
          </cell>
          <cell r="BM83">
            <v>720</v>
          </cell>
          <cell r="BN83">
            <v>0</v>
          </cell>
          <cell r="BO83">
            <v>0</v>
          </cell>
          <cell r="BP83">
            <v>0</v>
          </cell>
          <cell r="BQ83">
            <v>0</v>
          </cell>
          <cell r="BR83">
            <v>16</v>
          </cell>
          <cell r="BS83">
            <v>0</v>
          </cell>
          <cell r="BT83">
            <v>0</v>
          </cell>
          <cell r="BV83">
            <v>1470</v>
          </cell>
          <cell r="BX83">
            <v>8578</v>
          </cell>
          <cell r="BY83">
            <v>870</v>
          </cell>
          <cell r="BZ83">
            <v>944</v>
          </cell>
          <cell r="CA83">
            <v>720</v>
          </cell>
          <cell r="CB83">
            <v>0</v>
          </cell>
          <cell r="CC83">
            <v>0</v>
          </cell>
          <cell r="CD83">
            <v>0</v>
          </cell>
          <cell r="CE83">
            <v>0</v>
          </cell>
          <cell r="CF83">
            <v>0</v>
          </cell>
          <cell r="CG83">
            <v>0</v>
          </cell>
          <cell r="CM83">
            <v>0</v>
          </cell>
          <cell r="CZ83">
            <v>0.1391340206185567</v>
          </cell>
          <cell r="DA83">
            <v>0.32117310443490699</v>
          </cell>
          <cell r="DB83">
            <v>16391675.260000002</v>
          </cell>
          <cell r="DC83">
            <v>93.7</v>
          </cell>
          <cell r="DD83">
            <v>3.3</v>
          </cell>
          <cell r="DE83">
            <v>0.7</v>
          </cell>
          <cell r="DF83">
            <v>93.4</v>
          </cell>
          <cell r="DG83">
            <v>4.5999999999999996</v>
          </cell>
          <cell r="DH83">
            <v>0.4</v>
          </cell>
          <cell r="DI83">
            <v>97.7</v>
          </cell>
          <cell r="DJ83">
            <v>98.4</v>
          </cell>
        </row>
        <row r="84">
          <cell r="A84">
            <v>813</v>
          </cell>
          <cell r="B84">
            <v>-5.1989313307820098E-3</v>
          </cell>
          <cell r="C84">
            <v>2.88829518376778E-3</v>
          </cell>
          <cell r="D84">
            <v>-2.2415119217668401E-2</v>
          </cell>
          <cell r="E84">
            <v>1.8019997802439298E-2</v>
          </cell>
          <cell r="F84">
            <v>933</v>
          </cell>
          <cell r="G84">
            <v>24</v>
          </cell>
          <cell r="H84">
            <v>110</v>
          </cell>
          <cell r="I84">
            <v>350</v>
          </cell>
          <cell r="J84">
            <v>7.9079230262992517E-2</v>
          </cell>
          <cell r="K84">
            <v>9.9000586299588605E-2</v>
          </cell>
          <cell r="L84">
            <v>73</v>
          </cell>
          <cell r="M84">
            <v>0</v>
          </cell>
          <cell r="N84">
            <v>0</v>
          </cell>
          <cell r="O84">
            <v>0</v>
          </cell>
          <cell r="P84">
            <v>0</v>
          </cell>
          <cell r="Q84">
            <v>0</v>
          </cell>
          <cell r="R84">
            <v>0</v>
          </cell>
          <cell r="S84">
            <v>2104</v>
          </cell>
          <cell r="T84">
            <v>10089</v>
          </cell>
          <cell r="U84">
            <v>2142</v>
          </cell>
          <cell r="V84">
            <v>655</v>
          </cell>
          <cell r="W84">
            <v>0</v>
          </cell>
          <cell r="X84" t="str">
            <v>NULL</v>
          </cell>
          <cell r="Y84" t="str">
            <v>NULL</v>
          </cell>
          <cell r="Z84">
            <v>0</v>
          </cell>
          <cell r="AA84">
            <v>151</v>
          </cell>
          <cell r="AB84">
            <v>0</v>
          </cell>
          <cell r="AC84">
            <v>0</v>
          </cell>
          <cell r="AD84">
            <v>0</v>
          </cell>
          <cell r="AE84">
            <v>0</v>
          </cell>
          <cell r="AF84">
            <v>10846</v>
          </cell>
          <cell r="AG84">
            <v>900</v>
          </cell>
          <cell r="AH84">
            <v>0</v>
          </cell>
          <cell r="AI84">
            <v>96</v>
          </cell>
          <cell r="AJ84">
            <v>1</v>
          </cell>
          <cell r="AK84">
            <v>1</v>
          </cell>
          <cell r="AL84">
            <v>100</v>
          </cell>
          <cell r="AM84">
            <v>0</v>
          </cell>
          <cell r="AN84">
            <v>51</v>
          </cell>
          <cell r="AO84">
            <v>0</v>
          </cell>
          <cell r="AP84">
            <v>0</v>
          </cell>
          <cell r="AQ84">
            <v>0</v>
          </cell>
          <cell r="AX84">
            <v>0</v>
          </cell>
          <cell r="AY84">
            <v>696</v>
          </cell>
          <cell r="AZ84">
            <v>0</v>
          </cell>
          <cell r="BA84">
            <v>0</v>
          </cell>
          <cell r="BB84">
            <v>0</v>
          </cell>
          <cell r="BC84">
            <v>0</v>
          </cell>
          <cell r="BD84">
            <v>0</v>
          </cell>
          <cell r="BE84">
            <v>0</v>
          </cell>
          <cell r="BF84" t="str">
            <v>NULL</v>
          </cell>
          <cell r="BH84">
            <v>555</v>
          </cell>
          <cell r="BI84">
            <v>2101</v>
          </cell>
          <cell r="BJ84">
            <v>8179</v>
          </cell>
          <cell r="BK84">
            <v>2070</v>
          </cell>
          <cell r="BL84">
            <v>1043</v>
          </cell>
          <cell r="BM84">
            <v>1042</v>
          </cell>
          <cell r="BN84">
            <v>0</v>
          </cell>
          <cell r="BO84">
            <v>0</v>
          </cell>
          <cell r="BP84">
            <v>0</v>
          </cell>
          <cell r="BQ84">
            <v>0</v>
          </cell>
          <cell r="BR84">
            <v>0</v>
          </cell>
          <cell r="BS84">
            <v>0</v>
          </cell>
          <cell r="BT84" t="str">
            <v>NULL</v>
          </cell>
          <cell r="BV84">
            <v>595</v>
          </cell>
          <cell r="BX84">
            <v>9223</v>
          </cell>
          <cell r="BY84">
            <v>210</v>
          </cell>
          <cell r="BZ84">
            <v>2723</v>
          </cell>
          <cell r="CA84">
            <v>1042</v>
          </cell>
          <cell r="CB84">
            <v>13941.938908380211</v>
          </cell>
          <cell r="CC84">
            <v>1349.4441469311359</v>
          </cell>
          <cell r="CD84">
            <v>0</v>
          </cell>
          <cell r="CE84">
            <v>0</v>
          </cell>
          <cell r="CF84">
            <v>0</v>
          </cell>
          <cell r="CG84">
            <v>0</v>
          </cell>
          <cell r="CM84">
            <v>0</v>
          </cell>
          <cell r="CZ84">
            <v>0.13134255887351298</v>
          </cell>
          <cell r="DA84">
            <v>0.159960958681271</v>
          </cell>
          <cell r="DB84">
            <v>11310270.359999999</v>
          </cell>
          <cell r="DC84">
            <v>95.9</v>
          </cell>
          <cell r="DD84">
            <v>2.4</v>
          </cell>
          <cell r="DE84">
            <v>0.4</v>
          </cell>
          <cell r="DF84">
            <v>92.7</v>
          </cell>
          <cell r="DG84">
            <v>5</v>
          </cell>
          <cell r="DH84">
            <v>0.3</v>
          </cell>
          <cell r="DI84">
            <v>98.7</v>
          </cell>
          <cell r="DJ84">
            <v>98</v>
          </cell>
        </row>
        <row r="85">
          <cell r="A85">
            <v>815</v>
          </cell>
          <cell r="B85">
            <v>6.3299427101601802E-2</v>
          </cell>
          <cell r="C85">
            <v>1.4942125569975401E-2</v>
          </cell>
          <cell r="D85">
            <v>3.5606674226470097E-2</v>
          </cell>
          <cell r="E85">
            <v>2.1999028025271299E-2</v>
          </cell>
          <cell r="F85">
            <v>1159</v>
          </cell>
          <cell r="G85">
            <v>0</v>
          </cell>
          <cell r="H85">
            <v>340</v>
          </cell>
          <cell r="I85">
            <v>410</v>
          </cell>
          <cell r="J85">
            <v>0.14901617918194121</v>
          </cell>
          <cell r="K85">
            <v>0.20665815741743876</v>
          </cell>
          <cell r="L85">
            <v>1275</v>
          </cell>
          <cell r="M85">
            <v>0</v>
          </cell>
          <cell r="N85">
            <v>49</v>
          </cell>
          <cell r="O85">
            <v>678</v>
          </cell>
          <cell r="P85">
            <v>50</v>
          </cell>
          <cell r="Q85">
            <v>50</v>
          </cell>
          <cell r="R85">
            <v>0</v>
          </cell>
          <cell r="S85">
            <v>6884</v>
          </cell>
          <cell r="T85">
            <v>34577</v>
          </cell>
          <cell r="U85">
            <v>4948</v>
          </cell>
          <cell r="V85">
            <v>1536</v>
          </cell>
          <cell r="W85">
            <v>0</v>
          </cell>
          <cell r="X85">
            <v>0.87908101571946795</v>
          </cell>
          <cell r="Y85">
            <v>96</v>
          </cell>
          <cell r="Z85">
            <v>245</v>
          </cell>
          <cell r="AA85">
            <v>246</v>
          </cell>
          <cell r="AB85">
            <v>0</v>
          </cell>
          <cell r="AC85">
            <v>0</v>
          </cell>
          <cell r="AD85">
            <v>0</v>
          </cell>
          <cell r="AE85">
            <v>12669</v>
          </cell>
          <cell r="AF85">
            <v>21790</v>
          </cell>
          <cell r="AG85">
            <v>2255</v>
          </cell>
          <cell r="AH85">
            <v>6041</v>
          </cell>
          <cell r="AI85">
            <v>300</v>
          </cell>
          <cell r="AJ85">
            <v>1</v>
          </cell>
          <cell r="AK85">
            <v>1</v>
          </cell>
          <cell r="AL85">
            <v>0</v>
          </cell>
          <cell r="AM85">
            <v>130</v>
          </cell>
          <cell r="AN85">
            <v>278</v>
          </cell>
          <cell r="AO85">
            <v>50</v>
          </cell>
          <cell r="AP85">
            <v>0</v>
          </cell>
          <cell r="AQ85">
            <v>33</v>
          </cell>
          <cell r="AX85">
            <v>840</v>
          </cell>
          <cell r="AY85">
            <v>4019</v>
          </cell>
          <cell r="AZ85">
            <v>0</v>
          </cell>
          <cell r="BA85">
            <v>0</v>
          </cell>
          <cell r="BB85">
            <v>485</v>
          </cell>
          <cell r="BC85">
            <v>191</v>
          </cell>
          <cell r="BD85">
            <v>41</v>
          </cell>
          <cell r="BE85">
            <v>110</v>
          </cell>
          <cell r="BF85">
            <v>0</v>
          </cell>
          <cell r="BH85">
            <v>1898</v>
          </cell>
          <cell r="BI85">
            <v>1020</v>
          </cell>
          <cell r="BJ85">
            <v>24044</v>
          </cell>
          <cell r="BK85">
            <v>4891</v>
          </cell>
          <cell r="BL85">
            <v>7473</v>
          </cell>
          <cell r="BM85">
            <v>8619</v>
          </cell>
          <cell r="BN85">
            <v>0</v>
          </cell>
          <cell r="BO85">
            <v>105</v>
          </cell>
          <cell r="BP85">
            <v>552</v>
          </cell>
          <cell r="BQ85">
            <v>0</v>
          </cell>
          <cell r="BR85">
            <v>60</v>
          </cell>
          <cell r="BS85">
            <v>110</v>
          </cell>
          <cell r="BT85">
            <v>0.14644351464435101</v>
          </cell>
          <cell r="BV85">
            <v>1657</v>
          </cell>
          <cell r="BX85">
            <v>25810</v>
          </cell>
          <cell r="BY85">
            <v>1937</v>
          </cell>
          <cell r="BZ85">
            <v>6862</v>
          </cell>
          <cell r="CA85">
            <v>8619</v>
          </cell>
          <cell r="CB85">
            <v>21494.439311088598</v>
          </cell>
          <cell r="CC85">
            <v>0</v>
          </cell>
          <cell r="CD85">
            <v>24259.421485724681</v>
          </cell>
          <cell r="CE85">
            <v>0</v>
          </cell>
          <cell r="CF85">
            <v>0</v>
          </cell>
          <cell r="CG85">
            <v>0</v>
          </cell>
          <cell r="CM85">
            <v>0</v>
          </cell>
          <cell r="CZ85">
            <v>8.0960371119774957E-2</v>
          </cell>
          <cell r="DA85">
            <v>-3.5013011592145732E-2</v>
          </cell>
          <cell r="DB85">
            <v>63533458.129999995</v>
          </cell>
          <cell r="DC85">
            <v>94.6</v>
          </cell>
          <cell r="DD85">
            <v>3</v>
          </cell>
          <cell r="DE85">
            <v>0.6</v>
          </cell>
          <cell r="DF85">
            <v>92.2</v>
          </cell>
          <cell r="DG85">
            <v>3.9</v>
          </cell>
          <cell r="DH85">
            <v>0.9</v>
          </cell>
          <cell r="DI85">
            <v>98.2</v>
          </cell>
          <cell r="DJ85">
            <v>97.1</v>
          </cell>
        </row>
        <row r="86">
          <cell r="A86">
            <v>816</v>
          </cell>
          <cell r="B86">
            <v>2.9945355191256798E-2</v>
          </cell>
          <cell r="C86">
            <v>9.5446265938069208E-3</v>
          </cell>
          <cell r="D86">
            <v>4.3448744059742E-2</v>
          </cell>
          <cell r="E86">
            <v>1.19936637248246E-2</v>
          </cell>
          <cell r="F86">
            <v>2181</v>
          </cell>
          <cell r="G86">
            <v>659</v>
          </cell>
          <cell r="H86">
            <v>120</v>
          </cell>
          <cell r="I86">
            <v>340</v>
          </cell>
          <cell r="J86">
            <v>0.12473232395425955</v>
          </cell>
          <cell r="K86">
            <v>5.1276889748639747E-2</v>
          </cell>
          <cell r="L86">
            <v>0</v>
          </cell>
          <cell r="M86">
            <v>0</v>
          </cell>
          <cell r="N86">
            <v>200</v>
          </cell>
          <cell r="O86">
            <v>413</v>
          </cell>
          <cell r="P86">
            <v>0</v>
          </cell>
          <cell r="Q86">
            <v>0</v>
          </cell>
          <cell r="R86">
            <v>0</v>
          </cell>
          <cell r="S86">
            <v>3216</v>
          </cell>
          <cell r="T86">
            <v>10607</v>
          </cell>
          <cell r="U86">
            <v>780</v>
          </cell>
          <cell r="V86">
            <v>0</v>
          </cell>
          <cell r="W86">
            <v>0</v>
          </cell>
          <cell r="X86">
            <v>1</v>
          </cell>
          <cell r="Y86">
            <v>1</v>
          </cell>
          <cell r="Z86">
            <v>260</v>
          </cell>
          <cell r="AA86">
            <v>0</v>
          </cell>
          <cell r="AB86">
            <v>0</v>
          </cell>
          <cell r="AC86">
            <v>0</v>
          </cell>
          <cell r="AD86">
            <v>0</v>
          </cell>
          <cell r="AE86">
            <v>6711</v>
          </cell>
          <cell r="AF86">
            <v>2355</v>
          </cell>
          <cell r="AG86">
            <v>0</v>
          </cell>
          <cell r="AH86">
            <v>0</v>
          </cell>
          <cell r="AI86">
            <v>0</v>
          </cell>
          <cell r="AJ86">
            <v>1</v>
          </cell>
          <cell r="AK86">
            <v>1</v>
          </cell>
          <cell r="AL86">
            <v>0</v>
          </cell>
          <cell r="AM86">
            <v>260</v>
          </cell>
          <cell r="AN86">
            <v>0</v>
          </cell>
          <cell r="AO86">
            <v>0</v>
          </cell>
          <cell r="AP86">
            <v>0</v>
          </cell>
          <cell r="AQ86">
            <v>0</v>
          </cell>
          <cell r="AX86">
            <v>0</v>
          </cell>
          <cell r="AY86">
            <v>1603</v>
          </cell>
          <cell r="AZ86">
            <v>0</v>
          </cell>
          <cell r="BA86">
            <v>76</v>
          </cell>
          <cell r="BB86">
            <v>378</v>
          </cell>
          <cell r="BC86">
            <v>59</v>
          </cell>
          <cell r="BD86">
            <v>0</v>
          </cell>
          <cell r="BE86">
            <v>100</v>
          </cell>
          <cell r="BF86">
            <v>0.148148148148148</v>
          </cell>
          <cell r="BH86">
            <v>0</v>
          </cell>
          <cell r="BI86">
            <v>2563</v>
          </cell>
          <cell r="BJ86">
            <v>8109</v>
          </cell>
          <cell r="BK86">
            <v>1481</v>
          </cell>
          <cell r="BL86">
            <v>240</v>
          </cell>
          <cell r="BM86">
            <v>2210</v>
          </cell>
          <cell r="BN86">
            <v>105</v>
          </cell>
          <cell r="BO86">
            <v>181</v>
          </cell>
          <cell r="BP86">
            <v>204</v>
          </cell>
          <cell r="BQ86">
            <v>23</v>
          </cell>
          <cell r="BR86">
            <v>0</v>
          </cell>
          <cell r="BS86">
            <v>100</v>
          </cell>
          <cell r="BT86">
            <v>0.55750487329434695</v>
          </cell>
          <cell r="BV86">
            <v>377</v>
          </cell>
          <cell r="BX86">
            <v>9666</v>
          </cell>
          <cell r="BY86">
            <v>735</v>
          </cell>
          <cell r="BZ86">
            <v>240</v>
          </cell>
          <cell r="CA86">
            <v>2210</v>
          </cell>
          <cell r="CB86">
            <v>12491.552059668922</v>
          </cell>
          <cell r="CC86">
            <v>24604.873470755825</v>
          </cell>
          <cell r="CD86">
            <v>10567.690442890445</v>
          </cell>
          <cell r="CE86">
            <v>131551.43847143848</v>
          </cell>
          <cell r="CF86">
            <v>0</v>
          </cell>
          <cell r="CG86">
            <v>0</v>
          </cell>
          <cell r="CM86">
            <v>0</v>
          </cell>
          <cell r="CZ86">
            <v>0.13629289868130068</v>
          </cell>
          <cell r="DA86">
            <v>9.752480894262576E-2</v>
          </cell>
          <cell r="DB86">
            <v>40214373.539999999</v>
          </cell>
          <cell r="DC86">
            <v>94.2</v>
          </cell>
          <cell r="DD86">
            <v>4.7</v>
          </cell>
          <cell r="DE86">
            <v>0.4</v>
          </cell>
          <cell r="DF86">
            <v>92.2</v>
          </cell>
          <cell r="DG86">
            <v>4.5999999999999996</v>
          </cell>
          <cell r="DH86">
            <v>1.2</v>
          </cell>
          <cell r="DI86">
            <v>99.3</v>
          </cell>
          <cell r="DJ86">
            <v>98</v>
          </cell>
        </row>
        <row r="87">
          <cell r="A87">
            <v>821</v>
          </cell>
          <cell r="B87">
            <v>2.93910904138476E-2</v>
          </cell>
          <cell r="C87">
            <v>1.9769791758193499E-2</v>
          </cell>
          <cell r="D87">
            <v>4.5934569086478097E-2</v>
          </cell>
          <cell r="E87">
            <v>2.2745735174654801E-2</v>
          </cell>
          <cell r="F87">
            <v>5084</v>
          </cell>
          <cell r="G87">
            <v>1232</v>
          </cell>
          <cell r="H87">
            <v>10</v>
          </cell>
          <cell r="I87">
            <v>90</v>
          </cell>
          <cell r="J87">
            <v>6.7127778479755276E-2</v>
          </cell>
          <cell r="K87">
            <v>0.16593286081743419</v>
          </cell>
          <cell r="L87">
            <v>0</v>
          </cell>
          <cell r="M87">
            <v>2520</v>
          </cell>
          <cell r="N87">
            <v>0</v>
          </cell>
          <cell r="O87">
            <v>0</v>
          </cell>
          <cell r="P87">
            <v>120</v>
          </cell>
          <cell r="Q87">
            <v>0</v>
          </cell>
          <cell r="R87">
            <v>0</v>
          </cell>
          <cell r="S87">
            <v>1438</v>
          </cell>
          <cell r="T87">
            <v>15510</v>
          </cell>
          <cell r="U87">
            <v>7944</v>
          </cell>
          <cell r="V87">
            <v>0</v>
          </cell>
          <cell r="W87">
            <v>0</v>
          </cell>
          <cell r="X87">
            <v>0</v>
          </cell>
          <cell r="Y87">
            <v>135</v>
          </cell>
          <cell r="Z87">
            <v>337</v>
          </cell>
          <cell r="AA87">
            <v>140</v>
          </cell>
          <cell r="AB87">
            <v>30</v>
          </cell>
          <cell r="AC87">
            <v>0</v>
          </cell>
          <cell r="AD87">
            <v>0</v>
          </cell>
          <cell r="AE87">
            <v>1983</v>
          </cell>
          <cell r="AF87">
            <v>8055</v>
          </cell>
          <cell r="AG87">
            <v>5050</v>
          </cell>
          <cell r="AH87">
            <v>0</v>
          </cell>
          <cell r="AI87">
            <v>0</v>
          </cell>
          <cell r="AJ87">
            <v>0.94082840236686405</v>
          </cell>
          <cell r="AK87">
            <v>67</v>
          </cell>
          <cell r="AL87">
            <v>0</v>
          </cell>
          <cell r="AM87">
            <v>0</v>
          </cell>
          <cell r="AN87">
            <v>477</v>
          </cell>
          <cell r="AO87">
            <v>30</v>
          </cell>
          <cell r="AP87">
            <v>0</v>
          </cell>
          <cell r="AQ87">
            <v>0</v>
          </cell>
          <cell r="AX87">
            <v>2550</v>
          </cell>
          <cell r="AY87">
            <v>0</v>
          </cell>
          <cell r="AZ87">
            <v>0</v>
          </cell>
          <cell r="BA87">
            <v>0</v>
          </cell>
          <cell r="BB87">
            <v>0</v>
          </cell>
          <cell r="BC87">
            <v>0</v>
          </cell>
          <cell r="BD87">
            <v>120</v>
          </cell>
          <cell r="BE87">
            <v>0</v>
          </cell>
          <cell r="BF87">
            <v>0</v>
          </cell>
          <cell r="BH87">
            <v>1470</v>
          </cell>
          <cell r="BI87">
            <v>5520</v>
          </cell>
          <cell r="BJ87">
            <v>6894</v>
          </cell>
          <cell r="BK87">
            <v>4860</v>
          </cell>
          <cell r="BL87">
            <v>2700</v>
          </cell>
          <cell r="BM87">
            <v>3448</v>
          </cell>
          <cell r="BN87">
            <v>0</v>
          </cell>
          <cell r="BO87">
            <v>0</v>
          </cell>
          <cell r="BP87">
            <v>0</v>
          </cell>
          <cell r="BQ87">
            <v>0</v>
          </cell>
          <cell r="BR87">
            <v>120</v>
          </cell>
          <cell r="BS87">
            <v>0</v>
          </cell>
          <cell r="BT87">
            <v>0</v>
          </cell>
          <cell r="BV87">
            <v>1140</v>
          </cell>
          <cell r="BX87">
            <v>8034</v>
          </cell>
          <cell r="BY87">
            <v>5160</v>
          </cell>
          <cell r="BZ87">
            <v>4650</v>
          </cell>
          <cell r="CA87">
            <v>3448</v>
          </cell>
          <cell r="CB87">
            <v>8919.8628369572907</v>
          </cell>
          <cell r="CC87">
            <v>0</v>
          </cell>
          <cell r="CD87">
            <v>0</v>
          </cell>
          <cell r="CE87">
            <v>12705.266690818147</v>
          </cell>
          <cell r="CF87">
            <v>0</v>
          </cell>
          <cell r="CG87">
            <v>0</v>
          </cell>
          <cell r="CM87">
            <v>0</v>
          </cell>
          <cell r="CZ87">
            <v>0.25415077104937939</v>
          </cell>
          <cell r="DA87">
            <v>0.43000482392667633</v>
          </cell>
          <cell r="DB87">
            <v>85453090.420000002</v>
          </cell>
          <cell r="DC87">
            <v>92.9</v>
          </cell>
          <cell r="DD87">
            <v>4.3</v>
          </cell>
          <cell r="DE87">
            <v>1.4</v>
          </cell>
          <cell r="DF87">
            <v>79.5</v>
          </cell>
          <cell r="DG87">
            <v>11.6</v>
          </cell>
          <cell r="DH87">
            <v>4</v>
          </cell>
          <cell r="DI87">
            <v>98.6</v>
          </cell>
          <cell r="DJ87">
            <v>95.1</v>
          </cell>
        </row>
        <row r="88">
          <cell r="A88">
            <v>822</v>
          </cell>
          <cell r="B88">
            <v>1.8377119192442101E-2</v>
          </cell>
          <cell r="C88">
            <v>2.43302704801346E-2</v>
          </cell>
          <cell r="D88">
            <v>7.0136698212408005E-2</v>
          </cell>
          <cell r="E88">
            <v>4.6898002103049397E-2</v>
          </cell>
          <cell r="F88">
            <v>8009</v>
          </cell>
          <cell r="G88">
            <v>0</v>
          </cell>
          <cell r="H88">
            <v>240</v>
          </cell>
          <cell r="I88">
            <v>850</v>
          </cell>
          <cell r="J88">
            <v>0.17211766878592977</v>
          </cell>
          <cell r="K88">
            <v>0.21377051539604827</v>
          </cell>
          <cell r="L88">
            <v>1335</v>
          </cell>
          <cell r="M88">
            <v>150</v>
          </cell>
          <cell r="N88">
            <v>518</v>
          </cell>
          <cell r="O88">
            <v>1497</v>
          </cell>
          <cell r="P88">
            <v>705</v>
          </cell>
          <cell r="Q88">
            <v>0</v>
          </cell>
          <cell r="R88">
            <v>840</v>
          </cell>
          <cell r="S88">
            <v>2239</v>
          </cell>
          <cell r="T88">
            <v>9603</v>
          </cell>
          <cell r="U88">
            <v>2470</v>
          </cell>
          <cell r="V88">
            <v>75</v>
          </cell>
          <cell r="W88">
            <v>0</v>
          </cell>
          <cell r="X88">
            <v>0.74080882352941202</v>
          </cell>
          <cell r="Y88">
            <v>114</v>
          </cell>
          <cell r="Z88">
            <v>352</v>
          </cell>
          <cell r="AA88">
            <v>2131</v>
          </cell>
          <cell r="AB88">
            <v>300</v>
          </cell>
          <cell r="AC88">
            <v>0</v>
          </cell>
          <cell r="AD88">
            <v>600</v>
          </cell>
          <cell r="AE88">
            <v>880</v>
          </cell>
          <cell r="AF88">
            <v>8908</v>
          </cell>
          <cell r="AG88">
            <v>200</v>
          </cell>
          <cell r="AH88">
            <v>0</v>
          </cell>
          <cell r="AI88">
            <v>0</v>
          </cell>
          <cell r="AJ88">
            <v>0.89220265900107798</v>
          </cell>
          <cell r="AK88">
            <v>71</v>
          </cell>
          <cell r="AL88">
            <v>0</v>
          </cell>
          <cell r="AM88">
            <v>165</v>
          </cell>
          <cell r="AN88">
            <v>0</v>
          </cell>
          <cell r="AO88">
            <v>0</v>
          </cell>
          <cell r="AP88">
            <v>0</v>
          </cell>
          <cell r="AQ88">
            <v>3218</v>
          </cell>
          <cell r="AX88">
            <v>0</v>
          </cell>
          <cell r="AY88">
            <v>3850</v>
          </cell>
          <cell r="AZ88">
            <v>0</v>
          </cell>
          <cell r="BA88">
            <v>0</v>
          </cell>
          <cell r="BB88">
            <v>20</v>
          </cell>
          <cell r="BC88">
            <v>85</v>
          </cell>
          <cell r="BD88">
            <v>0</v>
          </cell>
          <cell r="BE88">
            <v>3455</v>
          </cell>
          <cell r="BF88">
            <v>0</v>
          </cell>
          <cell r="BH88">
            <v>0</v>
          </cell>
          <cell r="BI88">
            <v>0</v>
          </cell>
          <cell r="BJ88">
            <v>2585</v>
          </cell>
          <cell r="BK88">
            <v>2330</v>
          </cell>
          <cell r="BL88">
            <v>2059</v>
          </cell>
          <cell r="BM88">
            <v>7413</v>
          </cell>
          <cell r="BN88">
            <v>0</v>
          </cell>
          <cell r="BO88">
            <v>0</v>
          </cell>
          <cell r="BP88">
            <v>70</v>
          </cell>
          <cell r="BQ88">
            <v>0</v>
          </cell>
          <cell r="BR88">
            <v>35</v>
          </cell>
          <cell r="BS88">
            <v>3455</v>
          </cell>
          <cell r="BT88">
            <v>0</v>
          </cell>
          <cell r="BV88">
            <v>0</v>
          </cell>
          <cell r="BX88">
            <v>1505</v>
          </cell>
          <cell r="BY88">
            <v>2629</v>
          </cell>
          <cell r="BZ88">
            <v>2840</v>
          </cell>
          <cell r="CA88">
            <v>7413</v>
          </cell>
          <cell r="CB88">
            <v>10840.849621529667</v>
          </cell>
          <cell r="CC88">
            <v>0</v>
          </cell>
          <cell r="CD88">
            <v>0</v>
          </cell>
          <cell r="CE88">
            <v>13123.123123123121</v>
          </cell>
          <cell r="CF88">
            <v>0</v>
          </cell>
          <cell r="CG88">
            <v>0</v>
          </cell>
          <cell r="CM88">
            <v>0</v>
          </cell>
          <cell r="CZ88">
            <v>0.28767233733774089</v>
          </cell>
          <cell r="DA88">
            <v>0.19936674309422425</v>
          </cell>
          <cell r="DB88">
            <v>47929472.390000001</v>
          </cell>
          <cell r="DC88">
            <v>95.7</v>
          </cell>
          <cell r="DD88">
            <v>2.9</v>
          </cell>
          <cell r="DE88">
            <v>0.8</v>
          </cell>
          <cell r="DF88">
            <v>96.4</v>
          </cell>
          <cell r="DG88">
            <v>1.7</v>
          </cell>
          <cell r="DH88">
            <v>0.3</v>
          </cell>
          <cell r="DI88">
            <v>99.4</v>
          </cell>
          <cell r="DJ88">
            <v>98.4</v>
          </cell>
        </row>
        <row r="89">
          <cell r="A89">
            <v>823</v>
          </cell>
          <cell r="B89">
            <v>3.8574577516532003E-2</v>
          </cell>
          <cell r="C89">
            <v>1.6736060086537701E-2</v>
          </cell>
          <cell r="D89">
            <v>4.3292240754169702E-2</v>
          </cell>
          <cell r="E89">
            <v>2.00870195794054E-2</v>
          </cell>
          <cell r="F89">
            <v>5182</v>
          </cell>
          <cell r="G89">
            <v>320</v>
          </cell>
          <cell r="H89">
            <v>330</v>
          </cell>
          <cell r="I89">
            <v>480</v>
          </cell>
          <cell r="J89">
            <v>8.3202366800751618E-2</v>
          </cell>
          <cell r="K89">
            <v>9.0097926989630886E-2</v>
          </cell>
          <cell r="L89">
            <v>870</v>
          </cell>
          <cell r="M89">
            <v>120</v>
          </cell>
          <cell r="N89">
            <v>24</v>
          </cell>
          <cell r="O89">
            <v>651</v>
          </cell>
          <cell r="P89">
            <v>60</v>
          </cell>
          <cell r="Q89">
            <v>0</v>
          </cell>
          <cell r="R89">
            <v>0</v>
          </cell>
          <cell r="S89">
            <v>5488</v>
          </cell>
          <cell r="T89">
            <v>18157</v>
          </cell>
          <cell r="U89">
            <v>2385</v>
          </cell>
          <cell r="V89">
            <v>720</v>
          </cell>
          <cell r="W89">
            <v>0</v>
          </cell>
          <cell r="X89">
            <v>0.91836734693877597</v>
          </cell>
          <cell r="Y89">
            <v>88</v>
          </cell>
          <cell r="Z89">
            <v>0</v>
          </cell>
          <cell r="AA89">
            <v>0</v>
          </cell>
          <cell r="AB89">
            <v>690</v>
          </cell>
          <cell r="AC89">
            <v>0</v>
          </cell>
          <cell r="AD89">
            <v>0</v>
          </cell>
          <cell r="AE89">
            <v>649</v>
          </cell>
          <cell r="AF89">
            <v>13637</v>
          </cell>
          <cell r="AG89">
            <v>3040</v>
          </cell>
          <cell r="AH89">
            <v>300</v>
          </cell>
          <cell r="AI89">
            <v>0</v>
          </cell>
          <cell r="AJ89">
            <v>0</v>
          </cell>
          <cell r="AK89">
            <v>102</v>
          </cell>
          <cell r="AL89">
            <v>0</v>
          </cell>
          <cell r="AM89">
            <v>0</v>
          </cell>
          <cell r="AN89">
            <v>120</v>
          </cell>
          <cell r="AO89">
            <v>0</v>
          </cell>
          <cell r="AP89">
            <v>0</v>
          </cell>
          <cell r="AQ89">
            <v>570</v>
          </cell>
          <cell r="AX89">
            <v>1650</v>
          </cell>
          <cell r="AY89">
            <v>14786</v>
          </cell>
          <cell r="AZ89">
            <v>0</v>
          </cell>
          <cell r="BA89">
            <v>0</v>
          </cell>
          <cell r="BB89">
            <v>161</v>
          </cell>
          <cell r="BC89">
            <v>180</v>
          </cell>
          <cell r="BD89">
            <v>0</v>
          </cell>
          <cell r="BE89">
            <v>394</v>
          </cell>
          <cell r="BF89">
            <v>0</v>
          </cell>
          <cell r="BH89">
            <v>0</v>
          </cell>
          <cell r="BI89">
            <v>1048</v>
          </cell>
          <cell r="BJ89">
            <v>2464</v>
          </cell>
          <cell r="BK89">
            <v>1285</v>
          </cell>
          <cell r="BL89">
            <v>1050</v>
          </cell>
          <cell r="BM89">
            <v>20903</v>
          </cell>
          <cell r="BN89">
            <v>0</v>
          </cell>
          <cell r="BO89">
            <v>0</v>
          </cell>
          <cell r="BP89">
            <v>161</v>
          </cell>
          <cell r="BQ89">
            <v>180</v>
          </cell>
          <cell r="BR89">
            <v>0</v>
          </cell>
          <cell r="BS89">
            <v>394</v>
          </cell>
          <cell r="BT89">
            <v>0</v>
          </cell>
          <cell r="BV89">
            <v>450</v>
          </cell>
          <cell r="BX89">
            <v>2327</v>
          </cell>
          <cell r="BY89">
            <v>1390</v>
          </cell>
          <cell r="BZ89">
            <v>1260</v>
          </cell>
          <cell r="CA89">
            <v>20903</v>
          </cell>
          <cell r="CB89">
            <v>18904.359497088342</v>
          </cell>
          <cell r="CC89">
            <v>20796.280555555553</v>
          </cell>
          <cell r="CD89">
            <v>0</v>
          </cell>
          <cell r="CE89">
            <v>26198.94836084804</v>
          </cell>
          <cell r="CF89">
            <v>0</v>
          </cell>
          <cell r="CG89">
            <v>0</v>
          </cell>
          <cell r="CM89">
            <v>0</v>
          </cell>
          <cell r="CZ89">
            <v>0.34654113382338131</v>
          </cell>
          <cell r="DA89">
            <v>0.17121803207628955</v>
          </cell>
          <cell r="DB89">
            <v>85194827.689999983</v>
          </cell>
          <cell r="DC89">
            <v>95.3</v>
          </cell>
          <cell r="DD89">
            <v>2.6</v>
          </cell>
          <cell r="DE89">
            <v>0.4</v>
          </cell>
          <cell r="DF89">
            <v>96.2</v>
          </cell>
          <cell r="DG89">
            <v>2.5</v>
          </cell>
          <cell r="DH89">
            <v>0.1</v>
          </cell>
          <cell r="DI89">
            <v>98.3</v>
          </cell>
          <cell r="DJ89">
            <v>98.8</v>
          </cell>
        </row>
        <row r="90">
          <cell r="A90">
            <v>825</v>
          </cell>
          <cell r="B90">
            <v>-1.0698108483372399E-3</v>
          </cell>
          <cell r="C90">
            <v>-7.2838185418705795E-4</v>
          </cell>
          <cell r="D90">
            <v>8.6944662279655003E-3</v>
          </cell>
          <cell r="E90">
            <v>2.7276756793617198E-3</v>
          </cell>
          <cell r="F90">
            <v>3665</v>
          </cell>
          <cell r="G90">
            <v>5293</v>
          </cell>
          <cell r="H90">
            <v>290</v>
          </cell>
          <cell r="I90">
            <v>490</v>
          </cell>
          <cell r="J90">
            <v>7.0682117661542282E-2</v>
          </cell>
          <cell r="K90">
            <v>0.10822502013036599</v>
          </cell>
          <cell r="L90">
            <v>533</v>
          </cell>
          <cell r="M90">
            <v>1212</v>
          </cell>
          <cell r="N90">
            <v>84</v>
          </cell>
          <cell r="O90">
            <v>232</v>
          </cell>
          <cell r="P90">
            <v>0</v>
          </cell>
          <cell r="Q90">
            <v>0</v>
          </cell>
          <cell r="R90">
            <v>420</v>
          </cell>
          <cell r="S90">
            <v>9620</v>
          </cell>
          <cell r="T90">
            <v>33054</v>
          </cell>
          <cell r="U90">
            <v>1469</v>
          </cell>
          <cell r="V90">
            <v>450</v>
          </cell>
          <cell r="W90">
            <v>0</v>
          </cell>
          <cell r="X90">
            <v>1</v>
          </cell>
          <cell r="Y90">
            <v>1</v>
          </cell>
          <cell r="Z90">
            <v>166</v>
          </cell>
          <cell r="AA90">
            <v>244</v>
          </cell>
          <cell r="AB90">
            <v>111</v>
          </cell>
          <cell r="AC90">
            <v>0</v>
          </cell>
          <cell r="AD90">
            <v>0</v>
          </cell>
          <cell r="AE90">
            <v>15638</v>
          </cell>
          <cell r="AF90">
            <v>14747</v>
          </cell>
          <cell r="AG90">
            <v>5887</v>
          </cell>
          <cell r="AH90">
            <v>3151</v>
          </cell>
          <cell r="AI90">
            <v>0</v>
          </cell>
          <cell r="AJ90">
            <v>0.78694817658349303</v>
          </cell>
          <cell r="AK90">
            <v>76</v>
          </cell>
          <cell r="AL90">
            <v>196</v>
          </cell>
          <cell r="AM90">
            <v>225</v>
          </cell>
          <cell r="AN90">
            <v>100</v>
          </cell>
          <cell r="AO90">
            <v>0</v>
          </cell>
          <cell r="AP90">
            <v>0</v>
          </cell>
          <cell r="AQ90">
            <v>0</v>
          </cell>
          <cell r="AX90">
            <v>1921</v>
          </cell>
          <cell r="AY90">
            <v>1649</v>
          </cell>
          <cell r="AZ90">
            <v>30</v>
          </cell>
          <cell r="BA90">
            <v>24</v>
          </cell>
          <cell r="BB90">
            <v>45</v>
          </cell>
          <cell r="BC90">
            <v>150</v>
          </cell>
          <cell r="BD90">
            <v>0</v>
          </cell>
          <cell r="BE90">
            <v>487</v>
          </cell>
          <cell r="BF90">
            <v>0.21686746987951799</v>
          </cell>
          <cell r="BH90">
            <v>1460</v>
          </cell>
          <cell r="BI90">
            <v>6634</v>
          </cell>
          <cell r="BJ90">
            <v>19745</v>
          </cell>
          <cell r="BK90">
            <v>6690</v>
          </cell>
          <cell r="BL90">
            <v>2924</v>
          </cell>
          <cell r="BM90">
            <v>7140</v>
          </cell>
          <cell r="BN90">
            <v>0</v>
          </cell>
          <cell r="BO90">
            <v>54</v>
          </cell>
          <cell r="BP90">
            <v>195</v>
          </cell>
          <cell r="BQ90">
            <v>0</v>
          </cell>
          <cell r="BR90">
            <v>0</v>
          </cell>
          <cell r="BS90">
            <v>487</v>
          </cell>
          <cell r="BT90">
            <v>0.21686746987951799</v>
          </cell>
          <cell r="BV90">
            <v>2846</v>
          </cell>
          <cell r="BX90">
            <v>23137</v>
          </cell>
          <cell r="BY90">
            <v>1955</v>
          </cell>
          <cell r="BZ90">
            <v>2562</v>
          </cell>
          <cell r="CA90">
            <v>7140</v>
          </cell>
          <cell r="CB90">
            <v>18998.911536506159</v>
          </cell>
          <cell r="CC90">
            <v>23688.523415921372</v>
          </cell>
          <cell r="CD90">
            <v>0</v>
          </cell>
          <cell r="CE90">
            <v>26878.81048259672</v>
          </cell>
          <cell r="CF90">
            <v>14019.790072162696</v>
          </cell>
          <cell r="CG90">
            <v>0</v>
          </cell>
          <cell r="CM90">
            <v>0</v>
          </cell>
          <cell r="CZ90">
            <v>0.15846880463429272</v>
          </cell>
          <cell r="DA90">
            <v>0.13810911505404108</v>
          </cell>
          <cell r="DB90">
            <v>103042395.91</v>
          </cell>
          <cell r="DC90">
            <v>90.5</v>
          </cell>
          <cell r="DD90">
            <v>5.6</v>
          </cell>
          <cell r="DE90">
            <v>1.5</v>
          </cell>
          <cell r="DF90">
            <v>73.2</v>
          </cell>
          <cell r="DG90">
            <v>11.4</v>
          </cell>
          <cell r="DH90">
            <v>5.8</v>
          </cell>
          <cell r="DI90">
            <v>97.5</v>
          </cell>
          <cell r="DJ90">
            <v>90.5</v>
          </cell>
        </row>
        <row r="91">
          <cell r="A91">
            <v>826</v>
          </cell>
          <cell r="B91">
            <v>4.8184147076552102E-2</v>
          </cell>
          <cell r="C91">
            <v>1.16787221217601E-3</v>
          </cell>
          <cell r="D91">
            <v>3.1900694073678598E-2</v>
          </cell>
          <cell r="E91">
            <v>5.5993059263214101E-2</v>
          </cell>
          <cell r="F91">
            <v>6930</v>
          </cell>
          <cell r="G91">
            <v>3155</v>
          </cell>
          <cell r="H91">
            <v>120</v>
          </cell>
          <cell r="I91">
            <v>0</v>
          </cell>
          <cell r="J91">
            <v>0.1046918636905415</v>
          </cell>
          <cell r="K91">
            <v>0.14653613076964406</v>
          </cell>
          <cell r="L91">
            <v>1360</v>
          </cell>
          <cell r="M91">
            <v>3000</v>
          </cell>
          <cell r="N91">
            <v>100</v>
          </cell>
          <cell r="O91">
            <v>15</v>
          </cell>
          <cell r="P91">
            <v>323</v>
          </cell>
          <cell r="Q91">
            <v>0</v>
          </cell>
          <cell r="R91">
            <v>630</v>
          </cell>
          <cell r="S91">
            <v>8078</v>
          </cell>
          <cell r="T91">
            <v>17492</v>
          </cell>
          <cell r="U91">
            <v>2122</v>
          </cell>
          <cell r="V91">
            <v>210</v>
          </cell>
          <cell r="W91">
            <v>1260</v>
          </cell>
          <cell r="X91">
            <v>0.26255707762557101</v>
          </cell>
          <cell r="Y91">
            <v>133</v>
          </cell>
          <cell r="Z91">
            <v>0</v>
          </cell>
          <cell r="AA91">
            <v>50</v>
          </cell>
          <cell r="AB91">
            <v>0</v>
          </cell>
          <cell r="AC91">
            <v>0</v>
          </cell>
          <cell r="AD91">
            <v>0</v>
          </cell>
          <cell r="AE91">
            <v>3502</v>
          </cell>
          <cell r="AF91">
            <v>11816</v>
          </cell>
          <cell r="AG91">
            <v>1275</v>
          </cell>
          <cell r="AH91">
            <v>1100</v>
          </cell>
          <cell r="AI91">
            <v>0</v>
          </cell>
          <cell r="AJ91">
            <v>1</v>
          </cell>
          <cell r="AK91">
            <v>1</v>
          </cell>
          <cell r="AL91">
            <v>0</v>
          </cell>
          <cell r="AM91">
            <v>0</v>
          </cell>
          <cell r="AN91">
            <v>0</v>
          </cell>
          <cell r="AO91">
            <v>50</v>
          </cell>
          <cell r="AP91">
            <v>0</v>
          </cell>
          <cell r="AQ91">
            <v>0</v>
          </cell>
          <cell r="AX91">
            <v>1100</v>
          </cell>
          <cell r="AY91">
            <v>0</v>
          </cell>
          <cell r="AZ91">
            <v>0</v>
          </cell>
          <cell r="BA91">
            <v>84</v>
          </cell>
          <cell r="BB91">
            <v>304</v>
          </cell>
          <cell r="BC91">
            <v>50</v>
          </cell>
          <cell r="BD91">
            <v>0</v>
          </cell>
          <cell r="BE91">
            <v>630</v>
          </cell>
          <cell r="BF91">
            <v>0.19178082191780799</v>
          </cell>
          <cell r="BH91">
            <v>3300</v>
          </cell>
          <cell r="BI91">
            <v>3130</v>
          </cell>
          <cell r="BJ91">
            <v>7882</v>
          </cell>
          <cell r="BK91">
            <v>6324</v>
          </cell>
          <cell r="BL91">
            <v>2280</v>
          </cell>
          <cell r="BM91">
            <v>6246</v>
          </cell>
          <cell r="BN91">
            <v>0</v>
          </cell>
          <cell r="BO91">
            <v>0</v>
          </cell>
          <cell r="BP91">
            <v>423</v>
          </cell>
          <cell r="BQ91">
            <v>0</v>
          </cell>
          <cell r="BR91">
            <v>15</v>
          </cell>
          <cell r="BS91">
            <v>630</v>
          </cell>
          <cell r="BT91">
            <v>0</v>
          </cell>
          <cell r="BV91">
            <v>2670</v>
          </cell>
          <cell r="BX91">
            <v>11697</v>
          </cell>
          <cell r="BY91">
            <v>2291</v>
          </cell>
          <cell r="BZ91">
            <v>3918</v>
          </cell>
          <cell r="CA91">
            <v>6246</v>
          </cell>
          <cell r="CB91">
            <v>15086.162418035165</v>
          </cell>
          <cell r="CC91">
            <v>0</v>
          </cell>
          <cell r="CD91">
            <v>13082.609530385966</v>
          </cell>
          <cell r="CE91">
            <v>19767.313468996697</v>
          </cell>
          <cell r="CF91">
            <v>0</v>
          </cell>
          <cell r="CG91">
            <v>17467.804107773853</v>
          </cell>
          <cell r="CM91">
            <v>1</v>
          </cell>
          <cell r="CZ91">
            <v>0.38848644758934997</v>
          </cell>
          <cell r="DA91">
            <v>0.39463391739674591</v>
          </cell>
          <cell r="DB91">
            <v>170297698.30000001</v>
          </cell>
          <cell r="DC91">
            <v>95.5</v>
          </cell>
          <cell r="DD91">
            <v>3.3</v>
          </cell>
          <cell r="DE91">
            <v>0.7</v>
          </cell>
          <cell r="DF91">
            <v>78.3</v>
          </cell>
          <cell r="DG91">
            <v>8.1999999999999993</v>
          </cell>
          <cell r="DH91">
            <v>3.3</v>
          </cell>
          <cell r="DI91">
            <v>99.4</v>
          </cell>
          <cell r="DJ91">
            <v>89.8</v>
          </cell>
        </row>
        <row r="92">
          <cell r="A92">
            <v>830</v>
          </cell>
          <cell r="B92">
            <v>-1.22805543889122E-2</v>
          </cell>
          <cell r="C92">
            <v>-1.6127677446451101E-3</v>
          </cell>
          <cell r="D92">
            <v>8.5999679504300004E-3</v>
          </cell>
          <cell r="E92">
            <v>3.3652048501682601E-3</v>
          </cell>
          <cell r="F92">
            <v>2690</v>
          </cell>
          <cell r="G92">
            <v>0</v>
          </cell>
          <cell r="H92">
            <v>600</v>
          </cell>
          <cell r="I92">
            <v>60</v>
          </cell>
          <cell r="J92">
            <v>0.10491642725963908</v>
          </cell>
          <cell r="K92">
            <v>0.12262075199228649</v>
          </cell>
          <cell r="L92">
            <v>612</v>
          </cell>
          <cell r="M92">
            <v>0</v>
          </cell>
          <cell r="N92">
            <v>38</v>
          </cell>
          <cell r="O92">
            <v>292</v>
          </cell>
          <cell r="P92">
            <v>140</v>
          </cell>
          <cell r="Q92">
            <v>0</v>
          </cell>
          <cell r="R92">
            <v>0</v>
          </cell>
          <cell r="S92">
            <v>6716</v>
          </cell>
          <cell r="T92">
            <v>43043</v>
          </cell>
          <cell r="U92">
            <v>9398</v>
          </cell>
          <cell r="V92">
            <v>1194</v>
          </cell>
          <cell r="W92">
            <v>0</v>
          </cell>
          <cell r="X92">
            <v>0.70212765957446799</v>
          </cell>
          <cell r="Y92">
            <v>118</v>
          </cell>
          <cell r="Z92">
            <v>256</v>
          </cell>
          <cell r="AA92">
            <v>116</v>
          </cell>
          <cell r="AB92">
            <v>160</v>
          </cell>
          <cell r="AC92">
            <v>0</v>
          </cell>
          <cell r="AD92">
            <v>0</v>
          </cell>
          <cell r="AE92">
            <v>6226</v>
          </cell>
          <cell r="AF92">
            <v>21315</v>
          </cell>
          <cell r="AG92">
            <v>11877</v>
          </cell>
          <cell r="AH92">
            <v>4947</v>
          </cell>
          <cell r="AI92">
            <v>0</v>
          </cell>
          <cell r="AJ92">
            <v>0.69924812030075201</v>
          </cell>
          <cell r="AK92">
            <v>84</v>
          </cell>
          <cell r="AL92">
            <v>0</v>
          </cell>
          <cell r="AM92">
            <v>256</v>
          </cell>
          <cell r="AN92">
            <v>276</v>
          </cell>
          <cell r="AO92">
            <v>0</v>
          </cell>
          <cell r="AP92">
            <v>0</v>
          </cell>
          <cell r="AQ92">
            <v>0</v>
          </cell>
          <cell r="AX92">
            <v>8195</v>
          </cell>
          <cell r="AY92">
            <v>1453</v>
          </cell>
          <cell r="AZ92">
            <v>0</v>
          </cell>
          <cell r="BA92">
            <v>30</v>
          </cell>
          <cell r="BB92">
            <v>209</v>
          </cell>
          <cell r="BC92">
            <v>0</v>
          </cell>
          <cell r="BD92">
            <v>113</v>
          </cell>
          <cell r="BE92">
            <v>118</v>
          </cell>
          <cell r="BF92">
            <v>8.5227272727272693E-2</v>
          </cell>
          <cell r="BH92">
            <v>3094</v>
          </cell>
          <cell r="BI92">
            <v>3136</v>
          </cell>
          <cell r="BJ92">
            <v>27720</v>
          </cell>
          <cell r="BK92">
            <v>6273</v>
          </cell>
          <cell r="BL92">
            <v>8952</v>
          </cell>
          <cell r="BM92">
            <v>11176</v>
          </cell>
          <cell r="BN92">
            <v>0</v>
          </cell>
          <cell r="BO92">
            <v>30</v>
          </cell>
          <cell r="BP92">
            <v>209</v>
          </cell>
          <cell r="BQ92">
            <v>0</v>
          </cell>
          <cell r="BR92">
            <v>113</v>
          </cell>
          <cell r="BS92">
            <v>118</v>
          </cell>
          <cell r="BT92">
            <v>8.5227272727272693E-2</v>
          </cell>
          <cell r="BV92">
            <v>2237</v>
          </cell>
          <cell r="BX92">
            <v>31891</v>
          </cell>
          <cell r="BY92">
            <v>4136</v>
          </cell>
          <cell r="BZ92">
            <v>7951</v>
          </cell>
          <cell r="CA92">
            <v>11176</v>
          </cell>
          <cell r="CB92">
            <v>12837.689103314564</v>
          </cell>
          <cell r="CC92">
            <v>0</v>
          </cell>
          <cell r="CD92">
            <v>0</v>
          </cell>
          <cell r="CE92">
            <v>0</v>
          </cell>
          <cell r="CF92">
            <v>0</v>
          </cell>
          <cell r="CG92">
            <v>0</v>
          </cell>
          <cell r="CM92">
            <v>0</v>
          </cell>
          <cell r="CZ92">
            <v>8.0995177553704514E-2</v>
          </cell>
          <cell r="DA92">
            <v>-7.6117938414092798E-2</v>
          </cell>
          <cell r="DB92">
            <v>50259585.910000004</v>
          </cell>
          <cell r="DC92">
            <v>94.6</v>
          </cell>
          <cell r="DD92">
            <v>3.9</v>
          </cell>
          <cell r="DE92">
            <v>0.6</v>
          </cell>
          <cell r="DF92">
            <v>94.8</v>
          </cell>
          <cell r="DG92">
            <v>3.4</v>
          </cell>
          <cell r="DH92">
            <v>0.5</v>
          </cell>
          <cell r="DI92">
            <v>99.1</v>
          </cell>
          <cell r="DJ92">
            <v>98.7</v>
          </cell>
        </row>
        <row r="93">
          <cell r="A93">
            <v>831</v>
          </cell>
          <cell r="B93">
            <v>1.1074946104747E-2</v>
          </cell>
          <cell r="C93">
            <v>-1.64856067971425E-3</v>
          </cell>
          <cell r="D93">
            <v>1.7809439002671401E-2</v>
          </cell>
          <cell r="E93">
            <v>1.1439139667100501E-2</v>
          </cell>
          <cell r="F93">
            <v>3162</v>
          </cell>
          <cell r="G93">
            <v>1628</v>
          </cell>
          <cell r="H93">
            <v>480</v>
          </cell>
          <cell r="I93">
            <v>0</v>
          </cell>
          <cell r="J93">
            <v>6.8441070754399258E-2</v>
          </cell>
          <cell r="K93">
            <v>9.2917745517875489E-2</v>
          </cell>
          <cell r="L93">
            <v>0</v>
          </cell>
          <cell r="M93">
            <v>1610</v>
          </cell>
          <cell r="N93">
            <v>0</v>
          </cell>
          <cell r="O93">
            <v>105</v>
          </cell>
          <cell r="P93">
            <v>0</v>
          </cell>
          <cell r="Q93">
            <v>0</v>
          </cell>
          <cell r="R93">
            <v>0</v>
          </cell>
          <cell r="S93">
            <v>2733</v>
          </cell>
          <cell r="T93">
            <v>16165</v>
          </cell>
          <cell r="U93">
            <v>3982</v>
          </cell>
          <cell r="V93">
            <v>420</v>
          </cell>
          <cell r="W93">
            <v>0</v>
          </cell>
          <cell r="X93">
            <v>1</v>
          </cell>
          <cell r="Y93">
            <v>1</v>
          </cell>
          <cell r="Z93">
            <v>0</v>
          </cell>
          <cell r="AA93">
            <v>55</v>
          </cell>
          <cell r="AB93">
            <v>0</v>
          </cell>
          <cell r="AC93">
            <v>0</v>
          </cell>
          <cell r="AD93">
            <v>0</v>
          </cell>
          <cell r="AE93">
            <v>2887</v>
          </cell>
          <cell r="AF93">
            <v>7918</v>
          </cell>
          <cell r="AG93">
            <v>3667</v>
          </cell>
          <cell r="AH93">
            <v>600</v>
          </cell>
          <cell r="AI93">
            <v>0</v>
          </cell>
          <cell r="AJ93">
            <v>1</v>
          </cell>
          <cell r="AK93">
            <v>1</v>
          </cell>
          <cell r="AL93">
            <v>0</v>
          </cell>
          <cell r="AM93">
            <v>0</v>
          </cell>
          <cell r="AN93">
            <v>0</v>
          </cell>
          <cell r="AO93">
            <v>0</v>
          </cell>
          <cell r="AP93">
            <v>55</v>
          </cell>
          <cell r="AQ93">
            <v>0</v>
          </cell>
          <cell r="AX93">
            <v>2170</v>
          </cell>
          <cell r="AY93">
            <v>2175</v>
          </cell>
          <cell r="AZ93">
            <v>0</v>
          </cell>
          <cell r="BA93">
            <v>0</v>
          </cell>
          <cell r="BB93">
            <v>105</v>
          </cell>
          <cell r="BC93">
            <v>0</v>
          </cell>
          <cell r="BD93">
            <v>0</v>
          </cell>
          <cell r="BE93">
            <v>0</v>
          </cell>
          <cell r="BF93">
            <v>0</v>
          </cell>
          <cell r="BH93">
            <v>1668</v>
          </cell>
          <cell r="BI93">
            <v>3151</v>
          </cell>
          <cell r="BJ93">
            <v>9064</v>
          </cell>
          <cell r="BK93">
            <v>2729</v>
          </cell>
          <cell r="BL93">
            <v>1710</v>
          </cell>
          <cell r="BM93">
            <v>4978</v>
          </cell>
          <cell r="BN93">
            <v>0</v>
          </cell>
          <cell r="BO93">
            <v>0</v>
          </cell>
          <cell r="BP93">
            <v>0</v>
          </cell>
          <cell r="BQ93">
            <v>0</v>
          </cell>
          <cell r="BR93">
            <v>105</v>
          </cell>
          <cell r="BS93">
            <v>0</v>
          </cell>
          <cell r="BT93">
            <v>0</v>
          </cell>
          <cell r="BV93">
            <v>758</v>
          </cell>
          <cell r="BX93">
            <v>10335</v>
          </cell>
          <cell r="BY93">
            <v>2135</v>
          </cell>
          <cell r="BZ93">
            <v>2364</v>
          </cell>
          <cell r="CA93">
            <v>4978</v>
          </cell>
          <cell r="CB93">
            <v>11454.022004956196</v>
          </cell>
          <cell r="CC93">
            <v>8296.2199565681476</v>
          </cell>
          <cell r="CD93">
            <v>0</v>
          </cell>
          <cell r="CE93">
            <v>0</v>
          </cell>
          <cell r="CF93">
            <v>0</v>
          </cell>
          <cell r="CG93">
            <v>0</v>
          </cell>
          <cell r="CM93">
            <v>0</v>
          </cell>
          <cell r="CZ93">
            <v>0.24058877833623962</v>
          </cell>
          <cell r="DA93">
            <v>0.20928702010968922</v>
          </cell>
          <cell r="DB93">
            <v>56315597.079999998</v>
          </cell>
          <cell r="DC93">
            <v>89.4</v>
          </cell>
          <cell r="DD93">
            <v>5.8</v>
          </cell>
          <cell r="DE93">
            <v>1.8</v>
          </cell>
          <cell r="DF93">
            <v>77.3</v>
          </cell>
          <cell r="DG93">
            <v>9.5</v>
          </cell>
          <cell r="DH93">
            <v>4.4000000000000004</v>
          </cell>
          <cell r="DI93">
            <v>97.1</v>
          </cell>
          <cell r="DJ93">
            <v>91.2</v>
          </cell>
        </row>
        <row r="94">
          <cell r="A94">
            <v>835</v>
          </cell>
          <cell r="B94">
            <v>-4.7835446065534602E-4</v>
          </cell>
          <cell r="C94">
            <v>-8.1661940069019702E-3</v>
          </cell>
          <cell r="D94">
            <v>1.9005083859932499E-3</v>
          </cell>
          <cell r="E94">
            <v>7.9346225115218307E-3</v>
          </cell>
          <cell r="F94">
            <v>1373</v>
          </cell>
          <cell r="G94">
            <v>1049</v>
          </cell>
          <cell r="H94">
            <v>40</v>
          </cell>
          <cell r="I94">
            <v>20</v>
          </cell>
          <cell r="J94">
            <v>0.13740296366058458</v>
          </cell>
          <cell r="K94">
            <v>0.13564150280736115</v>
          </cell>
          <cell r="L94">
            <v>480</v>
          </cell>
          <cell r="M94">
            <v>0</v>
          </cell>
          <cell r="N94">
            <v>123</v>
          </cell>
          <cell r="O94">
            <v>539</v>
          </cell>
          <cell r="P94">
            <v>512</v>
          </cell>
          <cell r="Q94">
            <v>0</v>
          </cell>
          <cell r="R94">
            <v>0</v>
          </cell>
          <cell r="S94">
            <v>6271</v>
          </cell>
          <cell r="T94">
            <v>17484</v>
          </cell>
          <cell r="U94">
            <v>5761</v>
          </cell>
          <cell r="V94">
            <v>455</v>
          </cell>
          <cell r="W94">
            <v>210</v>
          </cell>
          <cell r="X94">
            <v>0.56388415672913095</v>
          </cell>
          <cell r="Y94">
            <v>125</v>
          </cell>
          <cell r="Z94">
            <v>76</v>
          </cell>
          <cell r="AA94">
            <v>273</v>
          </cell>
          <cell r="AB94">
            <v>329</v>
          </cell>
          <cell r="AC94">
            <v>52</v>
          </cell>
          <cell r="AD94">
            <v>0</v>
          </cell>
          <cell r="AE94">
            <v>5425</v>
          </cell>
          <cell r="AF94">
            <v>16765</v>
          </cell>
          <cell r="AG94">
            <v>3070</v>
          </cell>
          <cell r="AH94">
            <v>3431</v>
          </cell>
          <cell r="AI94">
            <v>0</v>
          </cell>
          <cell r="AJ94">
            <v>0.47808219178082201</v>
          </cell>
          <cell r="AK94">
            <v>94</v>
          </cell>
          <cell r="AL94">
            <v>0</v>
          </cell>
          <cell r="AM94">
            <v>171</v>
          </cell>
          <cell r="AN94">
            <v>414</v>
          </cell>
          <cell r="AO94">
            <v>108</v>
          </cell>
          <cell r="AP94">
            <v>0</v>
          </cell>
          <cell r="AQ94">
            <v>37</v>
          </cell>
          <cell r="AX94">
            <v>1156</v>
          </cell>
          <cell r="AY94">
            <v>7775</v>
          </cell>
          <cell r="AZ94">
            <v>48</v>
          </cell>
          <cell r="BA94">
            <v>35</v>
          </cell>
          <cell r="BB94">
            <v>659</v>
          </cell>
          <cell r="BC94">
            <v>160</v>
          </cell>
          <cell r="BD94">
            <v>0</v>
          </cell>
          <cell r="BE94">
            <v>272</v>
          </cell>
          <cell r="BF94">
            <v>9.2017738359201795E-2</v>
          </cell>
          <cell r="BH94">
            <v>1662</v>
          </cell>
          <cell r="BI94">
            <v>439</v>
          </cell>
          <cell r="BJ94">
            <v>9606</v>
          </cell>
          <cell r="BK94">
            <v>5519</v>
          </cell>
          <cell r="BL94">
            <v>2207</v>
          </cell>
          <cell r="BM94">
            <v>10748</v>
          </cell>
          <cell r="BN94">
            <v>48</v>
          </cell>
          <cell r="BO94">
            <v>0</v>
          </cell>
          <cell r="BP94">
            <v>559</v>
          </cell>
          <cell r="BQ94">
            <v>205</v>
          </cell>
          <cell r="BR94">
            <v>90</v>
          </cell>
          <cell r="BS94">
            <v>272</v>
          </cell>
          <cell r="BT94">
            <v>5.3215077605321501E-2</v>
          </cell>
          <cell r="BV94">
            <v>2035</v>
          </cell>
          <cell r="BX94">
            <v>11289</v>
          </cell>
          <cell r="BY94">
            <v>2949</v>
          </cell>
          <cell r="BZ94">
            <v>2312</v>
          </cell>
          <cell r="CA94">
            <v>10748</v>
          </cell>
          <cell r="CB94">
            <v>20067.086532010799</v>
          </cell>
          <cell r="CC94">
            <v>6623.7326865274899</v>
          </cell>
          <cell r="CD94">
            <v>0</v>
          </cell>
          <cell r="CE94">
            <v>13687.739800614581</v>
          </cell>
          <cell r="CF94">
            <v>0</v>
          </cell>
          <cell r="CG94">
            <v>0</v>
          </cell>
          <cell r="CM94">
            <v>0</v>
          </cell>
          <cell r="CZ94">
            <v>8.3452157598499069E-2</v>
          </cell>
          <cell r="DA94">
            <v>4.8995370162269068E-3</v>
          </cell>
          <cell r="DB94">
            <v>32019759.779999997</v>
          </cell>
          <cell r="DC94">
            <v>94.4</v>
          </cell>
          <cell r="DD94">
            <v>4.0999999999999996</v>
          </cell>
          <cell r="DE94">
            <v>0.5</v>
          </cell>
          <cell r="DF94">
            <v>92.1</v>
          </cell>
          <cell r="DG94">
            <v>4.5</v>
          </cell>
          <cell r="DH94">
            <v>0.6</v>
          </cell>
          <cell r="DI94">
            <v>99</v>
          </cell>
          <cell r="DJ94">
            <v>97.3</v>
          </cell>
        </row>
        <row r="95">
          <cell r="A95">
            <v>836</v>
          </cell>
          <cell r="B95">
            <v>7.6024476172816598E-3</v>
          </cell>
          <cell r="C95">
            <v>7.9732987205636905E-3</v>
          </cell>
          <cell r="D95">
            <v>7.0048309178743995E-2</v>
          </cell>
          <cell r="E95">
            <v>1.38888888888889E-2</v>
          </cell>
          <cell r="F95">
            <v>1696</v>
          </cell>
          <cell r="G95">
            <v>2052</v>
          </cell>
          <cell r="H95">
            <v>0</v>
          </cell>
          <cell r="I95">
            <v>0</v>
          </cell>
          <cell r="J95">
            <v>0.14394782851278345</v>
          </cell>
          <cell r="K95">
            <v>0.21787490996862893</v>
          </cell>
          <cell r="L95">
            <v>0</v>
          </cell>
          <cell r="M95">
            <v>300</v>
          </cell>
          <cell r="N95">
            <v>0</v>
          </cell>
          <cell r="O95">
            <v>15</v>
          </cell>
          <cell r="P95">
            <v>0</v>
          </cell>
          <cell r="Q95">
            <v>0</v>
          </cell>
          <cell r="R95">
            <v>0</v>
          </cell>
          <cell r="S95">
            <v>2040</v>
          </cell>
          <cell r="T95">
            <v>8363</v>
          </cell>
          <cell r="U95">
            <v>1166</v>
          </cell>
          <cell r="V95">
            <v>0</v>
          </cell>
          <cell r="W95">
            <v>0</v>
          </cell>
          <cell r="X95">
            <v>1</v>
          </cell>
          <cell r="Y95">
            <v>1</v>
          </cell>
          <cell r="Z95">
            <v>0</v>
          </cell>
          <cell r="AA95">
            <v>0</v>
          </cell>
          <cell r="AB95">
            <v>0</v>
          </cell>
          <cell r="AC95">
            <v>0</v>
          </cell>
          <cell r="AD95">
            <v>0</v>
          </cell>
          <cell r="AE95">
            <v>2460</v>
          </cell>
          <cell r="AF95">
            <v>5747</v>
          </cell>
          <cell r="AG95">
            <v>2042</v>
          </cell>
          <cell r="AH95">
            <v>0</v>
          </cell>
          <cell r="AI95">
            <v>0</v>
          </cell>
          <cell r="AJ95" t="str">
            <v>NULL</v>
          </cell>
          <cell r="AK95" t="str">
            <v>NULL</v>
          </cell>
          <cell r="AL95">
            <v>0</v>
          </cell>
          <cell r="AM95">
            <v>0</v>
          </cell>
          <cell r="AN95">
            <v>0</v>
          </cell>
          <cell r="AO95">
            <v>0</v>
          </cell>
          <cell r="AP95">
            <v>0</v>
          </cell>
          <cell r="AQ95">
            <v>0</v>
          </cell>
          <cell r="AX95">
            <v>0</v>
          </cell>
          <cell r="AY95">
            <v>2042</v>
          </cell>
          <cell r="AZ95">
            <v>0</v>
          </cell>
          <cell r="BA95">
            <v>0</v>
          </cell>
          <cell r="BB95">
            <v>0</v>
          </cell>
          <cell r="BC95">
            <v>15</v>
          </cell>
          <cell r="BD95">
            <v>0</v>
          </cell>
          <cell r="BE95">
            <v>0</v>
          </cell>
          <cell r="BF95">
            <v>0</v>
          </cell>
          <cell r="BH95">
            <v>0</v>
          </cell>
          <cell r="BI95">
            <v>720</v>
          </cell>
          <cell r="BJ95">
            <v>3150</v>
          </cell>
          <cell r="BK95">
            <v>2461</v>
          </cell>
          <cell r="BL95">
            <v>232</v>
          </cell>
          <cell r="BM95">
            <v>5006</v>
          </cell>
          <cell r="BN95">
            <v>0</v>
          </cell>
          <cell r="BO95">
            <v>0</v>
          </cell>
          <cell r="BP95">
            <v>0</v>
          </cell>
          <cell r="BQ95">
            <v>15</v>
          </cell>
          <cell r="BR95">
            <v>0</v>
          </cell>
          <cell r="BS95">
            <v>0</v>
          </cell>
          <cell r="BT95">
            <v>0</v>
          </cell>
          <cell r="BV95">
            <v>0</v>
          </cell>
          <cell r="BX95">
            <v>2332</v>
          </cell>
          <cell r="BY95">
            <v>3511</v>
          </cell>
          <cell r="BZ95">
            <v>0</v>
          </cell>
          <cell r="CA95">
            <v>5006</v>
          </cell>
          <cell r="CB95">
            <v>19339.754897718598</v>
          </cell>
          <cell r="CC95">
            <v>0</v>
          </cell>
          <cell r="CD95">
            <v>0</v>
          </cell>
          <cell r="CE95">
            <v>0</v>
          </cell>
          <cell r="CF95">
            <v>0</v>
          </cell>
          <cell r="CG95">
            <v>0</v>
          </cell>
          <cell r="CM95">
            <v>0</v>
          </cell>
          <cell r="CZ95">
            <v>0.16392733564013842</v>
          </cell>
          <cell r="DA95">
            <v>-5.3898622442155944E-2</v>
          </cell>
          <cell r="DB95">
            <v>25964792.109999999</v>
          </cell>
          <cell r="DC95">
            <v>88.1</v>
          </cell>
          <cell r="DD95">
            <v>6.8</v>
          </cell>
          <cell r="DE95">
            <v>2.2999999999999998</v>
          </cell>
          <cell r="DF95">
            <v>82.6</v>
          </cell>
          <cell r="DG95">
            <v>8.5</v>
          </cell>
          <cell r="DH95">
            <v>1.6</v>
          </cell>
          <cell r="DI95">
            <v>97.2</v>
          </cell>
          <cell r="DJ95">
            <v>92.6</v>
          </cell>
        </row>
        <row r="96">
          <cell r="A96">
            <v>837</v>
          </cell>
          <cell r="B96">
            <v>1.7695065212417101E-2</v>
          </cell>
          <cell r="C96">
            <v>2.2729006178018499E-2</v>
          </cell>
          <cell r="D96">
            <v>7.3639540688966503E-3</v>
          </cell>
          <cell r="E96">
            <v>3.07039440838742E-2</v>
          </cell>
          <cell r="F96">
            <v>2289</v>
          </cell>
          <cell r="G96">
            <v>2331</v>
          </cell>
          <cell r="H96">
            <v>40</v>
          </cell>
          <cell r="I96">
            <v>0</v>
          </cell>
          <cell r="J96">
            <v>5.6015761024985969E-2</v>
          </cell>
          <cell r="K96">
            <v>0.1290223729819503</v>
          </cell>
          <cell r="L96">
            <v>0</v>
          </cell>
          <cell r="M96">
            <v>220</v>
          </cell>
          <cell r="N96">
            <v>0</v>
          </cell>
          <cell r="O96">
            <v>0</v>
          </cell>
          <cell r="P96">
            <v>0</v>
          </cell>
          <cell r="Q96">
            <v>0</v>
          </cell>
          <cell r="R96">
            <v>0</v>
          </cell>
          <cell r="S96">
            <v>2670</v>
          </cell>
          <cell r="T96">
            <v>9839</v>
          </cell>
          <cell r="U96">
            <v>1704</v>
          </cell>
          <cell r="V96">
            <v>0</v>
          </cell>
          <cell r="W96">
            <v>0</v>
          </cell>
          <cell r="X96" t="str">
            <v>NULL</v>
          </cell>
          <cell r="Y96" t="str">
            <v>NULL</v>
          </cell>
          <cell r="Z96">
            <v>0</v>
          </cell>
          <cell r="AA96">
            <v>0</v>
          </cell>
          <cell r="AB96">
            <v>0</v>
          </cell>
          <cell r="AC96">
            <v>0</v>
          </cell>
          <cell r="AD96">
            <v>0</v>
          </cell>
          <cell r="AE96">
            <v>2253</v>
          </cell>
          <cell r="AF96">
            <v>8020</v>
          </cell>
          <cell r="AG96">
            <v>1505</v>
          </cell>
          <cell r="AH96">
            <v>0</v>
          </cell>
          <cell r="AI96">
            <v>0</v>
          </cell>
          <cell r="AJ96" t="str">
            <v>NULL</v>
          </cell>
          <cell r="AK96" t="str">
            <v>NULL</v>
          </cell>
          <cell r="AL96">
            <v>0</v>
          </cell>
          <cell r="AM96">
            <v>0</v>
          </cell>
          <cell r="AN96">
            <v>0</v>
          </cell>
          <cell r="AO96">
            <v>0</v>
          </cell>
          <cell r="AP96">
            <v>0</v>
          </cell>
          <cell r="AQ96">
            <v>0</v>
          </cell>
          <cell r="AX96">
            <v>2555</v>
          </cell>
          <cell r="AY96">
            <v>500</v>
          </cell>
          <cell r="AZ96">
            <v>0</v>
          </cell>
          <cell r="BA96">
            <v>0</v>
          </cell>
          <cell r="BB96">
            <v>0</v>
          </cell>
          <cell r="BC96">
            <v>0</v>
          </cell>
          <cell r="BD96">
            <v>0</v>
          </cell>
          <cell r="BE96">
            <v>0</v>
          </cell>
          <cell r="BF96" t="str">
            <v>NULL</v>
          </cell>
          <cell r="BH96">
            <v>420</v>
          </cell>
          <cell r="BI96">
            <v>1260</v>
          </cell>
          <cell r="BJ96">
            <v>7755</v>
          </cell>
          <cell r="BK96">
            <v>2528</v>
          </cell>
          <cell r="BL96">
            <v>0</v>
          </cell>
          <cell r="BM96">
            <v>2250</v>
          </cell>
          <cell r="BN96">
            <v>0</v>
          </cell>
          <cell r="BO96">
            <v>0</v>
          </cell>
          <cell r="BP96">
            <v>0</v>
          </cell>
          <cell r="BQ96">
            <v>0</v>
          </cell>
          <cell r="BR96">
            <v>0</v>
          </cell>
          <cell r="BS96">
            <v>0</v>
          </cell>
          <cell r="BT96" t="str">
            <v>NULL</v>
          </cell>
          <cell r="BV96">
            <v>0</v>
          </cell>
          <cell r="BX96">
            <v>7365</v>
          </cell>
          <cell r="BY96">
            <v>2018</v>
          </cell>
          <cell r="BZ96">
            <v>900</v>
          </cell>
          <cell r="CA96">
            <v>2250</v>
          </cell>
          <cell r="CB96">
            <v>0</v>
          </cell>
          <cell r="CC96">
            <v>4952.5402875919199</v>
          </cell>
          <cell r="CD96">
            <v>0</v>
          </cell>
          <cell r="CE96">
            <v>0</v>
          </cell>
          <cell r="CF96">
            <v>0</v>
          </cell>
          <cell r="CG96">
            <v>0</v>
          </cell>
          <cell r="CM96">
            <v>0</v>
          </cell>
          <cell r="CZ96">
            <v>0.34204228161148781</v>
          </cell>
          <cell r="DA96">
            <v>6.6494966050105367E-2</v>
          </cell>
          <cell r="DB96">
            <v>44461839.669999994</v>
          </cell>
          <cell r="DC96">
            <v>85.7</v>
          </cell>
          <cell r="DD96">
            <v>8.5</v>
          </cell>
          <cell r="DE96">
            <v>3.1</v>
          </cell>
          <cell r="DF96">
            <v>80</v>
          </cell>
          <cell r="DG96">
            <v>10.4</v>
          </cell>
          <cell r="DH96">
            <v>3.8</v>
          </cell>
          <cell r="DI96">
            <v>97.3</v>
          </cell>
          <cell r="DJ96">
            <v>94.2</v>
          </cell>
        </row>
        <row r="97">
          <cell r="A97">
            <v>840</v>
          </cell>
          <cell r="B97">
            <v>-1.6907658174585002E-2</v>
          </cell>
          <cell r="C97">
            <v>-5.9929105143702302E-3</v>
          </cell>
          <cell r="D97">
            <v>1.4852299843660001E-2</v>
          </cell>
          <cell r="E97">
            <v>7.0764420307742899E-3</v>
          </cell>
          <cell r="F97">
            <v>2529</v>
          </cell>
          <cell r="G97">
            <v>0</v>
          </cell>
          <cell r="H97">
            <v>180</v>
          </cell>
          <cell r="I97">
            <v>20</v>
          </cell>
          <cell r="J97">
            <v>0.12547550814761024</v>
          </cell>
          <cell r="K97">
            <v>0.2424926206208575</v>
          </cell>
          <cell r="L97">
            <v>448</v>
          </cell>
          <cell r="M97">
            <v>60</v>
          </cell>
          <cell r="N97">
            <v>107</v>
          </cell>
          <cell r="O97">
            <v>328</v>
          </cell>
          <cell r="P97">
            <v>21</v>
          </cell>
          <cell r="Q97">
            <v>0</v>
          </cell>
          <cell r="R97">
            <v>0</v>
          </cell>
          <cell r="S97">
            <v>7554</v>
          </cell>
          <cell r="T97">
            <v>33134</v>
          </cell>
          <cell r="U97">
            <v>3748</v>
          </cell>
          <cell r="V97">
            <v>0</v>
          </cell>
          <cell r="W97">
            <v>0</v>
          </cell>
          <cell r="X97">
            <v>0.95394736842105299</v>
          </cell>
          <cell r="Y97">
            <v>81</v>
          </cell>
          <cell r="Z97">
            <v>297</v>
          </cell>
          <cell r="AA97">
            <v>0</v>
          </cell>
          <cell r="AB97">
            <v>117</v>
          </cell>
          <cell r="AC97">
            <v>64</v>
          </cell>
          <cell r="AD97">
            <v>300</v>
          </cell>
          <cell r="AE97">
            <v>8794</v>
          </cell>
          <cell r="AF97">
            <v>13002</v>
          </cell>
          <cell r="AG97">
            <v>7162</v>
          </cell>
          <cell r="AH97">
            <v>3831</v>
          </cell>
          <cell r="AI97">
            <v>300</v>
          </cell>
          <cell r="AJ97">
            <v>0.62133891213389103</v>
          </cell>
          <cell r="AK97">
            <v>88</v>
          </cell>
          <cell r="AL97">
            <v>0</v>
          </cell>
          <cell r="AM97">
            <v>0</v>
          </cell>
          <cell r="AN97">
            <v>117</v>
          </cell>
          <cell r="AO97">
            <v>85</v>
          </cell>
          <cell r="AP97">
            <v>276</v>
          </cell>
          <cell r="AQ97">
            <v>300</v>
          </cell>
          <cell r="AX97">
            <v>4358</v>
          </cell>
          <cell r="AY97">
            <v>1208</v>
          </cell>
          <cell r="AZ97">
            <v>0</v>
          </cell>
          <cell r="BA97">
            <v>94</v>
          </cell>
          <cell r="BB97">
            <v>362</v>
          </cell>
          <cell r="BC97">
            <v>0</v>
          </cell>
          <cell r="BD97">
            <v>0</v>
          </cell>
          <cell r="BE97">
            <v>0</v>
          </cell>
          <cell r="BF97">
            <v>0.20614035087719301</v>
          </cell>
          <cell r="BH97">
            <v>7437</v>
          </cell>
          <cell r="BI97">
            <v>5011</v>
          </cell>
          <cell r="BJ97">
            <v>22467</v>
          </cell>
          <cell r="BK97">
            <v>4052</v>
          </cell>
          <cell r="BL97">
            <v>2179</v>
          </cell>
          <cell r="BM97">
            <v>3290</v>
          </cell>
          <cell r="BN97">
            <v>0</v>
          </cell>
          <cell r="BO97">
            <v>45</v>
          </cell>
          <cell r="BP97">
            <v>411</v>
          </cell>
          <cell r="BQ97">
            <v>0</v>
          </cell>
          <cell r="BR97">
            <v>0</v>
          </cell>
          <cell r="BS97">
            <v>0</v>
          </cell>
          <cell r="BT97">
            <v>9.8684210526315805E-2</v>
          </cell>
          <cell r="BV97">
            <v>7683</v>
          </cell>
          <cell r="BX97">
            <v>24050</v>
          </cell>
          <cell r="BY97">
            <v>1528</v>
          </cell>
          <cell r="BZ97">
            <v>3940</v>
          </cell>
          <cell r="CA97">
            <v>3290</v>
          </cell>
          <cell r="CB97">
            <v>15101.745990528156</v>
          </cell>
          <cell r="CC97">
            <v>0</v>
          </cell>
          <cell r="CD97">
            <v>0</v>
          </cell>
          <cell r="CE97">
            <v>0</v>
          </cell>
          <cell r="CF97">
            <v>0</v>
          </cell>
          <cell r="CG97">
            <v>0</v>
          </cell>
          <cell r="CM97">
            <v>0</v>
          </cell>
          <cell r="CZ97">
            <v>0.12612486725169078</v>
          </cell>
          <cell r="DA97">
            <v>-5.2383623107122829E-2</v>
          </cell>
          <cell r="DB97">
            <v>19739525.25</v>
          </cell>
          <cell r="DC97">
            <v>96.2</v>
          </cell>
          <cell r="DD97">
            <v>2.4</v>
          </cell>
          <cell r="DE97">
            <v>0.5</v>
          </cell>
          <cell r="DF97">
            <v>95.2</v>
          </cell>
          <cell r="DG97">
            <v>2.8</v>
          </cell>
          <cell r="DH97">
            <v>0.6</v>
          </cell>
          <cell r="DI97">
            <v>99.1</v>
          </cell>
          <cell r="DJ97">
            <v>98.6</v>
          </cell>
        </row>
        <row r="98">
          <cell r="A98">
            <v>841</v>
          </cell>
          <cell r="B98">
            <v>-1.5990159901599001E-2</v>
          </cell>
          <cell r="C98">
            <v>7.2682545007268298E-3</v>
          </cell>
          <cell r="D98">
            <v>1.03653355989805E-2</v>
          </cell>
          <cell r="E98">
            <v>1.3763806287170799E-2</v>
          </cell>
          <cell r="F98">
            <v>870</v>
          </cell>
          <cell r="G98">
            <v>784</v>
          </cell>
          <cell r="H98">
            <v>0</v>
          </cell>
          <cell r="I98">
            <v>80</v>
          </cell>
          <cell r="J98">
            <v>0.11968803066874592</v>
          </cell>
          <cell r="K98">
            <v>3.5897138851144983E-2</v>
          </cell>
          <cell r="L98">
            <v>315</v>
          </cell>
          <cell r="M98">
            <v>0</v>
          </cell>
          <cell r="N98">
            <v>105</v>
          </cell>
          <cell r="O98">
            <v>0</v>
          </cell>
          <cell r="P98">
            <v>0</v>
          </cell>
          <cell r="Q98">
            <v>0</v>
          </cell>
          <cell r="R98">
            <v>0</v>
          </cell>
          <cell r="S98">
            <v>1390</v>
          </cell>
          <cell r="T98">
            <v>5935</v>
          </cell>
          <cell r="U98">
            <v>1521</v>
          </cell>
          <cell r="V98">
            <v>0</v>
          </cell>
          <cell r="W98">
            <v>0</v>
          </cell>
          <cell r="X98">
            <v>1</v>
          </cell>
          <cell r="Y98">
            <v>1</v>
          </cell>
          <cell r="Z98">
            <v>0</v>
          </cell>
          <cell r="AA98">
            <v>0</v>
          </cell>
          <cell r="AB98">
            <v>0</v>
          </cell>
          <cell r="AC98">
            <v>0</v>
          </cell>
          <cell r="AD98">
            <v>0</v>
          </cell>
          <cell r="AE98">
            <v>1835</v>
          </cell>
          <cell r="AF98">
            <v>0</v>
          </cell>
          <cell r="AG98">
            <v>3346</v>
          </cell>
          <cell r="AH98">
            <v>0</v>
          </cell>
          <cell r="AI98">
            <v>0</v>
          </cell>
          <cell r="AJ98" t="str">
            <v>NULL</v>
          </cell>
          <cell r="AK98" t="str">
            <v>NULL</v>
          </cell>
          <cell r="AL98">
            <v>0</v>
          </cell>
          <cell r="AM98">
            <v>0</v>
          </cell>
          <cell r="AN98">
            <v>0</v>
          </cell>
          <cell r="AO98">
            <v>0</v>
          </cell>
          <cell r="AP98">
            <v>0</v>
          </cell>
          <cell r="AQ98">
            <v>0</v>
          </cell>
          <cell r="AX98">
            <v>1246</v>
          </cell>
          <cell r="AY98">
            <v>0</v>
          </cell>
          <cell r="AZ98">
            <v>105</v>
          </cell>
          <cell r="BA98">
            <v>0</v>
          </cell>
          <cell r="BB98">
            <v>0</v>
          </cell>
          <cell r="BC98">
            <v>0</v>
          </cell>
          <cell r="BD98">
            <v>0</v>
          </cell>
          <cell r="BE98">
            <v>0</v>
          </cell>
          <cell r="BF98">
            <v>1</v>
          </cell>
          <cell r="BH98">
            <v>1410</v>
          </cell>
          <cell r="BI98">
            <v>2215</v>
          </cell>
          <cell r="BJ98">
            <v>2985</v>
          </cell>
          <cell r="BK98">
            <v>1416</v>
          </cell>
          <cell r="BL98">
            <v>0</v>
          </cell>
          <cell r="BM98">
            <v>820</v>
          </cell>
          <cell r="BN98">
            <v>105</v>
          </cell>
          <cell r="BO98">
            <v>0</v>
          </cell>
          <cell r="BP98">
            <v>0</v>
          </cell>
          <cell r="BQ98">
            <v>0</v>
          </cell>
          <cell r="BR98">
            <v>0</v>
          </cell>
          <cell r="BS98">
            <v>0</v>
          </cell>
          <cell r="BT98">
            <v>1</v>
          </cell>
          <cell r="BV98">
            <v>700</v>
          </cell>
          <cell r="BX98">
            <v>5461</v>
          </cell>
          <cell r="BY98">
            <v>1260</v>
          </cell>
          <cell r="BZ98">
            <v>0</v>
          </cell>
          <cell r="CA98">
            <v>540</v>
          </cell>
          <cell r="CB98">
            <v>17337.268664470856</v>
          </cell>
          <cell r="CC98">
            <v>0</v>
          </cell>
          <cell r="CD98">
            <v>0</v>
          </cell>
          <cell r="CE98">
            <v>0</v>
          </cell>
          <cell r="CF98">
            <v>0</v>
          </cell>
          <cell r="CG98">
            <v>0</v>
          </cell>
          <cell r="CM98">
            <v>0</v>
          </cell>
          <cell r="CZ98">
            <v>9.3800472108336433E-2</v>
          </cell>
          <cell r="DA98">
            <v>0.23037776472890978</v>
          </cell>
          <cell r="DB98">
            <v>13343101.989999998</v>
          </cell>
          <cell r="DC98">
            <v>95.3</v>
          </cell>
          <cell r="DD98">
            <v>3.2</v>
          </cell>
          <cell r="DE98">
            <v>0.3</v>
          </cell>
          <cell r="DF98">
            <v>85</v>
          </cell>
          <cell r="DG98">
            <v>6.8</v>
          </cell>
          <cell r="DH98">
            <v>2.2999999999999998</v>
          </cell>
          <cell r="DI98">
            <v>98.8</v>
          </cell>
          <cell r="DJ98">
            <v>94.1</v>
          </cell>
        </row>
        <row r="99">
          <cell r="A99">
            <v>845</v>
          </cell>
          <cell r="B99">
            <v>2.03764596225047E-2</v>
          </cell>
          <cell r="C99">
            <v>5.1005877326981298E-3</v>
          </cell>
          <cell r="D99">
            <v>3.4389215809023002E-2</v>
          </cell>
          <cell r="E99">
            <v>1.2353407620717001E-2</v>
          </cell>
          <cell r="F99">
            <v>2666</v>
          </cell>
          <cell r="G99">
            <v>1984</v>
          </cell>
          <cell r="H99">
            <v>180</v>
          </cell>
          <cell r="I99">
            <v>90</v>
          </cell>
          <cell r="J99">
            <v>9.2991581359685077E-2</v>
          </cell>
          <cell r="K99">
            <v>0.13608006699921429</v>
          </cell>
          <cell r="L99">
            <v>1050</v>
          </cell>
          <cell r="M99">
            <v>740</v>
          </cell>
          <cell r="N99">
            <v>35</v>
          </cell>
          <cell r="O99">
            <v>340</v>
          </cell>
          <cell r="P99">
            <v>0</v>
          </cell>
          <cell r="Q99">
            <v>0</v>
          </cell>
          <cell r="R99">
            <v>0</v>
          </cell>
          <cell r="S99">
            <v>4001</v>
          </cell>
          <cell r="T99">
            <v>31470</v>
          </cell>
          <cell r="U99">
            <v>2000</v>
          </cell>
          <cell r="V99">
            <v>870</v>
          </cell>
          <cell r="W99">
            <v>0</v>
          </cell>
          <cell r="X99">
            <v>1</v>
          </cell>
          <cell r="Y99">
            <v>1</v>
          </cell>
          <cell r="Z99">
            <v>50</v>
          </cell>
          <cell r="AA99">
            <v>19</v>
          </cell>
          <cell r="AB99">
            <v>0</v>
          </cell>
          <cell r="AC99">
            <v>0</v>
          </cell>
          <cell r="AD99">
            <v>0</v>
          </cell>
          <cell r="AE99">
            <v>4340</v>
          </cell>
          <cell r="AF99">
            <v>20956</v>
          </cell>
          <cell r="AG99">
            <v>3495</v>
          </cell>
          <cell r="AH99">
            <v>2400</v>
          </cell>
          <cell r="AI99">
            <v>0</v>
          </cell>
          <cell r="AJ99">
            <v>1</v>
          </cell>
          <cell r="AK99">
            <v>1</v>
          </cell>
          <cell r="AL99">
            <v>50</v>
          </cell>
          <cell r="AM99">
            <v>19</v>
          </cell>
          <cell r="AN99">
            <v>0</v>
          </cell>
          <cell r="AO99">
            <v>0</v>
          </cell>
          <cell r="AP99">
            <v>0</v>
          </cell>
          <cell r="AQ99">
            <v>0</v>
          </cell>
          <cell r="AX99">
            <v>2295</v>
          </cell>
          <cell r="AY99">
            <v>900</v>
          </cell>
          <cell r="AZ99">
            <v>0</v>
          </cell>
          <cell r="BA99">
            <v>60</v>
          </cell>
          <cell r="BB99">
            <v>165</v>
          </cell>
          <cell r="BC99">
            <v>150</v>
          </cell>
          <cell r="BD99">
            <v>0</v>
          </cell>
          <cell r="BE99">
            <v>0</v>
          </cell>
          <cell r="BF99">
            <v>0.16</v>
          </cell>
          <cell r="BH99">
            <v>2925</v>
          </cell>
          <cell r="BI99">
            <v>4850</v>
          </cell>
          <cell r="BJ99">
            <v>17070</v>
          </cell>
          <cell r="BK99">
            <v>6660</v>
          </cell>
          <cell r="BL99">
            <v>3625</v>
          </cell>
          <cell r="BM99">
            <v>3211</v>
          </cell>
          <cell r="BN99">
            <v>0</v>
          </cell>
          <cell r="BO99">
            <v>90</v>
          </cell>
          <cell r="BP99">
            <v>255</v>
          </cell>
          <cell r="BQ99">
            <v>30</v>
          </cell>
          <cell r="BR99">
            <v>0</v>
          </cell>
          <cell r="BS99">
            <v>0</v>
          </cell>
          <cell r="BT99">
            <v>0.24</v>
          </cell>
          <cell r="BV99">
            <v>4060</v>
          </cell>
          <cell r="BX99">
            <v>18675</v>
          </cell>
          <cell r="BY99">
            <v>4290</v>
          </cell>
          <cell r="BZ99">
            <v>3030</v>
          </cell>
          <cell r="CA99">
            <v>3211</v>
          </cell>
          <cell r="CB99">
            <v>17785.585001920117</v>
          </cell>
          <cell r="CC99">
            <v>9529.0730560204083</v>
          </cell>
          <cell r="CD99">
            <v>21027.98759033265</v>
          </cell>
          <cell r="CE99">
            <v>0</v>
          </cell>
          <cell r="CF99">
            <v>0</v>
          </cell>
          <cell r="CG99">
            <v>0</v>
          </cell>
          <cell r="CM99">
            <v>0</v>
          </cell>
          <cell r="CZ99">
            <v>0.1270855209427138</v>
          </cell>
          <cell r="DA99">
            <v>-7.3773657782927769E-3</v>
          </cell>
          <cell r="DB99">
            <v>89151610.829999998</v>
          </cell>
          <cell r="DC99">
            <v>88.5</v>
          </cell>
          <cell r="DD99">
            <v>6.5</v>
          </cell>
          <cell r="DE99">
            <v>2</v>
          </cell>
          <cell r="DF99">
            <v>90.6</v>
          </cell>
          <cell r="DG99">
            <v>4.4000000000000004</v>
          </cell>
          <cell r="DH99">
            <v>1</v>
          </cell>
          <cell r="DI99">
            <v>97</v>
          </cell>
          <cell r="DJ99">
            <v>96</v>
          </cell>
        </row>
        <row r="100">
          <cell r="A100">
            <v>846</v>
          </cell>
          <cell r="B100">
            <v>3.1541371410304199E-2</v>
          </cell>
          <cell r="C100">
            <v>1.99264745058341E-2</v>
          </cell>
          <cell r="D100">
            <v>4.5616535994297901E-2</v>
          </cell>
          <cell r="E100">
            <v>1.5769779044903801E-2</v>
          </cell>
          <cell r="F100">
            <v>3121</v>
          </cell>
          <cell r="G100">
            <v>2034</v>
          </cell>
          <cell r="H100">
            <v>150</v>
          </cell>
          <cell r="I100">
            <v>120</v>
          </cell>
          <cell r="J100">
            <v>0.13778484088341875</v>
          </cell>
          <cell r="K100">
            <v>0.13085398453119601</v>
          </cell>
          <cell r="L100">
            <v>0</v>
          </cell>
          <cell r="M100">
            <v>60</v>
          </cell>
          <cell r="N100">
            <v>0</v>
          </cell>
          <cell r="O100">
            <v>23</v>
          </cell>
          <cell r="P100">
            <v>0</v>
          </cell>
          <cell r="Q100">
            <v>0</v>
          </cell>
          <cell r="R100">
            <v>0</v>
          </cell>
          <cell r="S100">
            <v>2896</v>
          </cell>
          <cell r="T100">
            <v>15786</v>
          </cell>
          <cell r="U100">
            <v>2707</v>
          </cell>
          <cell r="V100">
            <v>0</v>
          </cell>
          <cell r="W100">
            <v>0</v>
          </cell>
          <cell r="X100">
            <v>1</v>
          </cell>
          <cell r="Y100">
            <v>1</v>
          </cell>
          <cell r="Z100">
            <v>0</v>
          </cell>
          <cell r="AA100">
            <v>0</v>
          </cell>
          <cell r="AB100">
            <v>0</v>
          </cell>
          <cell r="AC100">
            <v>0</v>
          </cell>
          <cell r="AD100">
            <v>0</v>
          </cell>
          <cell r="AE100">
            <v>0</v>
          </cell>
          <cell r="AF100">
            <v>13293</v>
          </cell>
          <cell r="AG100">
            <v>1363</v>
          </cell>
          <cell r="AH100">
            <v>0</v>
          </cell>
          <cell r="AI100">
            <v>0</v>
          </cell>
          <cell r="AJ100" t="str">
            <v>NULL</v>
          </cell>
          <cell r="AK100" t="str">
            <v>NULL</v>
          </cell>
          <cell r="AL100">
            <v>0</v>
          </cell>
          <cell r="AM100">
            <v>0</v>
          </cell>
          <cell r="AN100">
            <v>0</v>
          </cell>
          <cell r="AO100">
            <v>0</v>
          </cell>
          <cell r="AP100">
            <v>0</v>
          </cell>
          <cell r="AQ100">
            <v>0</v>
          </cell>
          <cell r="AX100">
            <v>1363</v>
          </cell>
          <cell r="AY100">
            <v>0</v>
          </cell>
          <cell r="AZ100">
            <v>0</v>
          </cell>
          <cell r="BA100">
            <v>0</v>
          </cell>
          <cell r="BB100">
            <v>23</v>
          </cell>
          <cell r="BC100">
            <v>0</v>
          </cell>
          <cell r="BD100">
            <v>0</v>
          </cell>
          <cell r="BE100">
            <v>0</v>
          </cell>
          <cell r="BF100">
            <v>0</v>
          </cell>
          <cell r="BH100">
            <v>1185</v>
          </cell>
          <cell r="BI100">
            <v>2094</v>
          </cell>
          <cell r="BJ100">
            <v>9505</v>
          </cell>
          <cell r="BK100">
            <v>5582</v>
          </cell>
          <cell r="BL100">
            <v>1237</v>
          </cell>
          <cell r="BM100">
            <v>1786</v>
          </cell>
          <cell r="BN100">
            <v>0</v>
          </cell>
          <cell r="BO100">
            <v>0</v>
          </cell>
          <cell r="BP100">
            <v>23</v>
          </cell>
          <cell r="BQ100">
            <v>0</v>
          </cell>
          <cell r="BR100">
            <v>0</v>
          </cell>
          <cell r="BS100">
            <v>0</v>
          </cell>
          <cell r="BT100">
            <v>0</v>
          </cell>
          <cell r="BV100">
            <v>2231</v>
          </cell>
          <cell r="BX100">
            <v>11887</v>
          </cell>
          <cell r="BY100">
            <v>2094</v>
          </cell>
          <cell r="BZ100">
            <v>817</v>
          </cell>
          <cell r="CA100">
            <v>1786</v>
          </cell>
          <cell r="CB100">
            <v>15198.783520322982</v>
          </cell>
          <cell r="CC100">
            <v>4074.4323932985649</v>
          </cell>
          <cell r="CD100">
            <v>0</v>
          </cell>
          <cell r="CE100">
            <v>0</v>
          </cell>
          <cell r="CF100">
            <v>0</v>
          </cell>
          <cell r="CG100">
            <v>0</v>
          </cell>
          <cell r="CM100">
            <v>0</v>
          </cell>
          <cell r="CZ100">
            <v>0.11999759282662334</v>
          </cell>
          <cell r="DA100">
            <v>5.3253919593588508E-2</v>
          </cell>
          <cell r="DB100">
            <v>57300162.010000005</v>
          </cell>
          <cell r="DC100">
            <v>89.9</v>
          </cell>
          <cell r="DD100">
            <v>7.7</v>
          </cell>
          <cell r="DE100">
            <v>1.5</v>
          </cell>
          <cell r="DF100">
            <v>83.9</v>
          </cell>
          <cell r="DG100">
            <v>8.1</v>
          </cell>
          <cell r="DH100">
            <v>2.7</v>
          </cell>
          <cell r="DI100">
            <v>99.1</v>
          </cell>
          <cell r="DJ100">
            <v>94.7</v>
          </cell>
        </row>
        <row r="101">
          <cell r="A101">
            <v>850</v>
          </cell>
          <cell r="B101">
            <v>4.5123588705864602E-2</v>
          </cell>
          <cell r="C101">
            <v>1.3455755810654901E-2</v>
          </cell>
          <cell r="D101">
            <v>1.95812390144624E-2</v>
          </cell>
          <cell r="E101">
            <v>-1.3876468592926099E-3</v>
          </cell>
          <cell r="F101">
            <v>9354</v>
          </cell>
          <cell r="G101">
            <v>1362</v>
          </cell>
          <cell r="H101">
            <v>1500</v>
          </cell>
          <cell r="I101">
            <v>970</v>
          </cell>
          <cell r="J101">
            <v>8.4343332353686656E-2</v>
          </cell>
          <cell r="K101">
            <v>0.12306789063069631</v>
          </cell>
          <cell r="L101">
            <v>5081</v>
          </cell>
          <cell r="M101">
            <v>150</v>
          </cell>
          <cell r="N101">
            <v>421</v>
          </cell>
          <cell r="O101">
            <v>557</v>
          </cell>
          <cell r="P101">
            <v>67</v>
          </cell>
          <cell r="Q101">
            <v>0</v>
          </cell>
          <cell r="R101">
            <v>0</v>
          </cell>
          <cell r="S101">
            <v>27329</v>
          </cell>
          <cell r="T101">
            <v>74277</v>
          </cell>
          <cell r="U101">
            <v>9895</v>
          </cell>
          <cell r="V101">
            <v>210</v>
          </cell>
          <cell r="W101">
            <v>0</v>
          </cell>
          <cell r="X101">
            <v>0.93588516746411499</v>
          </cell>
          <cell r="Y101">
            <v>86</v>
          </cell>
          <cell r="Z101">
            <v>786</v>
          </cell>
          <cell r="AA101">
            <v>925</v>
          </cell>
          <cell r="AB101">
            <v>119</v>
          </cell>
          <cell r="AC101">
            <v>0</v>
          </cell>
          <cell r="AD101">
            <v>0</v>
          </cell>
          <cell r="AE101">
            <v>12800</v>
          </cell>
          <cell r="AF101">
            <v>53627</v>
          </cell>
          <cell r="AG101">
            <v>7977</v>
          </cell>
          <cell r="AH101">
            <v>0</v>
          </cell>
          <cell r="AI101">
            <v>0</v>
          </cell>
          <cell r="AJ101">
            <v>0.93497267759562797</v>
          </cell>
          <cell r="AK101">
            <v>68</v>
          </cell>
          <cell r="AL101">
            <v>0</v>
          </cell>
          <cell r="AM101">
            <v>726</v>
          </cell>
          <cell r="AN101">
            <v>811</v>
          </cell>
          <cell r="AO101">
            <v>194</v>
          </cell>
          <cell r="AP101">
            <v>99</v>
          </cell>
          <cell r="AQ101">
            <v>0</v>
          </cell>
          <cell r="AX101">
            <v>7684</v>
          </cell>
          <cell r="AY101">
            <v>0</v>
          </cell>
          <cell r="AZ101">
            <v>60</v>
          </cell>
          <cell r="BA101">
            <v>149</v>
          </cell>
          <cell r="BB101">
            <v>348</v>
          </cell>
          <cell r="BC101">
            <v>57</v>
          </cell>
          <cell r="BD101">
            <v>141</v>
          </cell>
          <cell r="BE101">
            <v>290</v>
          </cell>
          <cell r="BF101">
            <v>0.27682119205298</v>
          </cell>
          <cell r="BH101">
            <v>3317</v>
          </cell>
          <cell r="BI101">
            <v>13593</v>
          </cell>
          <cell r="BJ101">
            <v>41877</v>
          </cell>
          <cell r="BK101">
            <v>17836</v>
          </cell>
          <cell r="BL101">
            <v>9111</v>
          </cell>
          <cell r="BM101">
            <v>25977</v>
          </cell>
          <cell r="BN101">
            <v>90</v>
          </cell>
          <cell r="BO101">
            <v>89</v>
          </cell>
          <cell r="BP101">
            <v>435</v>
          </cell>
          <cell r="BQ101">
            <v>32</v>
          </cell>
          <cell r="BR101">
            <v>109</v>
          </cell>
          <cell r="BS101">
            <v>290</v>
          </cell>
          <cell r="BT101">
            <v>0.23708609271523201</v>
          </cell>
          <cell r="BV101">
            <v>6308</v>
          </cell>
          <cell r="BX101">
            <v>50225</v>
          </cell>
          <cell r="BY101">
            <v>13009</v>
          </cell>
          <cell r="BZ101">
            <v>8477</v>
          </cell>
          <cell r="CA101">
            <v>25977</v>
          </cell>
          <cell r="CB101">
            <v>17575.673592966083</v>
          </cell>
          <cell r="CC101">
            <v>3990.6140185345153</v>
          </cell>
          <cell r="CD101">
            <v>29663.202334988051</v>
          </cell>
          <cell r="CE101">
            <v>45197.944015444024</v>
          </cell>
          <cell r="CF101">
            <v>23156.75340768278</v>
          </cell>
          <cell r="CG101">
            <v>0</v>
          </cell>
          <cell r="CM101">
            <v>0</v>
          </cell>
          <cell r="CZ101">
            <v>0.16701090196746443</v>
          </cell>
          <cell r="DA101">
            <v>1.1820503465888362E-3</v>
          </cell>
          <cell r="DB101">
            <v>231157098.60999998</v>
          </cell>
          <cell r="DC101">
            <v>93.6</v>
          </cell>
          <cell r="DD101">
            <v>4.2</v>
          </cell>
          <cell r="DE101">
            <v>0.9</v>
          </cell>
          <cell r="DF101">
            <v>92.1</v>
          </cell>
          <cell r="DG101">
            <v>5</v>
          </cell>
          <cell r="DH101">
            <v>0.9</v>
          </cell>
          <cell r="DI101">
            <v>98.8</v>
          </cell>
          <cell r="DJ101">
            <v>98</v>
          </cell>
        </row>
        <row r="102">
          <cell r="A102">
            <v>851</v>
          </cell>
          <cell r="B102">
            <v>1.97848398664523E-3</v>
          </cell>
          <cell r="C102">
            <v>7.1720044515889703E-3</v>
          </cell>
          <cell r="D102">
            <v>1.1591148577449899E-2</v>
          </cell>
          <cell r="E102">
            <v>1.53377824610701E-2</v>
          </cell>
          <cell r="F102">
            <v>1487</v>
          </cell>
          <cell r="G102">
            <v>665</v>
          </cell>
          <cell r="H102">
            <v>160</v>
          </cell>
          <cell r="I102">
            <v>220</v>
          </cell>
          <cell r="J102">
            <v>4.5062531948610714E-2</v>
          </cell>
          <cell r="K102">
            <v>0.11396274261463726</v>
          </cell>
          <cell r="L102">
            <v>105</v>
          </cell>
          <cell r="M102">
            <v>495</v>
          </cell>
          <cell r="N102">
            <v>0</v>
          </cell>
          <cell r="O102">
            <v>302</v>
          </cell>
          <cell r="P102">
            <v>0</v>
          </cell>
          <cell r="Q102">
            <v>0</v>
          </cell>
          <cell r="R102">
            <v>0</v>
          </cell>
          <cell r="S102">
            <v>750</v>
          </cell>
          <cell r="T102">
            <v>12953</v>
          </cell>
          <cell r="U102">
            <v>3300</v>
          </cell>
          <cell r="V102">
            <v>0</v>
          </cell>
          <cell r="W102">
            <v>0</v>
          </cell>
          <cell r="X102">
            <v>1</v>
          </cell>
          <cell r="Y102">
            <v>1</v>
          </cell>
          <cell r="Z102">
            <v>103</v>
          </cell>
          <cell r="AA102">
            <v>15</v>
          </cell>
          <cell r="AB102">
            <v>0</v>
          </cell>
          <cell r="AC102">
            <v>0</v>
          </cell>
          <cell r="AD102">
            <v>450</v>
          </cell>
          <cell r="AE102">
            <v>937</v>
          </cell>
          <cell r="AF102">
            <v>8050</v>
          </cell>
          <cell r="AG102">
            <v>1000</v>
          </cell>
          <cell r="AH102">
            <v>0</v>
          </cell>
          <cell r="AI102">
            <v>0</v>
          </cell>
          <cell r="AJ102">
            <v>1</v>
          </cell>
          <cell r="AK102">
            <v>1</v>
          </cell>
          <cell r="AL102">
            <v>103</v>
          </cell>
          <cell r="AM102">
            <v>0</v>
          </cell>
          <cell r="AN102">
            <v>0</v>
          </cell>
          <cell r="AO102">
            <v>0</v>
          </cell>
          <cell r="AP102">
            <v>15</v>
          </cell>
          <cell r="AQ102">
            <v>450</v>
          </cell>
          <cell r="AX102">
            <v>1985</v>
          </cell>
          <cell r="AY102">
            <v>1000</v>
          </cell>
          <cell r="AZ102">
            <v>0</v>
          </cell>
          <cell r="BA102">
            <v>0</v>
          </cell>
          <cell r="BB102">
            <v>35</v>
          </cell>
          <cell r="BC102">
            <v>150</v>
          </cell>
          <cell r="BD102">
            <v>0</v>
          </cell>
          <cell r="BE102">
            <v>117</v>
          </cell>
          <cell r="BF102">
            <v>0</v>
          </cell>
          <cell r="BH102">
            <v>0</v>
          </cell>
          <cell r="BI102">
            <v>840</v>
          </cell>
          <cell r="BJ102">
            <v>3615</v>
          </cell>
          <cell r="BK102">
            <v>5115</v>
          </cell>
          <cell r="BL102">
            <v>1890</v>
          </cell>
          <cell r="BM102">
            <v>5543</v>
          </cell>
          <cell r="BN102">
            <v>0</v>
          </cell>
          <cell r="BO102">
            <v>30</v>
          </cell>
          <cell r="BP102">
            <v>185</v>
          </cell>
          <cell r="BQ102">
            <v>0</v>
          </cell>
          <cell r="BR102">
            <v>0</v>
          </cell>
          <cell r="BS102">
            <v>87</v>
          </cell>
          <cell r="BT102">
            <v>0.13953488372093001</v>
          </cell>
          <cell r="BV102">
            <v>420</v>
          </cell>
          <cell r="BX102">
            <v>5160</v>
          </cell>
          <cell r="BY102">
            <v>2325</v>
          </cell>
          <cell r="BZ102">
            <v>3240</v>
          </cell>
          <cell r="CA102">
            <v>5123</v>
          </cell>
          <cell r="CB102">
            <v>16503.18548438073</v>
          </cell>
          <cell r="CC102">
            <v>6081.1887254901967</v>
          </cell>
          <cell r="CD102">
            <v>0</v>
          </cell>
          <cell r="CE102">
            <v>5368.2350753208111</v>
          </cell>
          <cell r="CF102">
            <v>0</v>
          </cell>
          <cell r="CG102">
            <v>0</v>
          </cell>
          <cell r="CM102">
            <v>0</v>
          </cell>
          <cell r="CZ102">
            <v>0.25195793242336095</v>
          </cell>
          <cell r="DA102">
            <v>0.11789642529789185</v>
          </cell>
          <cell r="DB102">
            <v>38790371.260000005</v>
          </cell>
          <cell r="DC102">
            <v>89</v>
          </cell>
          <cell r="DD102">
            <v>6.4</v>
          </cell>
          <cell r="DE102">
            <v>1.8</v>
          </cell>
          <cell r="DF102">
            <v>89.8</v>
          </cell>
          <cell r="DG102">
            <v>7.1</v>
          </cell>
          <cell r="DH102">
            <v>1.1000000000000001</v>
          </cell>
          <cell r="DI102">
            <v>97.3</v>
          </cell>
          <cell r="DJ102">
            <v>98</v>
          </cell>
        </row>
        <row r="103">
          <cell r="A103">
            <v>852</v>
          </cell>
          <cell r="B103">
            <v>2.9010153553743799E-3</v>
          </cell>
          <cell r="C103">
            <v>6.5022757965287796E-3</v>
          </cell>
          <cell r="D103">
            <v>1.4379340702337901E-2</v>
          </cell>
          <cell r="E103">
            <v>9.4884084906583198E-3</v>
          </cell>
          <cell r="F103">
            <v>5247</v>
          </cell>
          <cell r="G103">
            <v>255</v>
          </cell>
          <cell r="H103">
            <v>30</v>
          </cell>
          <cell r="I103">
            <v>350</v>
          </cell>
          <cell r="J103">
            <v>9.7912960216480605E-2</v>
          </cell>
          <cell r="K103">
            <v>0.10940888522610344</v>
          </cell>
          <cell r="L103">
            <v>60</v>
          </cell>
          <cell r="M103">
            <v>401</v>
          </cell>
          <cell r="N103">
            <v>0</v>
          </cell>
          <cell r="O103">
            <v>120</v>
          </cell>
          <cell r="P103">
            <v>48</v>
          </cell>
          <cell r="Q103">
            <v>0</v>
          </cell>
          <cell r="R103">
            <v>420</v>
          </cell>
          <cell r="S103">
            <v>4539</v>
          </cell>
          <cell r="T103">
            <v>11794</v>
          </cell>
          <cell r="U103">
            <v>3953</v>
          </cell>
          <cell r="V103">
            <v>90</v>
          </cell>
          <cell r="W103">
            <v>0</v>
          </cell>
          <cell r="X103">
            <v>0.71428571428571397</v>
          </cell>
          <cell r="Y103">
            <v>117</v>
          </cell>
          <cell r="Z103">
            <v>0</v>
          </cell>
          <cell r="AA103">
            <v>232</v>
          </cell>
          <cell r="AB103">
            <v>0</v>
          </cell>
          <cell r="AC103">
            <v>0</v>
          </cell>
          <cell r="AD103">
            <v>0</v>
          </cell>
          <cell r="AE103">
            <v>1079</v>
          </cell>
          <cell r="AF103">
            <v>8052</v>
          </cell>
          <cell r="AG103">
            <v>3164</v>
          </cell>
          <cell r="AH103">
            <v>0</v>
          </cell>
          <cell r="AI103">
            <v>0</v>
          </cell>
          <cell r="AJ103">
            <v>1</v>
          </cell>
          <cell r="AK103">
            <v>1</v>
          </cell>
          <cell r="AL103">
            <v>0</v>
          </cell>
          <cell r="AM103">
            <v>0</v>
          </cell>
          <cell r="AN103">
            <v>232</v>
          </cell>
          <cell r="AO103">
            <v>0</v>
          </cell>
          <cell r="AP103">
            <v>0</v>
          </cell>
          <cell r="AQ103">
            <v>0</v>
          </cell>
          <cell r="AX103">
            <v>5114</v>
          </cell>
          <cell r="AY103">
            <v>0</v>
          </cell>
          <cell r="AZ103">
            <v>90</v>
          </cell>
          <cell r="BA103">
            <v>0</v>
          </cell>
          <cell r="BB103">
            <v>0</v>
          </cell>
          <cell r="BC103">
            <v>30</v>
          </cell>
          <cell r="BD103">
            <v>48</v>
          </cell>
          <cell r="BE103">
            <v>420</v>
          </cell>
          <cell r="BF103">
            <v>0.53571428571428603</v>
          </cell>
          <cell r="BH103">
            <v>2100</v>
          </cell>
          <cell r="BI103">
            <v>6342</v>
          </cell>
          <cell r="BJ103">
            <v>4701</v>
          </cell>
          <cell r="BK103">
            <v>2910</v>
          </cell>
          <cell r="BL103">
            <v>1080</v>
          </cell>
          <cell r="BM103">
            <v>3243</v>
          </cell>
          <cell r="BN103">
            <v>90</v>
          </cell>
          <cell r="BO103">
            <v>0</v>
          </cell>
          <cell r="BP103">
            <v>30</v>
          </cell>
          <cell r="BQ103">
            <v>0</v>
          </cell>
          <cell r="BR103">
            <v>48</v>
          </cell>
          <cell r="BS103">
            <v>420</v>
          </cell>
          <cell r="BT103">
            <v>0.53571428571428603</v>
          </cell>
          <cell r="BV103">
            <v>1470</v>
          </cell>
          <cell r="BX103">
            <v>9146</v>
          </cell>
          <cell r="BY103">
            <v>1990</v>
          </cell>
          <cell r="BZ103">
            <v>570</v>
          </cell>
          <cell r="CA103">
            <v>3243</v>
          </cell>
          <cell r="CB103">
            <v>10017.320040554241</v>
          </cell>
          <cell r="CC103">
            <v>10850.842092676197</v>
          </cell>
          <cell r="CD103">
            <v>0</v>
          </cell>
          <cell r="CE103">
            <v>0</v>
          </cell>
          <cell r="CF103">
            <v>0</v>
          </cell>
          <cell r="CG103">
            <v>0</v>
          </cell>
          <cell r="CM103">
            <v>0</v>
          </cell>
          <cell r="CZ103">
            <v>0.28876117496807152</v>
          </cell>
          <cell r="DA103">
            <v>0.36109493302271406</v>
          </cell>
          <cell r="DB103">
            <v>57178818.070000008</v>
          </cell>
          <cell r="DC103">
            <v>87.6</v>
          </cell>
          <cell r="DD103">
            <v>6.7</v>
          </cell>
          <cell r="DE103">
            <v>2</v>
          </cell>
          <cell r="DF103">
            <v>87.8</v>
          </cell>
          <cell r="DG103">
            <v>6.7</v>
          </cell>
          <cell r="DH103">
            <v>1.8</v>
          </cell>
          <cell r="DI103">
            <v>96.2</v>
          </cell>
          <cell r="DJ103">
            <v>96.3</v>
          </cell>
        </row>
        <row r="104">
          <cell r="A104">
            <v>855</v>
          </cell>
          <cell r="B104">
            <v>3.0663986871462E-2</v>
          </cell>
          <cell r="C104">
            <v>2.91335533715634E-3</v>
          </cell>
          <cell r="D104">
            <v>3.3429346922949098E-2</v>
          </cell>
          <cell r="E104">
            <v>6.5363097546114199E-3</v>
          </cell>
          <cell r="F104">
            <v>5648</v>
          </cell>
          <cell r="G104">
            <v>0</v>
          </cell>
          <cell r="H104">
            <v>1550</v>
          </cell>
          <cell r="I104">
            <v>2070</v>
          </cell>
          <cell r="J104">
            <v>5.8927228536412579E-2</v>
          </cell>
          <cell r="K104">
            <v>0.11338496303439415</v>
          </cell>
          <cell r="L104">
            <v>1434</v>
          </cell>
          <cell r="M104">
            <v>0</v>
          </cell>
          <cell r="N104">
            <v>470</v>
          </cell>
          <cell r="O104">
            <v>1056</v>
          </cell>
          <cell r="P104">
            <v>81</v>
          </cell>
          <cell r="Q104">
            <v>0</v>
          </cell>
          <cell r="R104">
            <v>210</v>
          </cell>
          <cell r="S104">
            <v>9230</v>
          </cell>
          <cell r="T104">
            <v>39245</v>
          </cell>
          <cell r="U104">
            <v>6353</v>
          </cell>
          <cell r="V104">
            <v>896</v>
          </cell>
          <cell r="W104">
            <v>0</v>
          </cell>
          <cell r="X104">
            <v>0.94959551960174204</v>
          </cell>
          <cell r="Y104">
            <v>82</v>
          </cell>
          <cell r="Z104">
            <v>612</v>
          </cell>
          <cell r="AA104">
            <v>641</v>
          </cell>
          <cell r="AB104">
            <v>397</v>
          </cell>
          <cell r="AC104">
            <v>0</v>
          </cell>
          <cell r="AD104">
            <v>0</v>
          </cell>
          <cell r="AE104">
            <v>11349</v>
          </cell>
          <cell r="AF104">
            <v>25202</v>
          </cell>
          <cell r="AG104">
            <v>7077</v>
          </cell>
          <cell r="AH104">
            <v>2745</v>
          </cell>
          <cell r="AI104">
            <v>0</v>
          </cell>
          <cell r="AJ104">
            <v>0.75939393939393895</v>
          </cell>
          <cell r="AK104">
            <v>78</v>
          </cell>
          <cell r="AL104">
            <v>82</v>
          </cell>
          <cell r="AM104">
            <v>0</v>
          </cell>
          <cell r="AN104">
            <v>520</v>
          </cell>
          <cell r="AO104">
            <v>27</v>
          </cell>
          <cell r="AP104">
            <v>167</v>
          </cell>
          <cell r="AQ104">
            <v>854</v>
          </cell>
          <cell r="AX104">
            <v>3772</v>
          </cell>
          <cell r="AY104">
            <v>12108</v>
          </cell>
          <cell r="AZ104">
            <v>60</v>
          </cell>
          <cell r="BA104">
            <v>321</v>
          </cell>
          <cell r="BB104">
            <v>577</v>
          </cell>
          <cell r="BC104">
            <v>370</v>
          </cell>
          <cell r="BD104">
            <v>165</v>
          </cell>
          <cell r="BE104">
            <v>324</v>
          </cell>
          <cell r="BF104">
            <v>0.255190890823845</v>
          </cell>
          <cell r="BH104">
            <v>3278</v>
          </cell>
          <cell r="BI104">
            <v>6764</v>
          </cell>
          <cell r="BJ104">
            <v>31197</v>
          </cell>
          <cell r="BK104">
            <v>8438</v>
          </cell>
          <cell r="BL104">
            <v>3092</v>
          </cell>
          <cell r="BM104">
            <v>2955</v>
          </cell>
          <cell r="BN104">
            <v>60</v>
          </cell>
          <cell r="BO104">
            <v>120</v>
          </cell>
          <cell r="BP104">
            <v>895</v>
          </cell>
          <cell r="BQ104">
            <v>298</v>
          </cell>
          <cell r="BR104">
            <v>120</v>
          </cell>
          <cell r="BS104">
            <v>324</v>
          </cell>
          <cell r="BT104">
            <v>0.12056262558606801</v>
          </cell>
          <cell r="BV104">
            <v>2607</v>
          </cell>
          <cell r="BX104">
            <v>38288</v>
          </cell>
          <cell r="BY104">
            <v>4802</v>
          </cell>
          <cell r="BZ104">
            <v>4011</v>
          </cell>
          <cell r="CA104">
            <v>2955</v>
          </cell>
          <cell r="CB104">
            <v>11704.004219321958</v>
          </cell>
          <cell r="CC104">
            <v>1165.9727810236857</v>
          </cell>
          <cell r="CD104">
            <v>22408.144873527945</v>
          </cell>
          <cell r="CE104">
            <v>5059.4966728344343</v>
          </cell>
          <cell r="CF104">
            <v>3732.2813662917297</v>
          </cell>
          <cell r="CG104">
            <v>0</v>
          </cell>
          <cell r="CM104">
            <v>0</v>
          </cell>
          <cell r="CZ104">
            <v>0.203498240529911</v>
          </cell>
          <cell r="DA104">
            <v>9.9753289473684212E-2</v>
          </cell>
          <cell r="DB104">
            <v>117077491.97000001</v>
          </cell>
          <cell r="DC104">
            <v>93</v>
          </cell>
          <cell r="DD104">
            <v>4.4000000000000004</v>
          </cell>
          <cell r="DE104">
            <v>0.8</v>
          </cell>
          <cell r="DF104">
            <v>91.1</v>
          </cell>
          <cell r="DG104">
            <v>5</v>
          </cell>
          <cell r="DH104">
            <v>0.8</v>
          </cell>
          <cell r="DI104">
            <v>98.2</v>
          </cell>
          <cell r="DJ104">
            <v>96.8</v>
          </cell>
        </row>
        <row r="105">
          <cell r="A105">
            <v>856</v>
          </cell>
          <cell r="B105">
            <v>-4.6190073662601104E-3</v>
          </cell>
          <cell r="C105">
            <v>1.40683492331844E-2</v>
          </cell>
          <cell r="D105">
            <v>3.1821368858206099E-2</v>
          </cell>
          <cell r="E105">
            <v>1.5047732053287299E-2</v>
          </cell>
          <cell r="F105">
            <v>7130</v>
          </cell>
          <cell r="G105">
            <v>0</v>
          </cell>
          <cell r="H105">
            <v>330</v>
          </cell>
          <cell r="I105">
            <v>1080</v>
          </cell>
          <cell r="J105">
            <v>3.1693493741686417E-2</v>
          </cell>
          <cell r="K105">
            <v>3.9119217987725954E-2</v>
          </cell>
          <cell r="L105">
            <v>327</v>
          </cell>
          <cell r="M105">
            <v>1740</v>
          </cell>
          <cell r="N105">
            <v>166</v>
          </cell>
          <cell r="O105">
            <v>440</v>
          </cell>
          <cell r="P105">
            <v>94</v>
          </cell>
          <cell r="Q105">
            <v>0</v>
          </cell>
          <cell r="R105">
            <v>0</v>
          </cell>
          <cell r="S105">
            <v>5556</v>
          </cell>
          <cell r="T105">
            <v>24144</v>
          </cell>
          <cell r="U105">
            <v>3155</v>
          </cell>
          <cell r="V105">
            <v>0</v>
          </cell>
          <cell r="W105">
            <v>0</v>
          </cell>
          <cell r="X105">
            <v>0.86571428571428599</v>
          </cell>
          <cell r="Y105">
            <v>103</v>
          </cell>
          <cell r="Z105">
            <v>718</v>
          </cell>
          <cell r="AA105">
            <v>398</v>
          </cell>
          <cell r="AB105">
            <v>83</v>
          </cell>
          <cell r="AC105">
            <v>220</v>
          </cell>
          <cell r="AD105">
            <v>0</v>
          </cell>
          <cell r="AE105">
            <v>5027</v>
          </cell>
          <cell r="AF105">
            <v>7924</v>
          </cell>
          <cell r="AG105">
            <v>1632</v>
          </cell>
          <cell r="AH105">
            <v>1200</v>
          </cell>
          <cell r="AI105">
            <v>0</v>
          </cell>
          <cell r="AJ105">
            <v>0.78646934460887996</v>
          </cell>
          <cell r="AK105">
            <v>77</v>
          </cell>
          <cell r="AL105">
            <v>243</v>
          </cell>
          <cell r="AM105">
            <v>500</v>
          </cell>
          <cell r="AN105">
            <v>446</v>
          </cell>
          <cell r="AO105">
            <v>230</v>
          </cell>
          <cell r="AP105">
            <v>0</v>
          </cell>
          <cell r="AQ105">
            <v>0</v>
          </cell>
          <cell r="AX105">
            <v>0</v>
          </cell>
          <cell r="AY105">
            <v>0</v>
          </cell>
          <cell r="AZ105">
            <v>109</v>
          </cell>
          <cell r="BA105">
            <v>246</v>
          </cell>
          <cell r="BB105">
            <v>215</v>
          </cell>
          <cell r="BC105">
            <v>0</v>
          </cell>
          <cell r="BD105">
            <v>64</v>
          </cell>
          <cell r="BE105">
            <v>66</v>
          </cell>
          <cell r="BF105">
            <v>0.55993690851735001</v>
          </cell>
          <cell r="BH105">
            <v>5317</v>
          </cell>
          <cell r="BI105">
            <v>8407</v>
          </cell>
          <cell r="BJ105">
            <v>10965</v>
          </cell>
          <cell r="BK105">
            <v>2272</v>
          </cell>
          <cell r="BL105">
            <v>1814</v>
          </cell>
          <cell r="BM105">
            <v>4080</v>
          </cell>
          <cell r="BN105">
            <v>176</v>
          </cell>
          <cell r="BO105">
            <v>32</v>
          </cell>
          <cell r="BP105">
            <v>332</v>
          </cell>
          <cell r="BQ105">
            <v>30</v>
          </cell>
          <cell r="BR105">
            <v>64</v>
          </cell>
          <cell r="BS105">
            <v>66</v>
          </cell>
          <cell r="BT105">
            <v>0.32807570977917999</v>
          </cell>
          <cell r="BV105">
            <v>3851</v>
          </cell>
          <cell r="BX105">
            <v>15604</v>
          </cell>
          <cell r="BY105">
            <v>2880</v>
          </cell>
          <cell r="BZ105">
            <v>2928</v>
          </cell>
          <cell r="CA105">
            <v>4080</v>
          </cell>
          <cell r="CB105">
            <v>16174.859288051395</v>
          </cell>
          <cell r="CC105">
            <v>4561.2581228260387</v>
          </cell>
          <cell r="CD105">
            <v>14831.519256014823</v>
          </cell>
          <cell r="CE105">
            <v>0</v>
          </cell>
          <cell r="CF105">
            <v>8230.1748864574765</v>
          </cell>
          <cell r="CG105">
            <v>0</v>
          </cell>
          <cell r="CM105">
            <v>0</v>
          </cell>
          <cell r="CZ105">
            <v>0.36425572367899867</v>
          </cell>
          <cell r="DA105">
            <v>0.30138561142373088</v>
          </cell>
          <cell r="DB105">
            <v>166735397.37</v>
          </cell>
          <cell r="DC105">
            <v>90.9</v>
          </cell>
          <cell r="DD105">
            <v>5.0999999999999996</v>
          </cell>
          <cell r="DE105">
            <v>1</v>
          </cell>
          <cell r="DF105">
            <v>83.7</v>
          </cell>
          <cell r="DG105">
            <v>8.3000000000000007</v>
          </cell>
          <cell r="DH105">
            <v>3.4</v>
          </cell>
          <cell r="DI105">
            <v>97.1</v>
          </cell>
          <cell r="DJ105">
            <v>95.3</v>
          </cell>
        </row>
        <row r="106">
          <cell r="A106">
            <v>857</v>
          </cell>
          <cell r="B106">
            <v>3.9515841936632302E-2</v>
          </cell>
          <cell r="C106">
            <v>2.4919900320398699E-2</v>
          </cell>
          <cell r="D106">
            <v>8.9112903225806506E-2</v>
          </cell>
          <cell r="E106">
            <v>1.6532258064516098E-2</v>
          </cell>
          <cell r="F106">
            <v>197</v>
          </cell>
          <cell r="G106">
            <v>0</v>
          </cell>
          <cell r="H106">
            <v>0</v>
          </cell>
          <cell r="I106">
            <v>0</v>
          </cell>
          <cell r="J106">
            <v>0.13502711936483791</v>
          </cell>
          <cell r="K106">
            <v>6.8124557190776008E-2</v>
          </cell>
          <cell r="L106">
            <v>79</v>
          </cell>
          <cell r="M106">
            <v>210</v>
          </cell>
          <cell r="N106">
            <v>0</v>
          </cell>
          <cell r="O106">
            <v>0</v>
          </cell>
          <cell r="P106">
            <v>0</v>
          </cell>
          <cell r="Q106">
            <v>0</v>
          </cell>
          <cell r="R106">
            <v>0</v>
          </cell>
          <cell r="S106">
            <v>511</v>
          </cell>
          <cell r="T106">
            <v>2553</v>
          </cell>
          <cell r="U106">
            <v>0</v>
          </cell>
          <cell r="V106">
            <v>0</v>
          </cell>
          <cell r="W106">
            <v>0</v>
          </cell>
          <cell r="X106" t="str">
            <v>NULL</v>
          </cell>
          <cell r="Y106" t="str">
            <v>NULL</v>
          </cell>
          <cell r="Z106">
            <v>0</v>
          </cell>
          <cell r="AA106">
            <v>0</v>
          </cell>
          <cell r="AB106">
            <v>0</v>
          </cell>
          <cell r="AC106">
            <v>0</v>
          </cell>
          <cell r="AD106">
            <v>0</v>
          </cell>
          <cell r="AE106">
            <v>900</v>
          </cell>
          <cell r="AF106">
            <v>1815</v>
          </cell>
          <cell r="AG106">
            <v>0</v>
          </cell>
          <cell r="AH106">
            <v>0</v>
          </cell>
          <cell r="AI106">
            <v>0</v>
          </cell>
          <cell r="AJ106" t="str">
            <v>NULL</v>
          </cell>
          <cell r="AK106" t="str">
            <v>NULL</v>
          </cell>
          <cell r="AL106">
            <v>0</v>
          </cell>
          <cell r="AM106">
            <v>0</v>
          </cell>
          <cell r="AN106">
            <v>0</v>
          </cell>
          <cell r="AO106">
            <v>0</v>
          </cell>
          <cell r="AP106">
            <v>0</v>
          </cell>
          <cell r="AQ106">
            <v>0</v>
          </cell>
          <cell r="AX106">
            <v>0</v>
          </cell>
          <cell r="AY106">
            <v>0</v>
          </cell>
          <cell r="AZ106">
            <v>0</v>
          </cell>
          <cell r="BA106">
            <v>0</v>
          </cell>
          <cell r="BB106">
            <v>0</v>
          </cell>
          <cell r="BC106">
            <v>0</v>
          </cell>
          <cell r="BD106">
            <v>0</v>
          </cell>
          <cell r="BE106">
            <v>0</v>
          </cell>
          <cell r="BF106" t="str">
            <v>NULL</v>
          </cell>
          <cell r="BH106">
            <v>0</v>
          </cell>
          <cell r="BI106">
            <v>469</v>
          </cell>
          <cell r="BJ106">
            <v>1948</v>
          </cell>
          <cell r="BK106">
            <v>420</v>
          </cell>
          <cell r="BL106">
            <v>0</v>
          </cell>
          <cell r="BM106">
            <v>227</v>
          </cell>
          <cell r="BN106">
            <v>0</v>
          </cell>
          <cell r="BO106">
            <v>0</v>
          </cell>
          <cell r="BP106">
            <v>0</v>
          </cell>
          <cell r="BQ106">
            <v>0</v>
          </cell>
          <cell r="BR106">
            <v>0</v>
          </cell>
          <cell r="BS106">
            <v>0</v>
          </cell>
          <cell r="BT106" t="str">
            <v>NULL</v>
          </cell>
          <cell r="BV106">
            <v>0</v>
          </cell>
          <cell r="BX106">
            <v>2837</v>
          </cell>
          <cell r="BY106">
            <v>0</v>
          </cell>
          <cell r="BZ106">
            <v>0</v>
          </cell>
          <cell r="CA106">
            <v>227</v>
          </cell>
          <cell r="CB106">
            <v>7817.8468847628001</v>
          </cell>
          <cell r="CC106">
            <v>0</v>
          </cell>
          <cell r="CD106">
            <v>0</v>
          </cell>
          <cell r="CE106">
            <v>0</v>
          </cell>
          <cell r="CF106">
            <v>0</v>
          </cell>
          <cell r="CG106">
            <v>0</v>
          </cell>
          <cell r="CM106">
            <v>0</v>
          </cell>
          <cell r="CZ106">
            <v>0.21931589537223339</v>
          </cell>
          <cell r="DA106">
            <v>0.14766512410601598</v>
          </cell>
          <cell r="DB106">
            <v>4283834.41</v>
          </cell>
          <cell r="DC106">
            <v>97.4</v>
          </cell>
          <cell r="DD106">
            <v>2.6</v>
          </cell>
          <cell r="DE106">
            <v>0</v>
          </cell>
          <cell r="DF106">
            <v>95.9</v>
          </cell>
          <cell r="DG106">
            <v>3.3</v>
          </cell>
          <cell r="DH106">
            <v>0.6</v>
          </cell>
          <cell r="DI106">
            <v>100</v>
          </cell>
          <cell r="DJ106">
            <v>99.7</v>
          </cell>
        </row>
        <row r="107">
          <cell r="A107">
            <v>860</v>
          </cell>
          <cell r="B107">
            <v>1.2544613948164999E-2</v>
          </cell>
          <cell r="C107">
            <v>3.4335798081412002E-3</v>
          </cell>
          <cell r="D107">
            <v>3.75987287937561E-2</v>
          </cell>
          <cell r="E107">
            <v>1.6474272094218801E-2</v>
          </cell>
          <cell r="F107">
            <v>6344</v>
          </cell>
          <cell r="G107">
            <v>2953</v>
          </cell>
          <cell r="H107">
            <v>290</v>
          </cell>
          <cell r="I107">
            <v>140</v>
          </cell>
          <cell r="J107">
            <v>0.11315420127591544</v>
          </cell>
          <cell r="K107">
            <v>0.18950719829409549</v>
          </cell>
          <cell r="L107">
            <v>2592</v>
          </cell>
          <cell r="M107">
            <v>3114</v>
          </cell>
          <cell r="N107">
            <v>272</v>
          </cell>
          <cell r="O107">
            <v>490</v>
          </cell>
          <cell r="P107">
            <v>25</v>
          </cell>
          <cell r="Q107">
            <v>0</v>
          </cell>
          <cell r="R107">
            <v>0</v>
          </cell>
          <cell r="S107">
            <v>8454</v>
          </cell>
          <cell r="T107">
            <v>52076</v>
          </cell>
          <cell r="U107">
            <v>7848</v>
          </cell>
          <cell r="V107">
            <v>1727</v>
          </cell>
          <cell r="W107">
            <v>0</v>
          </cell>
          <cell r="X107">
            <v>0.96823379923761099</v>
          </cell>
          <cell r="Y107">
            <v>79</v>
          </cell>
          <cell r="Z107">
            <v>397</v>
          </cell>
          <cell r="AA107">
            <v>190</v>
          </cell>
          <cell r="AB107">
            <v>0</v>
          </cell>
          <cell r="AC107">
            <v>200</v>
          </cell>
          <cell r="AD107">
            <v>0</v>
          </cell>
          <cell r="AE107">
            <v>2671</v>
          </cell>
          <cell r="AF107">
            <v>39515</v>
          </cell>
          <cell r="AG107">
            <v>14191</v>
          </cell>
          <cell r="AH107">
            <v>3471</v>
          </cell>
          <cell r="AI107">
            <v>0</v>
          </cell>
          <cell r="AJ107">
            <v>0.74587039390088905</v>
          </cell>
          <cell r="AK107">
            <v>80</v>
          </cell>
          <cell r="AL107">
            <v>397</v>
          </cell>
          <cell r="AM107">
            <v>0</v>
          </cell>
          <cell r="AN107">
            <v>268</v>
          </cell>
          <cell r="AO107">
            <v>36</v>
          </cell>
          <cell r="AP107">
            <v>0</v>
          </cell>
          <cell r="AQ107">
            <v>86</v>
          </cell>
          <cell r="AX107">
            <v>6474</v>
          </cell>
          <cell r="AY107">
            <v>10884</v>
          </cell>
          <cell r="AZ107">
            <v>94</v>
          </cell>
          <cell r="BA107">
            <v>30</v>
          </cell>
          <cell r="BB107">
            <v>376</v>
          </cell>
          <cell r="BC107">
            <v>21</v>
          </cell>
          <cell r="BD107">
            <v>51</v>
          </cell>
          <cell r="BE107">
            <v>215</v>
          </cell>
          <cell r="BF107">
            <v>0.21678321678321699</v>
          </cell>
          <cell r="BH107">
            <v>3174</v>
          </cell>
          <cell r="BI107">
            <v>4600</v>
          </cell>
          <cell r="BJ107">
            <v>32733</v>
          </cell>
          <cell r="BK107">
            <v>8424</v>
          </cell>
          <cell r="BL107">
            <v>4784</v>
          </cell>
          <cell r="BM107">
            <v>16390</v>
          </cell>
          <cell r="BN107">
            <v>42</v>
          </cell>
          <cell r="BO107">
            <v>60</v>
          </cell>
          <cell r="BP107">
            <v>423</v>
          </cell>
          <cell r="BQ107">
            <v>26</v>
          </cell>
          <cell r="BR107">
            <v>21</v>
          </cell>
          <cell r="BS107">
            <v>215</v>
          </cell>
          <cell r="BT107">
            <v>0.178321678321678</v>
          </cell>
          <cell r="BV107">
            <v>3531</v>
          </cell>
          <cell r="BX107">
            <v>34572</v>
          </cell>
          <cell r="BY107">
            <v>6332</v>
          </cell>
          <cell r="BZ107">
            <v>5854</v>
          </cell>
          <cell r="CA107">
            <v>16390</v>
          </cell>
          <cell r="CB107">
            <v>13853.134436944816</v>
          </cell>
          <cell r="CC107">
            <v>2567.3423209093312</v>
          </cell>
          <cell r="CD107">
            <v>20243.107677045078</v>
          </cell>
          <cell r="CE107">
            <v>7434.1722178819437</v>
          </cell>
          <cell r="CF107">
            <v>0</v>
          </cell>
          <cell r="CG107">
            <v>0</v>
          </cell>
          <cell r="CM107">
            <v>0</v>
          </cell>
          <cell r="CZ107">
            <v>0.13190368196371399</v>
          </cell>
          <cell r="DA107">
            <v>-8.7543508068769118E-3</v>
          </cell>
          <cell r="DB107">
            <v>108499598.17999999</v>
          </cell>
          <cell r="DC107">
            <v>93.9</v>
          </cell>
          <cell r="DD107">
            <v>4.2</v>
          </cell>
          <cell r="DE107">
            <v>0.7</v>
          </cell>
          <cell r="DF107">
            <v>90</v>
          </cell>
          <cell r="DG107">
            <v>6.2</v>
          </cell>
          <cell r="DH107">
            <v>1.3</v>
          </cell>
          <cell r="DI107">
            <v>98.8</v>
          </cell>
          <cell r="DJ107">
            <v>97.4</v>
          </cell>
        </row>
        <row r="108">
          <cell r="A108">
            <v>861</v>
          </cell>
          <cell r="B108">
            <v>-2.5658958779560301E-2</v>
          </cell>
          <cell r="C108">
            <v>-3.01612973729073E-3</v>
          </cell>
          <cell r="D108">
            <v>6.3709875030629696E-3</v>
          </cell>
          <cell r="E108">
            <v>9.4748019276321201E-3</v>
          </cell>
          <cell r="F108">
            <v>4085</v>
          </cell>
          <cell r="G108">
            <v>0</v>
          </cell>
          <cell r="H108">
            <v>0</v>
          </cell>
          <cell r="I108">
            <v>250</v>
          </cell>
          <cell r="J108">
            <v>7.178513949779862E-2</v>
          </cell>
          <cell r="K108">
            <v>5.1386999006869036E-2</v>
          </cell>
          <cell r="L108">
            <v>225</v>
          </cell>
          <cell r="M108">
            <v>60</v>
          </cell>
          <cell r="N108">
            <v>60</v>
          </cell>
          <cell r="O108">
            <v>90</v>
          </cell>
          <cell r="P108">
            <v>0</v>
          </cell>
          <cell r="Q108">
            <v>0</v>
          </cell>
          <cell r="R108">
            <v>0</v>
          </cell>
          <cell r="S108">
            <v>3480</v>
          </cell>
          <cell r="T108">
            <v>17054</v>
          </cell>
          <cell r="U108">
            <v>2445</v>
          </cell>
          <cell r="V108">
            <v>0</v>
          </cell>
          <cell r="W108">
            <v>0</v>
          </cell>
          <cell r="X108">
            <v>1</v>
          </cell>
          <cell r="Y108">
            <v>1</v>
          </cell>
          <cell r="Z108">
            <v>0</v>
          </cell>
          <cell r="AA108">
            <v>0</v>
          </cell>
          <cell r="AB108">
            <v>0</v>
          </cell>
          <cell r="AC108">
            <v>0</v>
          </cell>
          <cell r="AD108">
            <v>0</v>
          </cell>
          <cell r="AE108">
            <v>1060</v>
          </cell>
          <cell r="AF108">
            <v>9185</v>
          </cell>
          <cell r="AG108">
            <v>4350</v>
          </cell>
          <cell r="AH108">
            <v>0</v>
          </cell>
          <cell r="AI108">
            <v>0</v>
          </cell>
          <cell r="AJ108" t="str">
            <v>NULL</v>
          </cell>
          <cell r="AK108" t="str">
            <v>NULL</v>
          </cell>
          <cell r="AL108">
            <v>0</v>
          </cell>
          <cell r="AM108">
            <v>0</v>
          </cell>
          <cell r="AN108">
            <v>0</v>
          </cell>
          <cell r="AO108">
            <v>0</v>
          </cell>
          <cell r="AP108">
            <v>0</v>
          </cell>
          <cell r="AQ108">
            <v>0</v>
          </cell>
          <cell r="AX108">
            <v>3385</v>
          </cell>
          <cell r="AY108">
            <v>300</v>
          </cell>
          <cell r="AZ108">
            <v>0</v>
          </cell>
          <cell r="BA108">
            <v>0</v>
          </cell>
          <cell r="BB108">
            <v>150</v>
          </cell>
          <cell r="BC108">
            <v>0</v>
          </cell>
          <cell r="BD108">
            <v>0</v>
          </cell>
          <cell r="BE108">
            <v>0</v>
          </cell>
          <cell r="BF108">
            <v>0</v>
          </cell>
          <cell r="BH108">
            <v>1050</v>
          </cell>
          <cell r="BI108">
            <v>2229</v>
          </cell>
          <cell r="BJ108">
            <v>11987</v>
          </cell>
          <cell r="BK108">
            <v>3528</v>
          </cell>
          <cell r="BL108">
            <v>1635</v>
          </cell>
          <cell r="BM108">
            <v>2550</v>
          </cell>
          <cell r="BN108">
            <v>0</v>
          </cell>
          <cell r="BO108">
            <v>0</v>
          </cell>
          <cell r="BP108">
            <v>120</v>
          </cell>
          <cell r="BQ108">
            <v>30</v>
          </cell>
          <cell r="BR108">
            <v>0</v>
          </cell>
          <cell r="BS108">
            <v>0</v>
          </cell>
          <cell r="BT108">
            <v>0</v>
          </cell>
          <cell r="BV108">
            <v>1704</v>
          </cell>
          <cell r="BX108">
            <v>11865</v>
          </cell>
          <cell r="BY108">
            <v>3306</v>
          </cell>
          <cell r="BZ108">
            <v>2684</v>
          </cell>
          <cell r="CA108">
            <v>2550</v>
          </cell>
          <cell r="CB108">
            <v>8355.6469106086006</v>
          </cell>
          <cell r="CC108">
            <v>4912.9586385268667</v>
          </cell>
          <cell r="CD108">
            <v>0</v>
          </cell>
          <cell r="CE108">
            <v>0</v>
          </cell>
          <cell r="CF108">
            <v>0</v>
          </cell>
          <cell r="CG108">
            <v>0</v>
          </cell>
          <cell r="CM108">
            <v>0</v>
          </cell>
          <cell r="CZ108">
            <v>0.21079539339145409</v>
          </cell>
          <cell r="DA108">
            <v>0.10996455297361166</v>
          </cell>
          <cell r="DB108">
            <v>21138677.979999997</v>
          </cell>
          <cell r="DC108">
            <v>90.6</v>
          </cell>
          <cell r="DD108">
            <v>3.9</v>
          </cell>
          <cell r="DE108">
            <v>1.2</v>
          </cell>
          <cell r="DF108">
            <v>85.5</v>
          </cell>
          <cell r="DG108">
            <v>8.1999999999999993</v>
          </cell>
          <cell r="DH108">
            <v>1.5</v>
          </cell>
          <cell r="DI108">
            <v>95.6</v>
          </cell>
          <cell r="DJ108">
            <v>95.2</v>
          </cell>
        </row>
        <row r="109">
          <cell r="A109">
            <v>865</v>
          </cell>
          <cell r="B109">
            <v>4.7406434668417603E-2</v>
          </cell>
          <cell r="C109">
            <v>2.9809586342744599E-2</v>
          </cell>
          <cell r="D109">
            <v>7.4817068157526895E-2</v>
          </cell>
          <cell r="E109">
            <v>2.11296555126202E-2</v>
          </cell>
          <cell r="F109">
            <v>4704</v>
          </cell>
          <cell r="G109">
            <v>2464</v>
          </cell>
          <cell r="H109">
            <v>60</v>
          </cell>
          <cell r="I109">
            <v>310</v>
          </cell>
          <cell r="J109">
            <v>0.11617720441593279</v>
          </cell>
          <cell r="K109">
            <v>0.14478106132107188</v>
          </cell>
          <cell r="L109">
            <v>1944</v>
          </cell>
          <cell r="M109">
            <v>1220</v>
          </cell>
          <cell r="N109">
            <v>135</v>
          </cell>
          <cell r="O109">
            <v>748</v>
          </cell>
          <cell r="P109">
            <v>0</v>
          </cell>
          <cell r="Q109">
            <v>31</v>
          </cell>
          <cell r="R109">
            <v>0</v>
          </cell>
          <cell r="S109">
            <v>6255</v>
          </cell>
          <cell r="T109">
            <v>28180</v>
          </cell>
          <cell r="U109">
            <v>6519</v>
          </cell>
          <cell r="V109">
            <v>2284</v>
          </cell>
          <cell r="W109">
            <v>0</v>
          </cell>
          <cell r="X109">
            <v>0.966083150984683</v>
          </cell>
          <cell r="Y109">
            <v>80</v>
          </cell>
          <cell r="Z109">
            <v>0</v>
          </cell>
          <cell r="AA109">
            <v>434</v>
          </cell>
          <cell r="AB109">
            <v>0</v>
          </cell>
          <cell r="AC109">
            <v>0</v>
          </cell>
          <cell r="AD109">
            <v>0</v>
          </cell>
          <cell r="AE109">
            <v>7878</v>
          </cell>
          <cell r="AF109">
            <v>21840</v>
          </cell>
          <cell r="AG109">
            <v>4921</v>
          </cell>
          <cell r="AH109">
            <v>600</v>
          </cell>
          <cell r="AI109">
            <v>0</v>
          </cell>
          <cell r="AJ109">
            <v>1</v>
          </cell>
          <cell r="AK109">
            <v>1</v>
          </cell>
          <cell r="AL109">
            <v>0</v>
          </cell>
          <cell r="AM109">
            <v>60</v>
          </cell>
          <cell r="AN109">
            <v>215</v>
          </cell>
          <cell r="AO109">
            <v>159</v>
          </cell>
          <cell r="AP109">
            <v>0</v>
          </cell>
          <cell r="AQ109">
            <v>0</v>
          </cell>
          <cell r="AX109">
            <v>1597</v>
          </cell>
          <cell r="AY109">
            <v>600</v>
          </cell>
          <cell r="AZ109">
            <v>30</v>
          </cell>
          <cell r="BA109">
            <v>0</v>
          </cell>
          <cell r="BB109">
            <v>463</v>
          </cell>
          <cell r="BC109">
            <v>150</v>
          </cell>
          <cell r="BD109">
            <v>241</v>
          </cell>
          <cell r="BE109">
            <v>30</v>
          </cell>
          <cell r="BF109">
            <v>3.3936651583710398E-2</v>
          </cell>
          <cell r="BH109">
            <v>1557</v>
          </cell>
          <cell r="BI109">
            <v>870</v>
          </cell>
          <cell r="BJ109">
            <v>25039</v>
          </cell>
          <cell r="BK109">
            <v>7354</v>
          </cell>
          <cell r="BL109">
            <v>5531</v>
          </cell>
          <cell r="BM109">
            <v>2887</v>
          </cell>
          <cell r="BN109">
            <v>50</v>
          </cell>
          <cell r="BO109">
            <v>30</v>
          </cell>
          <cell r="BP109">
            <v>743</v>
          </cell>
          <cell r="BQ109">
            <v>61</v>
          </cell>
          <cell r="BR109">
            <v>0</v>
          </cell>
          <cell r="BS109">
            <v>30</v>
          </cell>
          <cell r="BT109">
            <v>9.0497737556561098E-2</v>
          </cell>
          <cell r="BV109">
            <v>2317</v>
          </cell>
          <cell r="BX109">
            <v>27901</v>
          </cell>
          <cell r="BY109">
            <v>5397</v>
          </cell>
          <cell r="BZ109">
            <v>2084</v>
          </cell>
          <cell r="CA109">
            <v>2887</v>
          </cell>
          <cell r="CB109">
            <v>18799.297143552019</v>
          </cell>
          <cell r="CC109">
            <v>6638.1105612425517</v>
          </cell>
          <cell r="CD109">
            <v>20497.231046524732</v>
          </cell>
          <cell r="CE109">
            <v>18552.490216009835</v>
          </cell>
          <cell r="CF109">
            <v>0</v>
          </cell>
          <cell r="CG109">
            <v>0</v>
          </cell>
          <cell r="CM109">
            <v>0</v>
          </cell>
          <cell r="CZ109">
            <v>0.23515698772426818</v>
          </cell>
          <cell r="DA109">
            <v>0.12199036918138041</v>
          </cell>
          <cell r="DB109">
            <v>65069966.440000005</v>
          </cell>
          <cell r="DC109">
            <v>93.5</v>
          </cell>
          <cell r="DD109">
            <v>4.4000000000000004</v>
          </cell>
          <cell r="DE109">
            <v>1</v>
          </cell>
          <cell r="DF109">
            <v>92.5</v>
          </cell>
          <cell r="DG109">
            <v>4.8</v>
          </cell>
          <cell r="DH109">
            <v>0.6</v>
          </cell>
          <cell r="DI109">
            <v>98.9</v>
          </cell>
          <cell r="DJ109">
            <v>97.9</v>
          </cell>
        </row>
        <row r="110">
          <cell r="A110">
            <v>866</v>
          </cell>
          <cell r="B110">
            <v>4.54567767905356E-2</v>
          </cell>
          <cell r="C110">
            <v>5.2525649207206303E-3</v>
          </cell>
          <cell r="D110">
            <v>8.9369708372530592E-3</v>
          </cell>
          <cell r="E110">
            <v>2.29539040451552E-2</v>
          </cell>
          <cell r="F110">
            <v>3893</v>
          </cell>
          <cell r="G110">
            <v>2145</v>
          </cell>
          <cell r="H110">
            <v>10</v>
          </cell>
          <cell r="I110">
            <v>170</v>
          </cell>
          <cell r="J110">
            <v>9.1147351630631493E-2</v>
          </cell>
          <cell r="K110">
            <v>0.20128404169178185</v>
          </cell>
          <cell r="L110">
            <v>840</v>
          </cell>
          <cell r="M110">
            <v>780</v>
          </cell>
          <cell r="N110">
            <v>0</v>
          </cell>
          <cell r="O110">
            <v>109</v>
          </cell>
          <cell r="P110">
            <v>0</v>
          </cell>
          <cell r="Q110">
            <v>0</v>
          </cell>
          <cell r="R110">
            <v>0</v>
          </cell>
          <cell r="S110">
            <v>3350</v>
          </cell>
          <cell r="T110">
            <v>15086</v>
          </cell>
          <cell r="U110">
            <v>3312</v>
          </cell>
          <cell r="V110">
            <v>0</v>
          </cell>
          <cell r="W110">
            <v>0</v>
          </cell>
          <cell r="X110">
            <v>1</v>
          </cell>
          <cell r="Y110">
            <v>1</v>
          </cell>
          <cell r="Z110">
            <v>0</v>
          </cell>
          <cell r="AA110">
            <v>0</v>
          </cell>
          <cell r="AB110">
            <v>0</v>
          </cell>
          <cell r="AC110">
            <v>0</v>
          </cell>
          <cell r="AD110">
            <v>0</v>
          </cell>
          <cell r="AE110">
            <v>0</v>
          </cell>
          <cell r="AF110">
            <v>7864</v>
          </cell>
          <cell r="AG110">
            <v>3856</v>
          </cell>
          <cell r="AH110">
            <v>3034</v>
          </cell>
          <cell r="AI110">
            <v>0</v>
          </cell>
          <cell r="AJ110" t="str">
            <v>NULL</v>
          </cell>
          <cell r="AK110" t="str">
            <v>NULL</v>
          </cell>
          <cell r="AL110">
            <v>0</v>
          </cell>
          <cell r="AM110">
            <v>0</v>
          </cell>
          <cell r="AN110">
            <v>0</v>
          </cell>
          <cell r="AO110">
            <v>0</v>
          </cell>
          <cell r="AP110">
            <v>0</v>
          </cell>
          <cell r="AQ110">
            <v>0</v>
          </cell>
          <cell r="AX110">
            <v>0</v>
          </cell>
          <cell r="AY110">
            <v>600</v>
          </cell>
          <cell r="AZ110">
            <v>0</v>
          </cell>
          <cell r="BA110">
            <v>0</v>
          </cell>
          <cell r="BB110">
            <v>60</v>
          </cell>
          <cell r="BC110">
            <v>0</v>
          </cell>
          <cell r="BD110">
            <v>49</v>
          </cell>
          <cell r="BE110">
            <v>0</v>
          </cell>
          <cell r="BF110">
            <v>0</v>
          </cell>
          <cell r="BH110">
            <v>980</v>
          </cell>
          <cell r="BI110">
            <v>1564</v>
          </cell>
          <cell r="BJ110">
            <v>11179</v>
          </cell>
          <cell r="BK110">
            <v>2809</v>
          </cell>
          <cell r="BL110">
            <v>2314</v>
          </cell>
          <cell r="BM110">
            <v>2902</v>
          </cell>
          <cell r="BN110">
            <v>60</v>
          </cell>
          <cell r="BO110">
            <v>0</v>
          </cell>
          <cell r="BP110">
            <v>0</v>
          </cell>
          <cell r="BQ110">
            <v>0</v>
          </cell>
          <cell r="BR110">
            <v>49</v>
          </cell>
          <cell r="BS110">
            <v>0</v>
          </cell>
          <cell r="BT110">
            <v>0.55045871559632997</v>
          </cell>
          <cell r="BV110">
            <v>2164</v>
          </cell>
          <cell r="BX110">
            <v>10655</v>
          </cell>
          <cell r="BY110">
            <v>1100</v>
          </cell>
          <cell r="BZ110">
            <v>1994</v>
          </cell>
          <cell r="CA110">
            <v>2902</v>
          </cell>
          <cell r="CB110">
            <v>5162.73849607183</v>
          </cell>
          <cell r="CC110">
            <v>12400.695407231357</v>
          </cell>
          <cell r="CD110">
            <v>0</v>
          </cell>
          <cell r="CE110">
            <v>98045.330329315475</v>
          </cell>
          <cell r="CF110">
            <v>0</v>
          </cell>
          <cell r="CG110">
            <v>0</v>
          </cell>
          <cell r="CM110">
            <v>0</v>
          </cell>
          <cell r="CZ110">
            <v>0.33050256670257938</v>
          </cell>
          <cell r="DA110">
            <v>0.11552244436061863</v>
          </cell>
          <cell r="DB110">
            <v>26046095.059999999</v>
          </cell>
          <cell r="DC110">
            <v>91.7</v>
          </cell>
          <cell r="DD110">
            <v>5.2</v>
          </cell>
          <cell r="DE110">
            <v>1</v>
          </cell>
          <cell r="DF110">
            <v>89.5</v>
          </cell>
          <cell r="DG110">
            <v>6.6</v>
          </cell>
          <cell r="DH110">
            <v>1</v>
          </cell>
          <cell r="DI110">
            <v>97.9</v>
          </cell>
          <cell r="DJ110">
            <v>97.1</v>
          </cell>
        </row>
        <row r="111">
          <cell r="A111">
            <v>867</v>
          </cell>
          <cell r="B111">
            <v>7.8208955223880605E-2</v>
          </cell>
          <cell r="C111">
            <v>2.6467661691542299E-2</v>
          </cell>
          <cell r="D111">
            <v>5.15254237288136E-2</v>
          </cell>
          <cell r="E111">
            <v>1.47457627118644E-2</v>
          </cell>
          <cell r="F111">
            <v>1810</v>
          </cell>
          <cell r="G111">
            <v>916</v>
          </cell>
          <cell r="H111">
            <v>0</v>
          </cell>
          <cell r="I111">
            <v>30</v>
          </cell>
          <cell r="J111">
            <v>0.15298570141596537</v>
          </cell>
          <cell r="K111">
            <v>0.2089878108091909</v>
          </cell>
          <cell r="L111">
            <v>720</v>
          </cell>
          <cell r="M111">
            <v>1050</v>
          </cell>
          <cell r="N111">
            <v>0</v>
          </cell>
          <cell r="O111">
            <v>30</v>
          </cell>
          <cell r="P111">
            <v>30</v>
          </cell>
          <cell r="Q111">
            <v>0</v>
          </cell>
          <cell r="R111">
            <v>0</v>
          </cell>
          <cell r="S111">
            <v>839</v>
          </cell>
          <cell r="T111">
            <v>5861</v>
          </cell>
          <cell r="U111">
            <v>3420</v>
          </cell>
          <cell r="V111">
            <v>0</v>
          </cell>
          <cell r="W111">
            <v>0</v>
          </cell>
          <cell r="X111">
            <v>0.5</v>
          </cell>
          <cell r="Y111">
            <v>130</v>
          </cell>
          <cell r="Z111">
            <v>0</v>
          </cell>
          <cell r="AA111">
            <v>0</v>
          </cell>
          <cell r="AB111">
            <v>0</v>
          </cell>
          <cell r="AC111">
            <v>0</v>
          </cell>
          <cell r="AD111">
            <v>0</v>
          </cell>
          <cell r="AE111">
            <v>2625</v>
          </cell>
          <cell r="AF111">
            <v>2538</v>
          </cell>
          <cell r="AG111">
            <v>1972</v>
          </cell>
          <cell r="AH111">
            <v>0</v>
          </cell>
          <cell r="AI111">
            <v>0</v>
          </cell>
          <cell r="AJ111" t="str">
            <v>NULL</v>
          </cell>
          <cell r="AK111" t="str">
            <v>NULL</v>
          </cell>
          <cell r="AL111">
            <v>0</v>
          </cell>
          <cell r="AM111">
            <v>0</v>
          </cell>
          <cell r="AN111">
            <v>0</v>
          </cell>
          <cell r="AO111">
            <v>0</v>
          </cell>
          <cell r="AP111">
            <v>0</v>
          </cell>
          <cell r="AQ111">
            <v>0</v>
          </cell>
          <cell r="AX111">
            <v>0</v>
          </cell>
          <cell r="AY111">
            <v>1470</v>
          </cell>
          <cell r="AZ111">
            <v>0</v>
          </cell>
          <cell r="BA111">
            <v>0</v>
          </cell>
          <cell r="BB111">
            <v>60</v>
          </cell>
          <cell r="BC111">
            <v>0</v>
          </cell>
          <cell r="BD111">
            <v>0</v>
          </cell>
          <cell r="BE111">
            <v>0</v>
          </cell>
          <cell r="BF111">
            <v>0</v>
          </cell>
          <cell r="BH111">
            <v>209</v>
          </cell>
          <cell r="BI111">
            <v>420</v>
          </cell>
          <cell r="BJ111">
            <v>4873</v>
          </cell>
          <cell r="BK111">
            <v>3029</v>
          </cell>
          <cell r="BL111">
            <v>630</v>
          </cell>
          <cell r="BM111">
            <v>959</v>
          </cell>
          <cell r="BN111">
            <v>0</v>
          </cell>
          <cell r="BO111">
            <v>0</v>
          </cell>
          <cell r="BP111">
            <v>60</v>
          </cell>
          <cell r="BQ111">
            <v>0</v>
          </cell>
          <cell r="BR111">
            <v>0</v>
          </cell>
          <cell r="BS111">
            <v>0</v>
          </cell>
          <cell r="BT111">
            <v>0</v>
          </cell>
          <cell r="BV111">
            <v>669</v>
          </cell>
          <cell r="BX111">
            <v>4191</v>
          </cell>
          <cell r="BY111">
            <v>2490</v>
          </cell>
          <cell r="BZ111">
            <v>749</v>
          </cell>
          <cell r="CA111">
            <v>959</v>
          </cell>
          <cell r="CB111">
            <v>22099.437429408445</v>
          </cell>
          <cell r="CC111">
            <v>27041.134483867198</v>
          </cell>
          <cell r="CD111">
            <v>0</v>
          </cell>
          <cell r="CE111">
            <v>28022.561184559603</v>
          </cell>
          <cell r="CF111">
            <v>0</v>
          </cell>
          <cell r="CG111">
            <v>0</v>
          </cell>
          <cell r="CM111">
            <v>0</v>
          </cell>
          <cell r="CZ111">
            <v>0.21249699012761858</v>
          </cell>
          <cell r="DA111">
            <v>0.19992769342010122</v>
          </cell>
          <cell r="DB111">
            <v>51466907.520000003</v>
          </cell>
          <cell r="DC111">
            <v>93.5</v>
          </cell>
          <cell r="DD111">
            <v>4.5999999999999996</v>
          </cell>
          <cell r="DE111">
            <v>1</v>
          </cell>
          <cell r="DF111">
            <v>77.2</v>
          </cell>
          <cell r="DG111">
            <v>11.6</v>
          </cell>
          <cell r="DH111">
            <v>4.4000000000000004</v>
          </cell>
          <cell r="DI111">
            <v>99.1</v>
          </cell>
          <cell r="DJ111">
            <v>93.2</v>
          </cell>
        </row>
        <row r="112">
          <cell r="A112">
            <v>868</v>
          </cell>
          <cell r="B112">
            <v>1.9869304132815301E-2</v>
          </cell>
          <cell r="C112">
            <v>4.5037089367714602E-3</v>
          </cell>
          <cell r="D112">
            <v>5.5268595041322303E-2</v>
          </cell>
          <cell r="E112">
            <v>5.9400826446281002E-3</v>
          </cell>
          <cell r="F112">
            <v>2442</v>
          </cell>
          <cell r="G112">
            <v>1520</v>
          </cell>
          <cell r="H112">
            <v>10</v>
          </cell>
          <cell r="I112">
            <v>0</v>
          </cell>
          <cell r="J112">
            <v>0.11563917676115841</v>
          </cell>
          <cell r="K112">
            <v>0.1922634895914607</v>
          </cell>
          <cell r="L112">
            <v>325</v>
          </cell>
          <cell r="M112">
            <v>830</v>
          </cell>
          <cell r="N112">
            <v>116</v>
          </cell>
          <cell r="O112">
            <v>0</v>
          </cell>
          <cell r="P112">
            <v>15</v>
          </cell>
          <cell r="Q112">
            <v>0</v>
          </cell>
          <cell r="R112">
            <v>0</v>
          </cell>
          <cell r="S112">
            <v>3617</v>
          </cell>
          <cell r="T112">
            <v>6813</v>
          </cell>
          <cell r="U112">
            <v>1644</v>
          </cell>
          <cell r="V112">
            <v>0</v>
          </cell>
          <cell r="W112">
            <v>0</v>
          </cell>
          <cell r="X112">
            <v>0.88549618320610701</v>
          </cell>
          <cell r="Y112">
            <v>94</v>
          </cell>
          <cell r="Z112">
            <v>110</v>
          </cell>
          <cell r="AA112">
            <v>56</v>
          </cell>
          <cell r="AB112">
            <v>15</v>
          </cell>
          <cell r="AC112">
            <v>0</v>
          </cell>
          <cell r="AD112">
            <v>0</v>
          </cell>
          <cell r="AE112">
            <v>2922</v>
          </cell>
          <cell r="AF112">
            <v>8100</v>
          </cell>
          <cell r="AG112">
            <v>300</v>
          </cell>
          <cell r="AH112">
            <v>0</v>
          </cell>
          <cell r="AI112">
            <v>0</v>
          </cell>
          <cell r="AJ112">
            <v>0.91712707182320397</v>
          </cell>
          <cell r="AK112">
            <v>69</v>
          </cell>
          <cell r="AL112">
            <v>0</v>
          </cell>
          <cell r="AM112">
            <v>0</v>
          </cell>
          <cell r="AN112">
            <v>0</v>
          </cell>
          <cell r="AO112">
            <v>0</v>
          </cell>
          <cell r="AP112">
            <v>0</v>
          </cell>
          <cell r="AQ112">
            <v>181</v>
          </cell>
          <cell r="AX112">
            <v>0</v>
          </cell>
          <cell r="AY112">
            <v>2750</v>
          </cell>
          <cell r="AZ112">
            <v>0</v>
          </cell>
          <cell r="BA112">
            <v>0</v>
          </cell>
          <cell r="BB112">
            <v>116</v>
          </cell>
          <cell r="BC112">
            <v>0</v>
          </cell>
          <cell r="BD112">
            <v>0</v>
          </cell>
          <cell r="BE112">
            <v>15</v>
          </cell>
          <cell r="BF112">
            <v>0</v>
          </cell>
          <cell r="BH112">
            <v>2370</v>
          </cell>
          <cell r="BI112">
            <v>630</v>
          </cell>
          <cell r="BJ112">
            <v>3400</v>
          </cell>
          <cell r="BK112">
            <v>735</v>
          </cell>
          <cell r="BL112">
            <v>210</v>
          </cell>
          <cell r="BM112">
            <v>4729</v>
          </cell>
          <cell r="BN112">
            <v>0</v>
          </cell>
          <cell r="BO112">
            <v>0</v>
          </cell>
          <cell r="BP112">
            <v>116</v>
          </cell>
          <cell r="BQ112">
            <v>0</v>
          </cell>
          <cell r="BR112">
            <v>0</v>
          </cell>
          <cell r="BS112">
            <v>15</v>
          </cell>
          <cell r="BT112">
            <v>0</v>
          </cell>
          <cell r="BV112">
            <v>1470</v>
          </cell>
          <cell r="BX112">
            <v>3070</v>
          </cell>
          <cell r="BY112">
            <v>1200</v>
          </cell>
          <cell r="BZ112">
            <v>315</v>
          </cell>
          <cell r="CA112">
            <v>4729</v>
          </cell>
          <cell r="CB112">
            <v>8803.7677700197091</v>
          </cell>
          <cell r="CC112">
            <v>7816.4428164428155</v>
          </cell>
          <cell r="CD112">
            <v>0</v>
          </cell>
          <cell r="CE112">
            <v>16637.089958775032</v>
          </cell>
          <cell r="CF112">
            <v>0</v>
          </cell>
          <cell r="CG112">
            <v>0</v>
          </cell>
          <cell r="CM112">
            <v>0</v>
          </cell>
          <cell r="CZ112">
            <v>0.26201463140123804</v>
          </cell>
          <cell r="DA112">
            <v>0.10191660191660191</v>
          </cell>
          <cell r="DB112">
            <v>30772888.849999998</v>
          </cell>
          <cell r="DC112">
            <v>87.3</v>
          </cell>
          <cell r="DD112">
            <v>8.1999999999999993</v>
          </cell>
          <cell r="DE112">
            <v>1.9</v>
          </cell>
          <cell r="DF112">
            <v>79.400000000000006</v>
          </cell>
          <cell r="DG112">
            <v>8.3000000000000007</v>
          </cell>
          <cell r="DH112">
            <v>2.7</v>
          </cell>
          <cell r="DI112">
            <v>97.5</v>
          </cell>
          <cell r="DJ112">
            <v>90.5</v>
          </cell>
        </row>
        <row r="113">
          <cell r="A113">
            <v>869</v>
          </cell>
          <cell r="B113">
            <v>3.3016734509271797E-2</v>
          </cell>
          <cell r="C113">
            <v>2.1106588270767401E-2</v>
          </cell>
          <cell r="D113">
            <v>3.33882482152663E-2</v>
          </cell>
          <cell r="E113">
            <v>9.3355299286106506E-3</v>
          </cell>
          <cell r="F113">
            <v>1443</v>
          </cell>
          <cell r="G113">
            <v>298</v>
          </cell>
          <cell r="H113">
            <v>150</v>
          </cell>
          <cell r="I113">
            <v>240</v>
          </cell>
          <cell r="J113">
            <v>7.8236874130862014E-2</v>
          </cell>
          <cell r="K113">
            <v>9.3115758585362765E-2</v>
          </cell>
          <cell r="L113">
            <v>343</v>
          </cell>
          <cell r="M113">
            <v>0</v>
          </cell>
          <cell r="N113">
            <v>15</v>
          </cell>
          <cell r="O113">
            <v>39</v>
          </cell>
          <cell r="P113">
            <v>0</v>
          </cell>
          <cell r="Q113">
            <v>0</v>
          </cell>
          <cell r="R113">
            <v>0</v>
          </cell>
          <cell r="S113">
            <v>1275</v>
          </cell>
          <cell r="T113">
            <v>11451</v>
          </cell>
          <cell r="U113">
            <v>1495</v>
          </cell>
          <cell r="V113">
            <v>209</v>
          </cell>
          <cell r="W113">
            <v>0</v>
          </cell>
          <cell r="X113">
            <v>1</v>
          </cell>
          <cell r="Y113">
            <v>1</v>
          </cell>
          <cell r="Z113">
            <v>0</v>
          </cell>
          <cell r="AA113">
            <v>0</v>
          </cell>
          <cell r="AB113">
            <v>0</v>
          </cell>
          <cell r="AC113">
            <v>0</v>
          </cell>
          <cell r="AD113">
            <v>0</v>
          </cell>
          <cell r="AE113">
            <v>3039</v>
          </cell>
          <cell r="AF113">
            <v>7952</v>
          </cell>
          <cell r="AG113">
            <v>0</v>
          </cell>
          <cell r="AH113">
            <v>0</v>
          </cell>
          <cell r="AI113">
            <v>0</v>
          </cell>
          <cell r="AJ113" t="str">
            <v>NULL</v>
          </cell>
          <cell r="AK113" t="str">
            <v>NULL</v>
          </cell>
          <cell r="AL113">
            <v>0</v>
          </cell>
          <cell r="AM113">
            <v>0</v>
          </cell>
          <cell r="AN113">
            <v>0</v>
          </cell>
          <cell r="AO113">
            <v>0</v>
          </cell>
          <cell r="AP113">
            <v>0</v>
          </cell>
          <cell r="AQ113">
            <v>0</v>
          </cell>
          <cell r="AX113">
            <v>0</v>
          </cell>
          <cell r="AY113">
            <v>0</v>
          </cell>
          <cell r="AZ113">
            <v>0</v>
          </cell>
          <cell r="BA113">
            <v>39</v>
          </cell>
          <cell r="BB113">
            <v>15</v>
          </cell>
          <cell r="BC113">
            <v>0</v>
          </cell>
          <cell r="BD113">
            <v>0</v>
          </cell>
          <cell r="BE113">
            <v>0</v>
          </cell>
          <cell r="BF113">
            <v>0.72222222222222199</v>
          </cell>
          <cell r="BH113">
            <v>625</v>
          </cell>
          <cell r="BI113">
            <v>745</v>
          </cell>
          <cell r="BJ113">
            <v>7759</v>
          </cell>
          <cell r="BK113">
            <v>2566</v>
          </cell>
          <cell r="BL113">
            <v>989</v>
          </cell>
          <cell r="BM113">
            <v>1746</v>
          </cell>
          <cell r="BN113">
            <v>0</v>
          </cell>
          <cell r="BO113">
            <v>54</v>
          </cell>
          <cell r="BP113">
            <v>0</v>
          </cell>
          <cell r="BQ113">
            <v>0</v>
          </cell>
          <cell r="BR113">
            <v>0</v>
          </cell>
          <cell r="BS113">
            <v>0</v>
          </cell>
          <cell r="BT113">
            <v>1</v>
          </cell>
          <cell r="BV113">
            <v>565</v>
          </cell>
          <cell r="BX113">
            <v>8286</v>
          </cell>
          <cell r="BY113">
            <v>1439</v>
          </cell>
          <cell r="BZ113">
            <v>884</v>
          </cell>
          <cell r="CA113">
            <v>1746</v>
          </cell>
          <cell r="CB113">
            <v>20338.269867675306</v>
          </cell>
          <cell r="CC113">
            <v>4325.5533518635793</v>
          </cell>
          <cell r="CD113">
            <v>0</v>
          </cell>
          <cell r="CE113">
            <v>0</v>
          </cell>
          <cell r="CF113">
            <v>0</v>
          </cell>
          <cell r="CG113">
            <v>0</v>
          </cell>
          <cell r="CM113">
            <v>0</v>
          </cell>
          <cell r="CZ113">
            <v>0.16116292748508529</v>
          </cell>
          <cell r="DA113">
            <v>2.9165816846828473E-2</v>
          </cell>
          <cell r="DB113">
            <v>32047920.150000002</v>
          </cell>
          <cell r="DC113">
            <v>93.2</v>
          </cell>
          <cell r="DD113">
            <v>3.9</v>
          </cell>
          <cell r="DE113">
            <v>1.3</v>
          </cell>
          <cell r="DF113">
            <v>92</v>
          </cell>
          <cell r="DG113">
            <v>5.0999999999999996</v>
          </cell>
          <cell r="DH113">
            <v>0.8</v>
          </cell>
          <cell r="DI113">
            <v>98.4</v>
          </cell>
          <cell r="DJ113">
            <v>97.9</v>
          </cell>
        </row>
        <row r="114">
          <cell r="A114">
            <v>870</v>
          </cell>
          <cell r="B114">
            <v>6.8902854546831205E-2</v>
          </cell>
          <cell r="C114">
            <v>2.4683879760732899E-2</v>
          </cell>
          <cell r="D114">
            <v>7.3963515754560505E-2</v>
          </cell>
          <cell r="E114">
            <v>-5.1409618573797699E-3</v>
          </cell>
          <cell r="F114">
            <v>4095</v>
          </cell>
          <cell r="G114">
            <v>2876</v>
          </cell>
          <cell r="H114">
            <v>0</v>
          </cell>
          <cell r="I114">
            <v>140</v>
          </cell>
          <cell r="J114">
            <v>9.9391348400003382E-2</v>
          </cell>
          <cell r="K114">
            <v>0.19998045985268831</v>
          </cell>
          <cell r="L114">
            <v>0</v>
          </cell>
          <cell r="M114">
            <v>160</v>
          </cell>
          <cell r="N114">
            <v>0</v>
          </cell>
          <cell r="O114">
            <v>0</v>
          </cell>
          <cell r="P114">
            <v>0</v>
          </cell>
          <cell r="Q114">
            <v>0</v>
          </cell>
          <cell r="R114">
            <v>0</v>
          </cell>
          <cell r="S114">
            <v>2510</v>
          </cell>
          <cell r="T114">
            <v>9598</v>
          </cell>
          <cell r="U114">
            <v>1680</v>
          </cell>
          <cell r="V114">
            <v>420</v>
          </cell>
          <cell r="W114">
            <v>0</v>
          </cell>
          <cell r="X114" t="str">
            <v>NULL</v>
          </cell>
          <cell r="Y114" t="str">
            <v>NULL</v>
          </cell>
          <cell r="Z114">
            <v>0</v>
          </cell>
          <cell r="AA114">
            <v>0</v>
          </cell>
          <cell r="AB114">
            <v>0</v>
          </cell>
          <cell r="AC114">
            <v>0</v>
          </cell>
          <cell r="AD114">
            <v>0</v>
          </cell>
          <cell r="AE114">
            <v>2277</v>
          </cell>
          <cell r="AF114">
            <v>4438</v>
          </cell>
          <cell r="AG114">
            <v>2650</v>
          </cell>
          <cell r="AH114">
            <v>0</v>
          </cell>
          <cell r="AI114">
            <v>0</v>
          </cell>
          <cell r="AJ114" t="str">
            <v>NULL</v>
          </cell>
          <cell r="AK114" t="str">
            <v>NULL</v>
          </cell>
          <cell r="AL114">
            <v>0</v>
          </cell>
          <cell r="AM114">
            <v>0</v>
          </cell>
          <cell r="AN114">
            <v>0</v>
          </cell>
          <cell r="AO114">
            <v>0</v>
          </cell>
          <cell r="AP114">
            <v>0</v>
          </cell>
          <cell r="AQ114">
            <v>0</v>
          </cell>
          <cell r="AX114">
            <v>2650</v>
          </cell>
          <cell r="AY114">
            <v>2676</v>
          </cell>
          <cell r="AZ114">
            <v>0</v>
          </cell>
          <cell r="BA114">
            <v>0</v>
          </cell>
          <cell r="BB114">
            <v>0</v>
          </cell>
          <cell r="BC114">
            <v>0</v>
          </cell>
          <cell r="BD114">
            <v>0</v>
          </cell>
          <cell r="BE114">
            <v>0</v>
          </cell>
          <cell r="BF114" t="str">
            <v>NULL</v>
          </cell>
          <cell r="BH114">
            <v>870</v>
          </cell>
          <cell r="BI114">
            <v>1050</v>
          </cell>
          <cell r="BJ114">
            <v>6783</v>
          </cell>
          <cell r="BK114">
            <v>4135</v>
          </cell>
          <cell r="BL114">
            <v>480</v>
          </cell>
          <cell r="BM114">
            <v>890</v>
          </cell>
          <cell r="BN114">
            <v>0</v>
          </cell>
          <cell r="BO114">
            <v>0</v>
          </cell>
          <cell r="BP114">
            <v>0</v>
          </cell>
          <cell r="BQ114">
            <v>0</v>
          </cell>
          <cell r="BR114">
            <v>0</v>
          </cell>
          <cell r="BS114">
            <v>0</v>
          </cell>
          <cell r="BT114" t="str">
            <v>NULL</v>
          </cell>
          <cell r="BV114">
            <v>240</v>
          </cell>
          <cell r="BX114">
            <v>9475</v>
          </cell>
          <cell r="BY114">
            <v>1833</v>
          </cell>
          <cell r="BZ114">
            <v>480</v>
          </cell>
          <cell r="CA114">
            <v>890</v>
          </cell>
          <cell r="CB114">
            <v>22408.151194033551</v>
          </cell>
          <cell r="CC114">
            <v>0</v>
          </cell>
          <cell r="CD114">
            <v>18733.696450699241</v>
          </cell>
          <cell r="CE114">
            <v>0</v>
          </cell>
          <cell r="CF114">
            <v>0</v>
          </cell>
          <cell r="CG114">
            <v>0</v>
          </cell>
          <cell r="CM114">
            <v>0</v>
          </cell>
          <cell r="CZ114">
            <v>0.40014093013891683</v>
          </cell>
          <cell r="DA114">
            <v>0.63987063987063986</v>
          </cell>
          <cell r="DB114">
            <v>52747485.810000002</v>
          </cell>
          <cell r="DC114">
            <v>85.5</v>
          </cell>
          <cell r="DD114">
            <v>8.6999999999999993</v>
          </cell>
          <cell r="DE114">
            <v>2.2000000000000002</v>
          </cell>
          <cell r="DF114">
            <v>66.3</v>
          </cell>
          <cell r="DG114">
            <v>13.3</v>
          </cell>
          <cell r="DH114">
            <v>5.6</v>
          </cell>
          <cell r="DI114">
            <v>96.4</v>
          </cell>
          <cell r="DJ114">
            <v>85.1</v>
          </cell>
        </row>
        <row r="115">
          <cell r="A115">
            <v>871</v>
          </cell>
          <cell r="B115">
            <v>2.0647019986795499E-2</v>
          </cell>
          <cell r="C115">
            <v>1.36246323750075E-2</v>
          </cell>
          <cell r="D115">
            <v>8.7826797385620898E-3</v>
          </cell>
          <cell r="E115">
            <v>1.08251633986928E-2</v>
          </cell>
          <cell r="F115">
            <v>5568</v>
          </cell>
          <cell r="G115">
            <v>5813</v>
          </cell>
          <cell r="H115">
            <v>0</v>
          </cell>
          <cell r="I115">
            <v>0</v>
          </cell>
          <cell r="J115">
            <v>7.4985646465833833E-2</v>
          </cell>
          <cell r="K115">
            <v>0.10507302075326672</v>
          </cell>
          <cell r="L115">
            <v>90</v>
          </cell>
          <cell r="M115">
            <v>825</v>
          </cell>
          <cell r="N115">
            <v>0</v>
          </cell>
          <cell r="O115">
            <v>359</v>
          </cell>
          <cell r="P115">
            <v>0</v>
          </cell>
          <cell r="Q115">
            <v>0</v>
          </cell>
          <cell r="R115">
            <v>840</v>
          </cell>
          <cell r="S115">
            <v>4029</v>
          </cell>
          <cell r="T115">
            <v>11409</v>
          </cell>
          <cell r="U115">
            <v>1680</v>
          </cell>
          <cell r="V115">
            <v>0</v>
          </cell>
          <cell r="W115">
            <v>0</v>
          </cell>
          <cell r="X115">
            <v>1</v>
          </cell>
          <cell r="Y115">
            <v>1</v>
          </cell>
          <cell r="Z115">
            <v>319</v>
          </cell>
          <cell r="AA115">
            <v>44</v>
          </cell>
          <cell r="AB115">
            <v>0</v>
          </cell>
          <cell r="AC115">
            <v>0</v>
          </cell>
          <cell r="AD115">
            <v>1100</v>
          </cell>
          <cell r="AE115">
            <v>7810</v>
          </cell>
          <cell r="AF115">
            <v>4099</v>
          </cell>
          <cell r="AG115">
            <v>905</v>
          </cell>
          <cell r="AH115">
            <v>1140</v>
          </cell>
          <cell r="AI115">
            <v>0</v>
          </cell>
          <cell r="AJ115">
            <v>1</v>
          </cell>
          <cell r="AK115">
            <v>1</v>
          </cell>
          <cell r="AL115">
            <v>225</v>
          </cell>
          <cell r="AM115">
            <v>0</v>
          </cell>
          <cell r="AN115">
            <v>138</v>
          </cell>
          <cell r="AO115">
            <v>0</v>
          </cell>
          <cell r="AP115">
            <v>0</v>
          </cell>
          <cell r="AQ115">
            <v>1100</v>
          </cell>
          <cell r="AX115">
            <v>1934</v>
          </cell>
          <cell r="AY115">
            <v>3040</v>
          </cell>
          <cell r="AZ115">
            <v>0</v>
          </cell>
          <cell r="BA115">
            <v>0</v>
          </cell>
          <cell r="BB115">
            <v>90</v>
          </cell>
          <cell r="BC115">
            <v>269</v>
          </cell>
          <cell r="BD115">
            <v>0</v>
          </cell>
          <cell r="BE115">
            <v>840</v>
          </cell>
          <cell r="BF115">
            <v>0</v>
          </cell>
          <cell r="BH115">
            <v>2258</v>
          </cell>
          <cell r="BI115">
            <v>6448</v>
          </cell>
          <cell r="BJ115">
            <v>4930</v>
          </cell>
          <cell r="BK115">
            <v>2237</v>
          </cell>
          <cell r="BL115">
            <v>0</v>
          </cell>
          <cell r="BM115">
            <v>1245</v>
          </cell>
          <cell r="BN115">
            <v>0</v>
          </cell>
          <cell r="BO115">
            <v>0</v>
          </cell>
          <cell r="BP115">
            <v>0</v>
          </cell>
          <cell r="BQ115">
            <v>359</v>
          </cell>
          <cell r="BR115">
            <v>0</v>
          </cell>
          <cell r="BS115">
            <v>840</v>
          </cell>
          <cell r="BT115">
            <v>0</v>
          </cell>
          <cell r="BV115">
            <v>728</v>
          </cell>
          <cell r="BX115">
            <v>9108</v>
          </cell>
          <cell r="BY115">
            <v>4255</v>
          </cell>
          <cell r="BZ115">
            <v>0</v>
          </cell>
          <cell r="CA115">
            <v>1245</v>
          </cell>
          <cell r="CB115">
            <v>20437.088177938804</v>
          </cell>
          <cell r="CC115">
            <v>4342.9682359759363</v>
          </cell>
          <cell r="CD115">
            <v>0</v>
          </cell>
          <cell r="CE115">
            <v>0</v>
          </cell>
          <cell r="CF115">
            <v>0</v>
          </cell>
          <cell r="CG115">
            <v>0</v>
          </cell>
          <cell r="CM115">
            <v>0</v>
          </cell>
          <cell r="CZ115">
            <v>0.44604441360166552</v>
          </cell>
          <cell r="DA115">
            <v>0.60593103448275865</v>
          </cell>
          <cell r="DB115">
            <v>82225167.239999995</v>
          </cell>
          <cell r="DC115">
            <v>88.1</v>
          </cell>
          <cell r="DD115">
            <v>8.1</v>
          </cell>
          <cell r="DE115">
            <v>1.7</v>
          </cell>
          <cell r="DF115">
            <v>70.099999999999994</v>
          </cell>
          <cell r="DG115">
            <v>13.3</v>
          </cell>
          <cell r="DH115">
            <v>6.5</v>
          </cell>
          <cell r="DI115">
            <v>97.9</v>
          </cell>
          <cell r="DJ115">
            <v>89.9</v>
          </cell>
        </row>
        <row r="116">
          <cell r="A116">
            <v>872</v>
          </cell>
          <cell r="B116">
            <v>6.7713576270048995E-2</v>
          </cell>
          <cell r="C116">
            <v>-9.0597946446547197E-3</v>
          </cell>
          <cell r="D116">
            <v>6.8061012248671102E-2</v>
          </cell>
          <cell r="E116">
            <v>-1.38664201525306E-2</v>
          </cell>
          <cell r="F116">
            <v>2515</v>
          </cell>
          <cell r="G116">
            <v>2514</v>
          </cell>
          <cell r="H116">
            <v>170</v>
          </cell>
          <cell r="I116">
            <v>0</v>
          </cell>
          <cell r="J116">
            <v>0.10834412407789247</v>
          </cell>
          <cell r="K116">
            <v>8.7493795771211386E-2</v>
          </cell>
          <cell r="L116">
            <v>1770</v>
          </cell>
          <cell r="M116">
            <v>0</v>
          </cell>
          <cell r="N116">
            <v>0</v>
          </cell>
          <cell r="O116">
            <v>46</v>
          </cell>
          <cell r="P116">
            <v>30</v>
          </cell>
          <cell r="Q116">
            <v>120</v>
          </cell>
          <cell r="R116">
            <v>0</v>
          </cell>
          <cell r="S116">
            <v>2709</v>
          </cell>
          <cell r="T116">
            <v>10037</v>
          </cell>
          <cell r="U116">
            <v>1810</v>
          </cell>
          <cell r="V116">
            <v>300</v>
          </cell>
          <cell r="W116">
            <v>0</v>
          </cell>
          <cell r="X116">
            <v>0.23469387755102</v>
          </cell>
          <cell r="Y116">
            <v>134</v>
          </cell>
          <cell r="Z116">
            <v>0</v>
          </cell>
          <cell r="AA116">
            <v>52</v>
          </cell>
          <cell r="AB116">
            <v>0</v>
          </cell>
          <cell r="AC116">
            <v>0</v>
          </cell>
          <cell r="AD116">
            <v>0</v>
          </cell>
          <cell r="AE116">
            <v>1209</v>
          </cell>
          <cell r="AF116">
            <v>8911</v>
          </cell>
          <cell r="AG116">
            <v>1210</v>
          </cell>
          <cell r="AH116">
            <v>0</v>
          </cell>
          <cell r="AI116">
            <v>0</v>
          </cell>
          <cell r="AJ116">
            <v>1</v>
          </cell>
          <cell r="AK116">
            <v>1</v>
          </cell>
          <cell r="AL116">
            <v>0</v>
          </cell>
          <cell r="AM116">
            <v>0</v>
          </cell>
          <cell r="AN116">
            <v>0</v>
          </cell>
          <cell r="AO116">
            <v>0</v>
          </cell>
          <cell r="AP116">
            <v>0</v>
          </cell>
          <cell r="AQ116">
            <v>52</v>
          </cell>
          <cell r="AX116">
            <v>0</v>
          </cell>
          <cell r="AY116">
            <v>1123</v>
          </cell>
          <cell r="AZ116">
            <v>0</v>
          </cell>
          <cell r="BA116">
            <v>0</v>
          </cell>
          <cell r="BB116">
            <v>60</v>
          </cell>
          <cell r="BC116">
            <v>120</v>
          </cell>
          <cell r="BD116">
            <v>0</v>
          </cell>
          <cell r="BE116">
            <v>16</v>
          </cell>
          <cell r="BF116">
            <v>0</v>
          </cell>
          <cell r="BH116">
            <v>780</v>
          </cell>
          <cell r="BI116">
            <v>2216</v>
          </cell>
          <cell r="BJ116">
            <v>7385</v>
          </cell>
          <cell r="BK116">
            <v>850</v>
          </cell>
          <cell r="BL116">
            <v>0</v>
          </cell>
          <cell r="BM116">
            <v>3625</v>
          </cell>
          <cell r="BN116">
            <v>0</v>
          </cell>
          <cell r="BO116">
            <v>0</v>
          </cell>
          <cell r="BP116">
            <v>180</v>
          </cell>
          <cell r="BQ116">
            <v>0</v>
          </cell>
          <cell r="BR116">
            <v>0</v>
          </cell>
          <cell r="BS116">
            <v>16</v>
          </cell>
          <cell r="BT116">
            <v>0</v>
          </cell>
          <cell r="BV116">
            <v>525</v>
          </cell>
          <cell r="BX116">
            <v>8586</v>
          </cell>
          <cell r="BY116">
            <v>310</v>
          </cell>
          <cell r="BZ116">
            <v>119</v>
          </cell>
          <cell r="CA116">
            <v>3625</v>
          </cell>
          <cell r="CB116">
            <v>14089.225827469645</v>
          </cell>
          <cell r="CC116">
            <v>18883.370508054526</v>
          </cell>
          <cell r="CD116">
            <v>23874.771632619169</v>
          </cell>
          <cell r="CE116">
            <v>0</v>
          </cell>
          <cell r="CF116">
            <v>0</v>
          </cell>
          <cell r="CG116">
            <v>30714.148370233699</v>
          </cell>
          <cell r="CM116">
            <v>1</v>
          </cell>
          <cell r="CZ116">
            <v>0.34752608549309999</v>
          </cell>
          <cell r="DA116">
            <v>0.15132900177200237</v>
          </cell>
          <cell r="DB116">
            <v>51731019.090000004</v>
          </cell>
          <cell r="DC116">
            <v>91.2</v>
          </cell>
          <cell r="DD116">
            <v>6.2</v>
          </cell>
          <cell r="DE116">
            <v>1.5</v>
          </cell>
          <cell r="DF116">
            <v>83.7</v>
          </cell>
          <cell r="DG116">
            <v>9.4</v>
          </cell>
          <cell r="DH116">
            <v>2.6</v>
          </cell>
          <cell r="DI116">
            <v>98.8</v>
          </cell>
          <cell r="DJ116">
            <v>95.7</v>
          </cell>
        </row>
        <row r="117">
          <cell r="A117">
            <v>873</v>
          </cell>
          <cell r="B117">
            <v>3.9682382527078702E-2</v>
          </cell>
          <cell r="C117">
            <v>1.2276984614166099E-2</v>
          </cell>
          <cell r="D117">
            <v>3.21660813019439E-2</v>
          </cell>
          <cell r="E117">
            <v>1.3179399798309999E-2</v>
          </cell>
          <cell r="F117">
            <v>12417</v>
          </cell>
          <cell r="G117">
            <v>3668</v>
          </cell>
          <cell r="H117">
            <v>280</v>
          </cell>
          <cell r="I117">
            <v>890</v>
          </cell>
          <cell r="J117">
            <v>0.18438270714576885</v>
          </cell>
          <cell r="K117">
            <v>0.17201233328292312</v>
          </cell>
          <cell r="L117">
            <v>4485</v>
          </cell>
          <cell r="M117">
            <v>2250</v>
          </cell>
          <cell r="N117">
            <v>287</v>
          </cell>
          <cell r="O117">
            <v>934</v>
          </cell>
          <cell r="P117">
            <v>395</v>
          </cell>
          <cell r="Q117">
            <v>0</v>
          </cell>
          <cell r="R117">
            <v>1050</v>
          </cell>
          <cell r="S117">
            <v>4957</v>
          </cell>
          <cell r="T117">
            <v>39691</v>
          </cell>
          <cell r="U117">
            <v>8307</v>
          </cell>
          <cell r="V117">
            <v>1309</v>
          </cell>
          <cell r="W117">
            <v>0</v>
          </cell>
          <cell r="X117">
            <v>0.75556930693069302</v>
          </cell>
          <cell r="Y117">
            <v>113</v>
          </cell>
          <cell r="Z117">
            <v>300</v>
          </cell>
          <cell r="AA117">
            <v>0</v>
          </cell>
          <cell r="AB117">
            <v>0</v>
          </cell>
          <cell r="AC117">
            <v>0</v>
          </cell>
          <cell r="AD117">
            <v>0</v>
          </cell>
          <cell r="AE117">
            <v>8270</v>
          </cell>
          <cell r="AF117">
            <v>23383</v>
          </cell>
          <cell r="AG117">
            <v>3823</v>
          </cell>
          <cell r="AH117">
            <v>1298</v>
          </cell>
          <cell r="AI117">
            <v>750</v>
          </cell>
          <cell r="AJ117">
            <v>1</v>
          </cell>
          <cell r="AK117">
            <v>1</v>
          </cell>
          <cell r="AL117">
            <v>0</v>
          </cell>
          <cell r="AM117">
            <v>300</v>
          </cell>
          <cell r="AN117">
            <v>0</v>
          </cell>
          <cell r="AO117">
            <v>0</v>
          </cell>
          <cell r="AP117">
            <v>0</v>
          </cell>
          <cell r="AQ117">
            <v>0</v>
          </cell>
          <cell r="AX117">
            <v>0</v>
          </cell>
          <cell r="AY117">
            <v>1540</v>
          </cell>
          <cell r="AZ117">
            <v>177</v>
          </cell>
          <cell r="BA117">
            <v>237</v>
          </cell>
          <cell r="BB117">
            <v>650</v>
          </cell>
          <cell r="BC117">
            <v>180</v>
          </cell>
          <cell r="BD117">
            <v>93</v>
          </cell>
          <cell r="BE117">
            <v>1329</v>
          </cell>
          <cell r="BF117">
            <v>0.30964846671653001</v>
          </cell>
          <cell r="BH117">
            <v>2746</v>
          </cell>
          <cell r="BI117">
            <v>7099</v>
          </cell>
          <cell r="BJ117">
            <v>24300</v>
          </cell>
          <cell r="BK117">
            <v>9361</v>
          </cell>
          <cell r="BL117">
            <v>4312</v>
          </cell>
          <cell r="BM117">
            <v>6446</v>
          </cell>
          <cell r="BN117">
            <v>177</v>
          </cell>
          <cell r="BO117">
            <v>60</v>
          </cell>
          <cell r="BP117">
            <v>1025</v>
          </cell>
          <cell r="BQ117">
            <v>0</v>
          </cell>
          <cell r="BR117">
            <v>75</v>
          </cell>
          <cell r="BS117">
            <v>1329</v>
          </cell>
          <cell r="BT117">
            <v>0.17726252804786799</v>
          </cell>
          <cell r="BV117">
            <v>5353</v>
          </cell>
          <cell r="BX117">
            <v>32169</v>
          </cell>
          <cell r="BY117">
            <v>4530</v>
          </cell>
          <cell r="BZ117">
            <v>2490</v>
          </cell>
          <cell r="CA117">
            <v>6446</v>
          </cell>
          <cell r="CB117">
            <v>23015.874537220578</v>
          </cell>
          <cell r="CC117">
            <v>0</v>
          </cell>
          <cell r="CD117">
            <v>23440.993359722423</v>
          </cell>
          <cell r="CE117">
            <v>26341.368978408918</v>
          </cell>
          <cell r="CF117">
            <v>0</v>
          </cell>
          <cell r="CG117">
            <v>49956.084270626168</v>
          </cell>
          <cell r="CM117">
            <v>1</v>
          </cell>
          <cell r="CZ117">
            <v>0.23889793071378748</v>
          </cell>
          <cell r="DA117">
            <v>9.3636729762384213E-2</v>
          </cell>
          <cell r="DB117">
            <v>165282562.58000001</v>
          </cell>
          <cell r="DC117">
            <v>94.7</v>
          </cell>
          <cell r="DD117">
            <v>3.6</v>
          </cell>
          <cell r="DE117">
            <v>0.7</v>
          </cell>
          <cell r="DF117">
            <v>87.8</v>
          </cell>
          <cell r="DG117">
            <v>6.7</v>
          </cell>
          <cell r="DH117">
            <v>1.6</v>
          </cell>
          <cell r="DI117">
            <v>99</v>
          </cell>
          <cell r="DJ117">
            <v>96.1</v>
          </cell>
        </row>
        <row r="118">
          <cell r="A118">
            <v>874</v>
          </cell>
          <cell r="B118">
            <v>2.5143443578859E-2</v>
          </cell>
          <cell r="C118">
            <v>3.6852171479218199E-3</v>
          </cell>
          <cell r="D118">
            <v>4.3140144073346397E-2</v>
          </cell>
          <cell r="E118">
            <v>1.4652914210871001E-2</v>
          </cell>
          <cell r="F118">
            <v>4819</v>
          </cell>
          <cell r="G118">
            <v>4650</v>
          </cell>
          <cell r="H118">
            <v>120</v>
          </cell>
          <cell r="I118">
            <v>0</v>
          </cell>
          <cell r="J118">
            <v>5.917376435254907E-2</v>
          </cell>
          <cell r="K118">
            <v>0.14675541002397158</v>
          </cell>
          <cell r="L118">
            <v>615</v>
          </cell>
          <cell r="M118">
            <v>1200</v>
          </cell>
          <cell r="N118">
            <v>0</v>
          </cell>
          <cell r="O118">
            <v>58</v>
          </cell>
          <cell r="P118">
            <v>0</v>
          </cell>
          <cell r="Q118">
            <v>0</v>
          </cell>
          <cell r="R118">
            <v>0</v>
          </cell>
          <cell r="S118">
            <v>1950</v>
          </cell>
          <cell r="T118">
            <v>15112</v>
          </cell>
          <cell r="U118">
            <v>1635</v>
          </cell>
          <cell r="V118">
            <v>630</v>
          </cell>
          <cell r="W118">
            <v>0</v>
          </cell>
          <cell r="X118">
            <v>1</v>
          </cell>
          <cell r="Y118">
            <v>1</v>
          </cell>
          <cell r="Z118">
            <v>160</v>
          </cell>
          <cell r="AA118">
            <v>50</v>
          </cell>
          <cell r="AB118">
            <v>0</v>
          </cell>
          <cell r="AC118">
            <v>0</v>
          </cell>
          <cell r="AD118">
            <v>1500</v>
          </cell>
          <cell r="AE118">
            <v>3750</v>
          </cell>
          <cell r="AF118">
            <v>11149</v>
          </cell>
          <cell r="AG118">
            <v>0</v>
          </cell>
          <cell r="AH118">
            <v>0</v>
          </cell>
          <cell r="AI118">
            <v>200</v>
          </cell>
          <cell r="AJ118">
            <v>1</v>
          </cell>
          <cell r="AK118">
            <v>1</v>
          </cell>
          <cell r="AL118">
            <v>0</v>
          </cell>
          <cell r="AM118">
            <v>160</v>
          </cell>
          <cell r="AN118">
            <v>32</v>
          </cell>
          <cell r="AO118">
            <v>0</v>
          </cell>
          <cell r="AP118">
            <v>0</v>
          </cell>
          <cell r="AQ118">
            <v>1518</v>
          </cell>
          <cell r="AX118">
            <v>1100</v>
          </cell>
          <cell r="AY118">
            <v>1985</v>
          </cell>
          <cell r="AZ118">
            <v>0</v>
          </cell>
          <cell r="BA118">
            <v>30</v>
          </cell>
          <cell r="BB118">
            <v>28</v>
          </cell>
          <cell r="BC118">
            <v>0</v>
          </cell>
          <cell r="BD118">
            <v>0</v>
          </cell>
          <cell r="BE118">
            <v>0</v>
          </cell>
          <cell r="BF118">
            <v>0.51724137931034497</v>
          </cell>
          <cell r="BH118">
            <v>945</v>
          </cell>
          <cell r="BI118">
            <v>1995</v>
          </cell>
          <cell r="BJ118">
            <v>8692</v>
          </cell>
          <cell r="BK118">
            <v>2850</v>
          </cell>
          <cell r="BL118">
            <v>1890</v>
          </cell>
          <cell r="BM118">
            <v>2955</v>
          </cell>
          <cell r="BN118">
            <v>30</v>
          </cell>
          <cell r="BO118">
            <v>0</v>
          </cell>
          <cell r="BP118">
            <v>28</v>
          </cell>
          <cell r="BQ118">
            <v>0</v>
          </cell>
          <cell r="BR118">
            <v>0</v>
          </cell>
          <cell r="BS118">
            <v>0</v>
          </cell>
          <cell r="BT118">
            <v>0.51724137931034497</v>
          </cell>
          <cell r="BV118">
            <v>420</v>
          </cell>
          <cell r="BX118">
            <v>8662</v>
          </cell>
          <cell r="BY118">
            <v>2700</v>
          </cell>
          <cell r="BZ118">
            <v>3540</v>
          </cell>
          <cell r="CA118">
            <v>2955</v>
          </cell>
          <cell r="CB118">
            <v>17399.282391380009</v>
          </cell>
          <cell r="CC118">
            <v>1596.8200330831921</v>
          </cell>
          <cell r="CD118">
            <v>0</v>
          </cell>
          <cell r="CE118">
            <v>0</v>
          </cell>
          <cell r="CF118">
            <v>0</v>
          </cell>
          <cell r="CG118">
            <v>0</v>
          </cell>
          <cell r="CM118">
            <v>0</v>
          </cell>
          <cell r="CZ118">
            <v>0.42482988830401847</v>
          </cell>
          <cell r="DA118">
            <v>0.61442757676064375</v>
          </cell>
          <cell r="DB118">
            <v>59834109.009999998</v>
          </cell>
          <cell r="DC118">
            <v>91.1</v>
          </cell>
          <cell r="DD118">
            <v>5.8</v>
          </cell>
          <cell r="DE118">
            <v>1.3</v>
          </cell>
          <cell r="DF118">
            <v>80.599999999999994</v>
          </cell>
          <cell r="DG118">
            <v>10.7</v>
          </cell>
          <cell r="DH118">
            <v>3.2</v>
          </cell>
          <cell r="DI118">
            <v>98.2</v>
          </cell>
          <cell r="DJ118">
            <v>94.4</v>
          </cell>
        </row>
        <row r="119">
          <cell r="A119">
            <v>876</v>
          </cell>
          <cell r="B119">
            <v>-1.5840477077897899E-2</v>
          </cell>
          <cell r="C119">
            <v>-5.8702944465150904E-3</v>
          </cell>
          <cell r="D119">
            <v>-6.9156293222683296E-3</v>
          </cell>
          <cell r="E119">
            <v>1.00968188105118E-2</v>
          </cell>
          <cell r="F119">
            <v>294</v>
          </cell>
          <cell r="G119">
            <v>2593</v>
          </cell>
          <cell r="H119">
            <v>0</v>
          </cell>
          <cell r="I119">
            <v>0</v>
          </cell>
          <cell r="J119">
            <v>0.10586659874267854</v>
          </cell>
          <cell r="K119">
            <v>0.14533875868303858</v>
          </cell>
          <cell r="L119">
            <v>70</v>
          </cell>
          <cell r="M119">
            <v>105</v>
          </cell>
          <cell r="N119">
            <v>49</v>
          </cell>
          <cell r="O119">
            <v>319</v>
          </cell>
          <cell r="P119">
            <v>0</v>
          </cell>
          <cell r="Q119">
            <v>0</v>
          </cell>
          <cell r="R119">
            <v>0</v>
          </cell>
          <cell r="S119">
            <v>2299</v>
          </cell>
          <cell r="T119">
            <v>6797</v>
          </cell>
          <cell r="U119">
            <v>1995</v>
          </cell>
          <cell r="V119">
            <v>0</v>
          </cell>
          <cell r="W119">
            <v>0</v>
          </cell>
          <cell r="X119">
            <v>1</v>
          </cell>
          <cell r="Y119">
            <v>1</v>
          </cell>
          <cell r="Z119">
            <v>26</v>
          </cell>
          <cell r="AA119">
            <v>0</v>
          </cell>
          <cell r="AB119">
            <v>377</v>
          </cell>
          <cell r="AC119">
            <v>0</v>
          </cell>
          <cell r="AD119">
            <v>0</v>
          </cell>
          <cell r="AE119">
            <v>2450</v>
          </cell>
          <cell r="AF119">
            <v>3018</v>
          </cell>
          <cell r="AG119">
            <v>2207</v>
          </cell>
          <cell r="AH119">
            <v>900</v>
          </cell>
          <cell r="AI119">
            <v>0</v>
          </cell>
          <cell r="AJ119">
            <v>6.4516129032258104E-2</v>
          </cell>
          <cell r="AK119">
            <v>101</v>
          </cell>
          <cell r="AL119">
            <v>26</v>
          </cell>
          <cell r="AM119">
            <v>0</v>
          </cell>
          <cell r="AN119">
            <v>0</v>
          </cell>
          <cell r="AO119">
            <v>0</v>
          </cell>
          <cell r="AP119">
            <v>377</v>
          </cell>
          <cell r="AQ119">
            <v>0</v>
          </cell>
          <cell r="AX119">
            <v>3625</v>
          </cell>
          <cell r="AY119">
            <v>0</v>
          </cell>
          <cell r="AZ119">
            <v>49</v>
          </cell>
          <cell r="BA119">
            <v>87</v>
          </cell>
          <cell r="BB119">
            <v>232</v>
          </cell>
          <cell r="BC119">
            <v>0</v>
          </cell>
          <cell r="BD119">
            <v>0</v>
          </cell>
          <cell r="BE119">
            <v>0</v>
          </cell>
          <cell r="BF119">
            <v>0.36956521739130399</v>
          </cell>
          <cell r="BH119">
            <v>840</v>
          </cell>
          <cell r="BI119">
            <v>2326</v>
          </cell>
          <cell r="BJ119">
            <v>6579</v>
          </cell>
          <cell r="BK119">
            <v>903</v>
          </cell>
          <cell r="BL119">
            <v>210</v>
          </cell>
          <cell r="BM119">
            <v>233</v>
          </cell>
          <cell r="BN119">
            <v>49</v>
          </cell>
          <cell r="BO119">
            <v>119</v>
          </cell>
          <cell r="BP119">
            <v>200</v>
          </cell>
          <cell r="BQ119">
            <v>0</v>
          </cell>
          <cell r="BR119">
            <v>0</v>
          </cell>
          <cell r="BS119">
            <v>0</v>
          </cell>
          <cell r="BT119">
            <v>0.45652173913043498</v>
          </cell>
          <cell r="BV119">
            <v>1575</v>
          </cell>
          <cell r="BX119">
            <v>6393</v>
          </cell>
          <cell r="BY119">
            <v>1350</v>
          </cell>
          <cell r="BZ119">
            <v>420</v>
          </cell>
          <cell r="CA119">
            <v>233</v>
          </cell>
          <cell r="CB119">
            <v>0</v>
          </cell>
          <cell r="CC119">
            <v>0</v>
          </cell>
          <cell r="CD119">
            <v>0</v>
          </cell>
          <cell r="CE119">
            <v>0</v>
          </cell>
          <cell r="CF119">
            <v>0</v>
          </cell>
          <cell r="CG119">
            <v>0</v>
          </cell>
          <cell r="CM119">
            <v>0</v>
          </cell>
          <cell r="CZ119">
            <v>0.10326311441553077</v>
          </cell>
          <cell r="DA119">
            <v>7.2371162661480762E-2</v>
          </cell>
          <cell r="DB119">
            <v>6475502.8199999994</v>
          </cell>
          <cell r="DC119">
            <v>91.8</v>
          </cell>
          <cell r="DD119">
            <v>5.7</v>
          </cell>
          <cell r="DE119">
            <v>1</v>
          </cell>
          <cell r="DF119">
            <v>90.4</v>
          </cell>
          <cell r="DG119">
            <v>6.7</v>
          </cell>
          <cell r="DH119">
            <v>0.6</v>
          </cell>
          <cell r="DI119">
            <v>98.5</v>
          </cell>
          <cell r="DJ119">
            <v>97.7</v>
          </cell>
        </row>
        <row r="120">
          <cell r="A120">
            <v>877</v>
          </cell>
          <cell r="B120">
            <v>2.14898118249638E-2</v>
          </cell>
          <cell r="C120">
            <v>6.5694243402739097E-3</v>
          </cell>
          <cell r="D120">
            <v>1.7600544171414E-2</v>
          </cell>
          <cell r="E120">
            <v>5.01658022277017E-3</v>
          </cell>
          <cell r="F120">
            <v>676</v>
          </cell>
          <cell r="G120">
            <v>711</v>
          </cell>
          <cell r="H120">
            <v>170</v>
          </cell>
          <cell r="I120">
            <v>0</v>
          </cell>
          <cell r="J120">
            <v>7.8314202622571674E-2</v>
          </cell>
          <cell r="K120">
            <v>0.17741615339155284</v>
          </cell>
          <cell r="L120">
            <v>315</v>
          </cell>
          <cell r="M120">
            <v>765</v>
          </cell>
          <cell r="N120">
            <v>0</v>
          </cell>
          <cell r="O120">
            <v>68</v>
          </cell>
          <cell r="P120">
            <v>0</v>
          </cell>
          <cell r="Q120">
            <v>0</v>
          </cell>
          <cell r="R120">
            <v>0</v>
          </cell>
          <cell r="S120">
            <v>4658</v>
          </cell>
          <cell r="T120">
            <v>13833</v>
          </cell>
          <cell r="U120">
            <v>613</v>
          </cell>
          <cell r="V120">
            <v>0</v>
          </cell>
          <cell r="W120">
            <v>0</v>
          </cell>
          <cell r="X120">
            <v>1</v>
          </cell>
          <cell r="Y120">
            <v>1</v>
          </cell>
          <cell r="Z120">
            <v>23</v>
          </cell>
          <cell r="AA120">
            <v>76</v>
          </cell>
          <cell r="AB120">
            <v>663</v>
          </cell>
          <cell r="AC120">
            <v>0</v>
          </cell>
          <cell r="AD120">
            <v>0</v>
          </cell>
          <cell r="AE120">
            <v>1662</v>
          </cell>
          <cell r="AF120">
            <v>7714</v>
          </cell>
          <cell r="AG120">
            <v>4322</v>
          </cell>
          <cell r="AH120">
            <v>0</v>
          </cell>
          <cell r="AI120">
            <v>620</v>
          </cell>
          <cell r="AJ120">
            <v>0.12992125984252001</v>
          </cell>
          <cell r="AK120">
            <v>100</v>
          </cell>
          <cell r="AL120">
            <v>34</v>
          </cell>
          <cell r="AM120">
            <v>0</v>
          </cell>
          <cell r="AN120">
            <v>65</v>
          </cell>
          <cell r="AO120">
            <v>195</v>
          </cell>
          <cell r="AP120">
            <v>468</v>
          </cell>
          <cell r="AQ120">
            <v>0</v>
          </cell>
          <cell r="AX120">
            <v>750</v>
          </cell>
          <cell r="AY120">
            <v>620</v>
          </cell>
          <cell r="AZ120">
            <v>0</v>
          </cell>
          <cell r="BA120">
            <v>0</v>
          </cell>
          <cell r="BB120">
            <v>52</v>
          </cell>
          <cell r="BC120">
            <v>0</v>
          </cell>
          <cell r="BD120">
            <v>0</v>
          </cell>
          <cell r="BE120">
            <v>16</v>
          </cell>
          <cell r="BF120">
            <v>0</v>
          </cell>
          <cell r="BH120">
            <v>2204</v>
          </cell>
          <cell r="BI120">
            <v>3359</v>
          </cell>
          <cell r="BJ120">
            <v>9311</v>
          </cell>
          <cell r="BK120">
            <v>1228</v>
          </cell>
          <cell r="BL120">
            <v>210</v>
          </cell>
          <cell r="BM120">
            <v>2792</v>
          </cell>
          <cell r="BN120">
            <v>0</v>
          </cell>
          <cell r="BO120">
            <v>0</v>
          </cell>
          <cell r="BP120">
            <v>52</v>
          </cell>
          <cell r="BQ120">
            <v>0</v>
          </cell>
          <cell r="BR120">
            <v>0</v>
          </cell>
          <cell r="BS120">
            <v>16</v>
          </cell>
          <cell r="BT120">
            <v>0</v>
          </cell>
          <cell r="BV120">
            <v>1259</v>
          </cell>
          <cell r="BX120">
            <v>12033</v>
          </cell>
          <cell r="BY120">
            <v>508</v>
          </cell>
          <cell r="BZ120">
            <v>205</v>
          </cell>
          <cell r="CA120">
            <v>2792</v>
          </cell>
          <cell r="CB120">
            <v>15811.867019613846</v>
          </cell>
          <cell r="CC120">
            <v>1282.051282051282</v>
          </cell>
          <cell r="CD120">
            <v>0</v>
          </cell>
          <cell r="CE120">
            <v>0</v>
          </cell>
          <cell r="CF120">
            <v>0</v>
          </cell>
          <cell r="CG120">
            <v>0</v>
          </cell>
          <cell r="CM120">
            <v>0</v>
          </cell>
          <cell r="CZ120">
            <v>0.11959004753966784</v>
          </cell>
          <cell r="DA120">
            <v>4.1404958677685948E-2</v>
          </cell>
          <cell r="DB120">
            <v>32212231.130000003</v>
          </cell>
          <cell r="DC120">
            <v>95</v>
          </cell>
          <cell r="DD120">
            <v>3.4</v>
          </cell>
          <cell r="DE120">
            <v>0.7</v>
          </cell>
          <cell r="DF120">
            <v>90.9</v>
          </cell>
          <cell r="DG120">
            <v>5.3</v>
          </cell>
          <cell r="DH120">
            <v>1.3</v>
          </cell>
          <cell r="DI120">
            <v>99.2</v>
          </cell>
          <cell r="DJ120">
            <v>97.4</v>
          </cell>
        </row>
        <row r="121">
          <cell r="A121">
            <v>878</v>
          </cell>
          <cell r="B121">
            <v>2.9821787870077599E-2</v>
          </cell>
          <cell r="C121">
            <v>1.94919517102616E-2</v>
          </cell>
          <cell r="D121">
            <v>6.4727819374981899E-2</v>
          </cell>
          <cell r="E121">
            <v>2.85912520597843E-2</v>
          </cell>
          <cell r="F121">
            <v>7942</v>
          </cell>
          <cell r="G121">
            <v>6317</v>
          </cell>
          <cell r="H121">
            <v>1080</v>
          </cell>
          <cell r="I121">
            <v>1030</v>
          </cell>
          <cell r="J121">
            <v>0.10961371669317914</v>
          </cell>
          <cell r="K121">
            <v>0.1402227402424662</v>
          </cell>
          <cell r="L121">
            <v>1181</v>
          </cell>
          <cell r="M121">
            <v>120</v>
          </cell>
          <cell r="N121">
            <v>23</v>
          </cell>
          <cell r="O121">
            <v>470</v>
          </cell>
          <cell r="P121">
            <v>66</v>
          </cell>
          <cell r="Q121">
            <v>0</v>
          </cell>
          <cell r="R121">
            <v>420</v>
          </cell>
          <cell r="S121">
            <v>11857</v>
          </cell>
          <cell r="T121">
            <v>39980</v>
          </cell>
          <cell r="U121">
            <v>8544</v>
          </cell>
          <cell r="V121">
            <v>1035</v>
          </cell>
          <cell r="W121">
            <v>840</v>
          </cell>
          <cell r="X121">
            <v>0.88193202146690497</v>
          </cell>
          <cell r="Y121">
            <v>95</v>
          </cell>
          <cell r="Z121">
            <v>0</v>
          </cell>
          <cell r="AA121">
            <v>100</v>
          </cell>
          <cell r="AB121">
            <v>0</v>
          </cell>
          <cell r="AC121">
            <v>0</v>
          </cell>
          <cell r="AD121">
            <v>0</v>
          </cell>
          <cell r="AE121">
            <v>8734</v>
          </cell>
          <cell r="AF121">
            <v>24823</v>
          </cell>
          <cell r="AG121">
            <v>10845</v>
          </cell>
          <cell r="AH121">
            <v>700</v>
          </cell>
          <cell r="AI121">
            <v>0</v>
          </cell>
          <cell r="AJ121">
            <v>1</v>
          </cell>
          <cell r="AK121">
            <v>1</v>
          </cell>
          <cell r="AL121">
            <v>0</v>
          </cell>
          <cell r="AM121">
            <v>0</v>
          </cell>
          <cell r="AN121">
            <v>100</v>
          </cell>
          <cell r="AO121">
            <v>0</v>
          </cell>
          <cell r="AP121">
            <v>0</v>
          </cell>
          <cell r="AQ121">
            <v>0</v>
          </cell>
          <cell r="AX121">
            <v>3375</v>
          </cell>
          <cell r="AY121">
            <v>5705</v>
          </cell>
          <cell r="AZ121">
            <v>60</v>
          </cell>
          <cell r="BA121">
            <v>60</v>
          </cell>
          <cell r="BB121">
            <v>215</v>
          </cell>
          <cell r="BC121">
            <v>60</v>
          </cell>
          <cell r="BD121">
            <v>21</v>
          </cell>
          <cell r="BE121">
            <v>563</v>
          </cell>
          <cell r="BF121">
            <v>0.28846153846153799</v>
          </cell>
          <cell r="BH121">
            <v>3270</v>
          </cell>
          <cell r="BI121">
            <v>4295</v>
          </cell>
          <cell r="BJ121">
            <v>31971</v>
          </cell>
          <cell r="BK121">
            <v>10182</v>
          </cell>
          <cell r="BL121">
            <v>4793</v>
          </cell>
          <cell r="BM121">
            <v>7745</v>
          </cell>
          <cell r="BN121">
            <v>88</v>
          </cell>
          <cell r="BO121">
            <v>67</v>
          </cell>
          <cell r="BP121">
            <v>237</v>
          </cell>
          <cell r="BQ121">
            <v>24</v>
          </cell>
          <cell r="BR121">
            <v>0</v>
          </cell>
          <cell r="BS121">
            <v>563</v>
          </cell>
          <cell r="BT121">
            <v>0.37259615384615402</v>
          </cell>
          <cell r="BV121">
            <v>4499</v>
          </cell>
          <cell r="BX121">
            <v>35473</v>
          </cell>
          <cell r="BY121">
            <v>6970</v>
          </cell>
          <cell r="BZ121">
            <v>3360</v>
          </cell>
          <cell r="CA121">
            <v>7745</v>
          </cell>
          <cell r="CB121">
            <v>13524.528496962987</v>
          </cell>
          <cell r="CC121">
            <v>6041.9652893309822</v>
          </cell>
          <cell r="CD121">
            <v>13058.122098733927</v>
          </cell>
          <cell r="CE121">
            <v>15849.67874652594</v>
          </cell>
          <cell r="CF121">
            <v>0</v>
          </cell>
          <cell r="CG121">
            <v>20073.2973748964</v>
          </cell>
          <cell r="CM121">
            <v>1</v>
          </cell>
          <cell r="CZ121">
            <v>0.17338580147767427</v>
          </cell>
          <cell r="DA121">
            <v>4.9327116668432765E-2</v>
          </cell>
          <cell r="DB121">
            <v>82235039.290000007</v>
          </cell>
          <cell r="DC121">
            <v>95.1</v>
          </cell>
          <cell r="DD121">
            <v>3</v>
          </cell>
          <cell r="DE121">
            <v>0.4</v>
          </cell>
          <cell r="DF121">
            <v>94</v>
          </cell>
          <cell r="DG121">
            <v>3.7</v>
          </cell>
          <cell r="DH121">
            <v>0.5</v>
          </cell>
          <cell r="DI121">
            <v>98.5</v>
          </cell>
          <cell r="DJ121">
            <v>98.1</v>
          </cell>
        </row>
        <row r="122">
          <cell r="A122">
            <v>879</v>
          </cell>
          <cell r="B122">
            <v>-1.26272325715383E-2</v>
          </cell>
          <cell r="C122">
            <v>8.5942001152294993E-3</v>
          </cell>
          <cell r="D122">
            <v>1.50467360741698E-2</v>
          </cell>
          <cell r="E122">
            <v>1.1095068014286801E-2</v>
          </cell>
          <cell r="F122">
            <v>4095</v>
          </cell>
          <cell r="G122">
            <v>2509</v>
          </cell>
          <cell r="H122">
            <v>20</v>
          </cell>
          <cell r="I122">
            <v>0</v>
          </cell>
          <cell r="J122">
            <v>0.13737038946711433</v>
          </cell>
          <cell r="K122">
            <v>0.1652079980344576</v>
          </cell>
          <cell r="L122">
            <v>420</v>
          </cell>
          <cell r="M122">
            <v>0</v>
          </cell>
          <cell r="N122">
            <v>0</v>
          </cell>
          <cell r="O122">
            <v>216</v>
          </cell>
          <cell r="P122">
            <v>0</v>
          </cell>
          <cell r="Q122">
            <v>0</v>
          </cell>
          <cell r="R122">
            <v>0</v>
          </cell>
          <cell r="S122">
            <v>3608</v>
          </cell>
          <cell r="T122">
            <v>13949</v>
          </cell>
          <cell r="U122">
            <v>4203</v>
          </cell>
          <cell r="V122">
            <v>0</v>
          </cell>
          <cell r="W122">
            <v>0</v>
          </cell>
          <cell r="X122">
            <v>1</v>
          </cell>
          <cell r="Y122">
            <v>1</v>
          </cell>
          <cell r="Z122">
            <v>0</v>
          </cell>
          <cell r="AA122">
            <v>0</v>
          </cell>
          <cell r="AB122">
            <v>0</v>
          </cell>
          <cell r="AC122">
            <v>0</v>
          </cell>
          <cell r="AD122">
            <v>375</v>
          </cell>
          <cell r="AE122">
            <v>2340</v>
          </cell>
          <cell r="AF122">
            <v>9165</v>
          </cell>
          <cell r="AG122">
            <v>4879</v>
          </cell>
          <cell r="AH122">
            <v>4221</v>
          </cell>
          <cell r="AI122">
            <v>0</v>
          </cell>
          <cell r="AJ122" t="str">
            <v>NULL</v>
          </cell>
          <cell r="AK122" t="str">
            <v>NULL</v>
          </cell>
          <cell r="AL122">
            <v>0</v>
          </cell>
          <cell r="AM122">
            <v>0</v>
          </cell>
          <cell r="AN122">
            <v>0</v>
          </cell>
          <cell r="AO122">
            <v>0</v>
          </cell>
          <cell r="AP122">
            <v>0</v>
          </cell>
          <cell r="AQ122">
            <v>375</v>
          </cell>
          <cell r="AX122">
            <v>4193</v>
          </cell>
          <cell r="AY122">
            <v>1550</v>
          </cell>
          <cell r="AZ122">
            <v>66</v>
          </cell>
          <cell r="BA122">
            <v>45</v>
          </cell>
          <cell r="BB122">
            <v>105</v>
          </cell>
          <cell r="BC122">
            <v>0</v>
          </cell>
          <cell r="BD122">
            <v>0</v>
          </cell>
          <cell r="BE122">
            <v>0</v>
          </cell>
          <cell r="BF122">
            <v>0.51388888888888895</v>
          </cell>
          <cell r="BH122">
            <v>2764</v>
          </cell>
          <cell r="BI122">
            <v>3034</v>
          </cell>
          <cell r="BJ122">
            <v>8946</v>
          </cell>
          <cell r="BK122">
            <v>2853</v>
          </cell>
          <cell r="BL122">
            <v>1815</v>
          </cell>
          <cell r="BM122">
            <v>2348</v>
          </cell>
          <cell r="BN122">
            <v>0</v>
          </cell>
          <cell r="BO122">
            <v>45</v>
          </cell>
          <cell r="BP122">
            <v>171</v>
          </cell>
          <cell r="BQ122">
            <v>0</v>
          </cell>
          <cell r="BR122">
            <v>0</v>
          </cell>
          <cell r="BS122">
            <v>0</v>
          </cell>
          <cell r="BT122">
            <v>0.20833333333333301</v>
          </cell>
          <cell r="BV122">
            <v>1785</v>
          </cell>
          <cell r="BX122">
            <v>12585</v>
          </cell>
          <cell r="BY122">
            <v>1038</v>
          </cell>
          <cell r="BZ122">
            <v>1815</v>
          </cell>
          <cell r="CA122">
            <v>2348</v>
          </cell>
          <cell r="CB122">
            <v>11777.920556432731</v>
          </cell>
          <cell r="CC122">
            <v>0</v>
          </cell>
          <cell r="CD122">
            <v>12301.378007314081</v>
          </cell>
          <cell r="CE122">
            <v>0</v>
          </cell>
          <cell r="CF122">
            <v>0</v>
          </cell>
          <cell r="CG122">
            <v>0</v>
          </cell>
          <cell r="CM122">
            <v>0</v>
          </cell>
          <cell r="CZ122">
            <v>0.16158485036352363</v>
          </cell>
          <cell r="DA122">
            <v>-6.2094659859252108E-4</v>
          </cell>
          <cell r="DB122">
            <v>30115363.390000001</v>
          </cell>
          <cell r="DC122">
            <v>93.8</v>
          </cell>
          <cell r="DD122">
            <v>4</v>
          </cell>
          <cell r="DE122">
            <v>1.1000000000000001</v>
          </cell>
          <cell r="DF122">
            <v>86.6</v>
          </cell>
          <cell r="DG122">
            <v>7.6</v>
          </cell>
          <cell r="DH122">
            <v>2.6</v>
          </cell>
          <cell r="DI122">
            <v>98.9</v>
          </cell>
          <cell r="DJ122">
            <v>96.9</v>
          </cell>
        </row>
        <row r="123">
          <cell r="A123">
            <v>880</v>
          </cell>
          <cell r="B123">
            <v>2.7309644670050801E-2</v>
          </cell>
          <cell r="C123">
            <v>9.9492385786802001E-3</v>
          </cell>
          <cell r="D123">
            <v>3.3483398987056802E-2</v>
          </cell>
          <cell r="E123">
            <v>2.2931907709623001E-2</v>
          </cell>
          <cell r="F123">
            <v>752</v>
          </cell>
          <cell r="G123">
            <v>0</v>
          </cell>
          <cell r="H123">
            <v>180</v>
          </cell>
          <cell r="I123">
            <v>40</v>
          </cell>
          <cell r="J123">
            <v>5.1912045889101338E-2</v>
          </cell>
          <cell r="K123">
            <v>8.4105032002624674E-2</v>
          </cell>
          <cell r="L123">
            <v>30</v>
          </cell>
          <cell r="M123">
            <v>0</v>
          </cell>
          <cell r="N123">
            <v>0</v>
          </cell>
          <cell r="O123">
            <v>0</v>
          </cell>
          <cell r="P123">
            <v>0</v>
          </cell>
          <cell r="Q123">
            <v>0</v>
          </cell>
          <cell r="R123">
            <v>0</v>
          </cell>
          <cell r="S123">
            <v>1575</v>
          </cell>
          <cell r="T123">
            <v>7105</v>
          </cell>
          <cell r="U123">
            <v>1330</v>
          </cell>
          <cell r="V123">
            <v>420</v>
          </cell>
          <cell r="W123">
            <v>0</v>
          </cell>
          <cell r="X123" t="str">
            <v>NULL</v>
          </cell>
          <cell r="Y123" t="str">
            <v>NULL</v>
          </cell>
          <cell r="Z123">
            <v>0</v>
          </cell>
          <cell r="AA123">
            <v>0</v>
          </cell>
          <cell r="AB123">
            <v>0</v>
          </cell>
          <cell r="AC123">
            <v>0</v>
          </cell>
          <cell r="AD123">
            <v>0</v>
          </cell>
          <cell r="AE123">
            <v>3010</v>
          </cell>
          <cell r="AF123">
            <v>6706</v>
          </cell>
          <cell r="AG123">
            <v>0</v>
          </cell>
          <cell r="AH123">
            <v>0</v>
          </cell>
          <cell r="AI123">
            <v>0</v>
          </cell>
          <cell r="AJ123" t="str">
            <v>NULL</v>
          </cell>
          <cell r="AK123" t="str">
            <v>NULL</v>
          </cell>
          <cell r="AL123">
            <v>0</v>
          </cell>
          <cell r="AM123">
            <v>0</v>
          </cell>
          <cell r="AN123">
            <v>0</v>
          </cell>
          <cell r="AO123">
            <v>0</v>
          </cell>
          <cell r="AP123">
            <v>0</v>
          </cell>
          <cell r="AQ123">
            <v>0</v>
          </cell>
          <cell r="AX123">
            <v>3100</v>
          </cell>
          <cell r="AY123">
            <v>0</v>
          </cell>
          <cell r="AZ123">
            <v>0</v>
          </cell>
          <cell r="BA123">
            <v>0</v>
          </cell>
          <cell r="BB123">
            <v>0</v>
          </cell>
          <cell r="BC123">
            <v>0</v>
          </cell>
          <cell r="BD123">
            <v>0</v>
          </cell>
          <cell r="BE123">
            <v>0</v>
          </cell>
          <cell r="BF123" t="str">
            <v>NULL</v>
          </cell>
          <cell r="BH123">
            <v>1540</v>
          </cell>
          <cell r="BI123">
            <v>945</v>
          </cell>
          <cell r="BJ123">
            <v>5635</v>
          </cell>
          <cell r="BK123">
            <v>1050</v>
          </cell>
          <cell r="BL123">
            <v>840</v>
          </cell>
          <cell r="BM123">
            <v>420</v>
          </cell>
          <cell r="BN123">
            <v>0</v>
          </cell>
          <cell r="BO123">
            <v>0</v>
          </cell>
          <cell r="BP123">
            <v>0</v>
          </cell>
          <cell r="BQ123">
            <v>0</v>
          </cell>
          <cell r="BR123">
            <v>0</v>
          </cell>
          <cell r="BS123">
            <v>0</v>
          </cell>
          <cell r="BT123" t="str">
            <v>NULL</v>
          </cell>
          <cell r="BV123">
            <v>1575</v>
          </cell>
          <cell r="BX123">
            <v>4760</v>
          </cell>
          <cell r="BY123">
            <v>525</v>
          </cell>
          <cell r="BZ123">
            <v>1050</v>
          </cell>
          <cell r="CA123">
            <v>420</v>
          </cell>
          <cell r="CB123">
            <v>15794.303606754967</v>
          </cell>
          <cell r="CC123">
            <v>0</v>
          </cell>
          <cell r="CD123">
            <v>0</v>
          </cell>
          <cell r="CE123">
            <v>0</v>
          </cell>
          <cell r="CF123">
            <v>0</v>
          </cell>
          <cell r="CG123">
            <v>0</v>
          </cell>
          <cell r="CM123">
            <v>0</v>
          </cell>
          <cell r="CZ123">
            <v>0.14980079681274899</v>
          </cell>
          <cell r="DA123">
            <v>5.5334340244404777E-2</v>
          </cell>
          <cell r="DB123">
            <v>17285195.219999999</v>
          </cell>
          <cell r="DC123">
            <v>89.5</v>
          </cell>
          <cell r="DD123">
            <v>6.5</v>
          </cell>
          <cell r="DE123">
            <v>1.5</v>
          </cell>
          <cell r="DF123">
            <v>85.4</v>
          </cell>
          <cell r="DG123">
            <v>9.4</v>
          </cell>
          <cell r="DH123">
            <v>2.6</v>
          </cell>
          <cell r="DI123">
            <v>97.5</v>
          </cell>
          <cell r="DJ123">
            <v>97.4</v>
          </cell>
        </row>
        <row r="124">
          <cell r="A124">
            <v>881</v>
          </cell>
          <cell r="B124">
            <v>1.43434014351975E-2</v>
          </cell>
          <cell r="C124">
            <v>2.4434365863904902E-3</v>
          </cell>
          <cell r="D124">
            <v>2.5647577803480599E-2</v>
          </cell>
          <cell r="E124">
            <v>8.6747182397718999E-3</v>
          </cell>
          <cell r="F124">
            <v>10861</v>
          </cell>
          <cell r="G124">
            <v>2320</v>
          </cell>
          <cell r="H124">
            <v>970</v>
          </cell>
          <cell r="I124">
            <v>330</v>
          </cell>
          <cell r="J124">
            <v>8.7509821537105112E-2</v>
          </cell>
          <cell r="K124">
            <v>0.11372535051943435</v>
          </cell>
          <cell r="L124">
            <v>5770</v>
          </cell>
          <cell r="M124">
            <v>5567</v>
          </cell>
          <cell r="N124">
            <v>260</v>
          </cell>
          <cell r="O124">
            <v>3012</v>
          </cell>
          <cell r="P124">
            <v>90</v>
          </cell>
          <cell r="Q124">
            <v>0</v>
          </cell>
          <cell r="R124">
            <v>0</v>
          </cell>
          <cell r="S124">
            <v>18600</v>
          </cell>
          <cell r="T124">
            <v>83008</v>
          </cell>
          <cell r="U124">
            <v>8669</v>
          </cell>
          <cell r="V124">
            <v>1050</v>
          </cell>
          <cell r="W124">
            <v>630</v>
          </cell>
          <cell r="X124">
            <v>0.97323022010707905</v>
          </cell>
          <cell r="Y124">
            <v>76</v>
          </cell>
          <cell r="Z124">
            <v>956</v>
          </cell>
          <cell r="AA124">
            <v>647</v>
          </cell>
          <cell r="AB124">
            <v>0</v>
          </cell>
          <cell r="AC124">
            <v>0</v>
          </cell>
          <cell r="AD124">
            <v>0</v>
          </cell>
          <cell r="AE124">
            <v>22044</v>
          </cell>
          <cell r="AF124">
            <v>60881</v>
          </cell>
          <cell r="AG124">
            <v>5010</v>
          </cell>
          <cell r="AH124">
            <v>3090</v>
          </cell>
          <cell r="AI124">
            <v>0</v>
          </cell>
          <cell r="AJ124">
            <v>1</v>
          </cell>
          <cell r="AK124">
            <v>1</v>
          </cell>
          <cell r="AL124">
            <v>645</v>
          </cell>
          <cell r="AM124">
            <v>22</v>
          </cell>
          <cell r="AN124">
            <v>906</v>
          </cell>
          <cell r="AO124">
            <v>30</v>
          </cell>
          <cell r="AP124">
            <v>0</v>
          </cell>
          <cell r="AQ124">
            <v>0</v>
          </cell>
          <cell r="AX124">
            <v>6650</v>
          </cell>
          <cell r="AY124">
            <v>4050</v>
          </cell>
          <cell r="AZ124">
            <v>227</v>
          </cell>
          <cell r="BA124">
            <v>407</v>
          </cell>
          <cell r="BB124">
            <v>1576</v>
          </cell>
          <cell r="BC124">
            <v>769</v>
          </cell>
          <cell r="BD124">
            <v>128</v>
          </cell>
          <cell r="BE124">
            <v>255</v>
          </cell>
          <cell r="BF124">
            <v>0.20405535886707399</v>
          </cell>
          <cell r="BH124">
            <v>8038</v>
          </cell>
          <cell r="BI124">
            <v>12443</v>
          </cell>
          <cell r="BJ124">
            <v>55106</v>
          </cell>
          <cell r="BK124">
            <v>11744</v>
          </cell>
          <cell r="BL124">
            <v>9633</v>
          </cell>
          <cell r="BM124">
            <v>14993</v>
          </cell>
          <cell r="BN124">
            <v>340</v>
          </cell>
          <cell r="BO124">
            <v>117</v>
          </cell>
          <cell r="BP124">
            <v>1933</v>
          </cell>
          <cell r="BQ124">
            <v>480</v>
          </cell>
          <cell r="BR124">
            <v>237</v>
          </cell>
          <cell r="BS124">
            <v>255</v>
          </cell>
          <cell r="BT124">
            <v>0.14708722240103</v>
          </cell>
          <cell r="BV124">
            <v>7977</v>
          </cell>
          <cell r="BX124">
            <v>60543</v>
          </cell>
          <cell r="BY124">
            <v>8347</v>
          </cell>
          <cell r="BZ124">
            <v>9560</v>
          </cell>
          <cell r="CA124">
            <v>14993</v>
          </cell>
          <cell r="CB124">
            <v>13872.490837516536</v>
          </cell>
          <cell r="CC124">
            <v>6226.5782873818989</v>
          </cell>
          <cell r="CD124">
            <v>19303.68238536366</v>
          </cell>
          <cell r="CE124">
            <v>17133.800258526368</v>
          </cell>
          <cell r="CF124">
            <v>5115.2868554829338</v>
          </cell>
          <cell r="CG124">
            <v>0</v>
          </cell>
          <cell r="CM124">
            <v>0</v>
          </cell>
          <cell r="CZ124">
            <v>0.18908464566929134</v>
          </cell>
          <cell r="DA124">
            <v>0.12579668468568111</v>
          </cell>
          <cell r="DB124">
            <v>262916921.16</v>
          </cell>
          <cell r="DC124">
            <v>88.1</v>
          </cell>
          <cell r="DD124">
            <v>7.1</v>
          </cell>
          <cell r="DE124">
            <v>2.2000000000000002</v>
          </cell>
          <cell r="DF124">
            <v>86.2</v>
          </cell>
          <cell r="DG124">
            <v>7.4</v>
          </cell>
          <cell r="DH124">
            <v>2.2000000000000002</v>
          </cell>
          <cell r="DI124">
            <v>97.4</v>
          </cell>
          <cell r="DJ124">
            <v>95.8</v>
          </cell>
        </row>
        <row r="125">
          <cell r="A125">
            <v>882</v>
          </cell>
          <cell r="B125">
            <v>-6.8311447141530699E-3</v>
          </cell>
          <cell r="C125">
            <v>-7.2953972675421103E-3</v>
          </cell>
          <cell r="D125">
            <v>1.1328235627301E-2</v>
          </cell>
          <cell r="E125">
            <v>1.3877088643443799E-2</v>
          </cell>
          <cell r="F125">
            <v>2651</v>
          </cell>
          <cell r="G125">
            <v>1001</v>
          </cell>
          <cell r="H125">
            <v>0</v>
          </cell>
          <cell r="I125">
            <v>40</v>
          </cell>
          <cell r="J125">
            <v>8.1265355531722927E-2</v>
          </cell>
          <cell r="K125">
            <v>6.4917094971165212E-2</v>
          </cell>
          <cell r="L125">
            <v>0</v>
          </cell>
          <cell r="M125">
            <v>1030</v>
          </cell>
          <cell r="N125">
            <v>57</v>
          </cell>
          <cell r="O125">
            <v>106</v>
          </cell>
          <cell r="P125">
            <v>0</v>
          </cell>
          <cell r="Q125">
            <v>0</v>
          </cell>
          <cell r="R125">
            <v>0</v>
          </cell>
          <cell r="S125">
            <v>1119</v>
          </cell>
          <cell r="T125">
            <v>12628</v>
          </cell>
          <cell r="U125">
            <v>1470</v>
          </cell>
          <cell r="V125">
            <v>0</v>
          </cell>
          <cell r="W125">
            <v>0</v>
          </cell>
          <cell r="X125">
            <v>1</v>
          </cell>
          <cell r="Y125">
            <v>1</v>
          </cell>
          <cell r="Z125">
            <v>0</v>
          </cell>
          <cell r="AA125">
            <v>0</v>
          </cell>
          <cell r="AB125">
            <v>0</v>
          </cell>
          <cell r="AC125">
            <v>0</v>
          </cell>
          <cell r="AD125">
            <v>0</v>
          </cell>
          <cell r="AE125">
            <v>4882</v>
          </cell>
          <cell r="AF125">
            <v>6135</v>
          </cell>
          <cell r="AG125">
            <v>2060</v>
          </cell>
          <cell r="AH125">
            <v>1140</v>
          </cell>
          <cell r="AI125">
            <v>0</v>
          </cell>
          <cell r="AJ125" t="str">
            <v>NULL</v>
          </cell>
          <cell r="AK125" t="str">
            <v>NULL</v>
          </cell>
          <cell r="AL125">
            <v>0</v>
          </cell>
          <cell r="AM125">
            <v>0</v>
          </cell>
          <cell r="AN125">
            <v>0</v>
          </cell>
          <cell r="AO125">
            <v>0</v>
          </cell>
          <cell r="AP125">
            <v>0</v>
          </cell>
          <cell r="AQ125">
            <v>0</v>
          </cell>
          <cell r="AX125">
            <v>3200</v>
          </cell>
          <cell r="AY125">
            <v>0</v>
          </cell>
          <cell r="AZ125">
            <v>0</v>
          </cell>
          <cell r="BA125">
            <v>0</v>
          </cell>
          <cell r="BB125">
            <v>117</v>
          </cell>
          <cell r="BC125">
            <v>0</v>
          </cell>
          <cell r="BD125">
            <v>0</v>
          </cell>
          <cell r="BE125">
            <v>46</v>
          </cell>
          <cell r="BF125">
            <v>0</v>
          </cell>
          <cell r="BH125">
            <v>1470</v>
          </cell>
          <cell r="BI125">
            <v>3284</v>
          </cell>
          <cell r="BJ125">
            <v>5319</v>
          </cell>
          <cell r="BK125">
            <v>3000</v>
          </cell>
          <cell r="BL125">
            <v>0</v>
          </cell>
          <cell r="BM125">
            <v>2144</v>
          </cell>
          <cell r="BN125">
            <v>0</v>
          </cell>
          <cell r="BO125">
            <v>0</v>
          </cell>
          <cell r="BP125">
            <v>117</v>
          </cell>
          <cell r="BQ125">
            <v>0</v>
          </cell>
          <cell r="BR125">
            <v>0</v>
          </cell>
          <cell r="BS125">
            <v>46</v>
          </cell>
          <cell r="BT125">
            <v>0</v>
          </cell>
          <cell r="BV125">
            <v>630</v>
          </cell>
          <cell r="BX125">
            <v>9503</v>
          </cell>
          <cell r="BY125">
            <v>600</v>
          </cell>
          <cell r="BZ125">
            <v>420</v>
          </cell>
          <cell r="CA125">
            <v>2144</v>
          </cell>
          <cell r="CB125">
            <v>17168.002360485847</v>
          </cell>
          <cell r="CC125">
            <v>7173.4060213869388</v>
          </cell>
          <cell r="CD125">
            <v>0</v>
          </cell>
          <cell r="CE125">
            <v>0</v>
          </cell>
          <cell r="CF125">
            <v>0</v>
          </cell>
          <cell r="CG125">
            <v>0</v>
          </cell>
          <cell r="CM125">
            <v>0</v>
          </cell>
          <cell r="CZ125">
            <v>0.17328208346407278</v>
          </cell>
          <cell r="DA125">
            <v>0.12035744205529182</v>
          </cell>
          <cell r="DB125">
            <v>39765667.660000004</v>
          </cell>
          <cell r="DC125">
            <v>89.3</v>
          </cell>
          <cell r="DD125">
            <v>6.4</v>
          </cell>
          <cell r="DE125">
            <v>1.2</v>
          </cell>
          <cell r="DF125">
            <v>75.8</v>
          </cell>
          <cell r="DG125">
            <v>11</v>
          </cell>
          <cell r="DH125">
            <v>4</v>
          </cell>
          <cell r="DI125">
            <v>97</v>
          </cell>
          <cell r="DJ125">
            <v>90.9</v>
          </cell>
        </row>
        <row r="126">
          <cell r="A126">
            <v>883</v>
          </cell>
          <cell r="B126">
            <v>5.4747748278094997E-2</v>
          </cell>
          <cell r="C126">
            <v>2.0133042915170402E-2</v>
          </cell>
          <cell r="D126">
            <v>4.0537587412587402E-2</v>
          </cell>
          <cell r="E126">
            <v>9.5061188811188801E-3</v>
          </cell>
          <cell r="F126">
            <v>4503</v>
          </cell>
          <cell r="G126">
            <v>3282</v>
          </cell>
          <cell r="H126">
            <v>260</v>
          </cell>
          <cell r="I126">
            <v>380</v>
          </cell>
          <cell r="J126">
            <v>6.1780752274865854E-2</v>
          </cell>
          <cell r="K126">
            <v>8.1755499346589905E-2</v>
          </cell>
          <cell r="L126">
            <v>240</v>
          </cell>
          <cell r="M126">
            <v>450</v>
          </cell>
          <cell r="N126">
            <v>0</v>
          </cell>
          <cell r="O126">
            <v>0</v>
          </cell>
          <cell r="P126">
            <v>0</v>
          </cell>
          <cell r="Q126">
            <v>0</v>
          </cell>
          <cell r="R126">
            <v>0</v>
          </cell>
          <cell r="S126">
            <v>1980</v>
          </cell>
          <cell r="T126">
            <v>15060</v>
          </cell>
          <cell r="U126">
            <v>1500</v>
          </cell>
          <cell r="V126">
            <v>0</v>
          </cell>
          <cell r="W126">
            <v>0</v>
          </cell>
          <cell r="X126" t="str">
            <v>NULL</v>
          </cell>
          <cell r="Y126" t="str">
            <v>NULL</v>
          </cell>
          <cell r="Z126">
            <v>130</v>
          </cell>
          <cell r="AA126">
            <v>0</v>
          </cell>
          <cell r="AB126">
            <v>0</v>
          </cell>
          <cell r="AC126">
            <v>0</v>
          </cell>
          <cell r="AD126">
            <v>900</v>
          </cell>
          <cell r="AE126">
            <v>2400</v>
          </cell>
          <cell r="AF126">
            <v>5005</v>
          </cell>
          <cell r="AG126">
            <v>2810</v>
          </cell>
          <cell r="AH126">
            <v>750</v>
          </cell>
          <cell r="AI126">
            <v>0</v>
          </cell>
          <cell r="AJ126">
            <v>1</v>
          </cell>
          <cell r="AK126">
            <v>1</v>
          </cell>
          <cell r="AL126">
            <v>130</v>
          </cell>
          <cell r="AM126">
            <v>0</v>
          </cell>
          <cell r="AN126">
            <v>0</v>
          </cell>
          <cell r="AO126">
            <v>0</v>
          </cell>
          <cell r="AP126">
            <v>0</v>
          </cell>
          <cell r="AQ126">
            <v>900</v>
          </cell>
          <cell r="AX126">
            <v>2990</v>
          </cell>
          <cell r="AY126">
            <v>0</v>
          </cell>
          <cell r="AZ126">
            <v>0</v>
          </cell>
          <cell r="BA126">
            <v>0</v>
          </cell>
          <cell r="BB126">
            <v>0</v>
          </cell>
          <cell r="BC126">
            <v>0</v>
          </cell>
          <cell r="BD126">
            <v>0</v>
          </cell>
          <cell r="BE126">
            <v>0</v>
          </cell>
          <cell r="BF126" t="str">
            <v>NULL</v>
          </cell>
          <cell r="BH126">
            <v>2160</v>
          </cell>
          <cell r="BI126">
            <v>3330</v>
          </cell>
          <cell r="BJ126">
            <v>8295</v>
          </cell>
          <cell r="BK126">
            <v>2625</v>
          </cell>
          <cell r="BL126">
            <v>630</v>
          </cell>
          <cell r="BM126">
            <v>1500</v>
          </cell>
          <cell r="BN126">
            <v>0</v>
          </cell>
          <cell r="BO126">
            <v>0</v>
          </cell>
          <cell r="BP126">
            <v>0</v>
          </cell>
          <cell r="BQ126">
            <v>0</v>
          </cell>
          <cell r="BR126">
            <v>0</v>
          </cell>
          <cell r="BS126">
            <v>0</v>
          </cell>
          <cell r="BT126" t="str">
            <v>NULL</v>
          </cell>
          <cell r="BV126">
            <v>2070</v>
          </cell>
          <cell r="BX126">
            <v>7505</v>
          </cell>
          <cell r="BY126">
            <v>3955</v>
          </cell>
          <cell r="BZ126">
            <v>1680</v>
          </cell>
          <cell r="CA126">
            <v>1500</v>
          </cell>
          <cell r="CB126">
            <v>12982.161790195127</v>
          </cell>
          <cell r="CC126">
            <v>2745.5571731800751</v>
          </cell>
          <cell r="CD126">
            <v>0</v>
          </cell>
          <cell r="CE126">
            <v>0</v>
          </cell>
          <cell r="CF126">
            <v>0</v>
          </cell>
          <cell r="CG126">
            <v>0</v>
          </cell>
          <cell r="CM126">
            <v>0</v>
          </cell>
          <cell r="CZ126">
            <v>0.38390734064585413</v>
          </cell>
          <cell r="DA126">
            <v>0.46827632461435276</v>
          </cell>
          <cell r="DB126">
            <v>49045145.919999994</v>
          </cell>
          <cell r="DC126">
            <v>93.8</v>
          </cell>
          <cell r="DD126">
            <v>4.3</v>
          </cell>
          <cell r="DE126">
            <v>0.5</v>
          </cell>
          <cell r="DF126">
            <v>75.2</v>
          </cell>
          <cell r="DG126">
            <v>9.8000000000000007</v>
          </cell>
          <cell r="DH126">
            <v>4.3</v>
          </cell>
          <cell r="DI126">
            <v>98.7</v>
          </cell>
          <cell r="DJ126">
            <v>89.3</v>
          </cell>
        </row>
        <row r="127">
          <cell r="A127">
            <v>884</v>
          </cell>
          <cell r="B127">
            <v>-2.6617375231053599E-2</v>
          </cell>
          <cell r="C127">
            <v>-9.9075785582255094E-3</v>
          </cell>
          <cell r="D127">
            <v>1.16076610562972E-2</v>
          </cell>
          <cell r="E127">
            <v>6.8485200232153197E-3</v>
          </cell>
          <cell r="F127">
            <v>0</v>
          </cell>
          <cell r="G127">
            <v>140</v>
          </cell>
          <cell r="H127">
            <v>230</v>
          </cell>
          <cell r="I127">
            <v>270</v>
          </cell>
          <cell r="J127">
            <v>8.4092768886012831E-2</v>
          </cell>
          <cell r="K127">
            <v>0.11659214256740814</v>
          </cell>
          <cell r="L127">
            <v>90</v>
          </cell>
          <cell r="M127">
            <v>0</v>
          </cell>
          <cell r="N127">
            <v>30</v>
          </cell>
          <cell r="O127">
            <v>0</v>
          </cell>
          <cell r="P127">
            <v>24</v>
          </cell>
          <cell r="Q127">
            <v>0</v>
          </cell>
          <cell r="R127">
            <v>0</v>
          </cell>
          <cell r="S127">
            <v>2626</v>
          </cell>
          <cell r="T127">
            <v>10943</v>
          </cell>
          <cell r="U127">
            <v>1017</v>
          </cell>
          <cell r="V127">
            <v>0</v>
          </cell>
          <cell r="W127">
            <v>0</v>
          </cell>
          <cell r="X127">
            <v>0.55555555555555602</v>
          </cell>
          <cell r="Y127">
            <v>126</v>
          </cell>
          <cell r="Z127">
            <v>0</v>
          </cell>
          <cell r="AA127">
            <v>0</v>
          </cell>
          <cell r="AB127">
            <v>0</v>
          </cell>
          <cell r="AC127">
            <v>0</v>
          </cell>
          <cell r="AD127">
            <v>0</v>
          </cell>
          <cell r="AE127">
            <v>450</v>
          </cell>
          <cell r="AF127">
            <v>7084</v>
          </cell>
          <cell r="AG127">
            <v>3045</v>
          </cell>
          <cell r="AH127">
            <v>500</v>
          </cell>
          <cell r="AI127">
            <v>0</v>
          </cell>
          <cell r="AJ127" t="str">
            <v>NULL</v>
          </cell>
          <cell r="AK127" t="str">
            <v>NULL</v>
          </cell>
          <cell r="AL127">
            <v>0</v>
          </cell>
          <cell r="AM127">
            <v>0</v>
          </cell>
          <cell r="AN127">
            <v>0</v>
          </cell>
          <cell r="AO127">
            <v>0</v>
          </cell>
          <cell r="AP127">
            <v>0</v>
          </cell>
          <cell r="AQ127">
            <v>0</v>
          </cell>
          <cell r="AX127">
            <v>1870</v>
          </cell>
          <cell r="AY127">
            <v>500</v>
          </cell>
          <cell r="AZ127">
            <v>0</v>
          </cell>
          <cell r="BA127">
            <v>0</v>
          </cell>
          <cell r="BB127">
            <v>30</v>
          </cell>
          <cell r="BC127">
            <v>0</v>
          </cell>
          <cell r="BD127">
            <v>24</v>
          </cell>
          <cell r="BE127">
            <v>0</v>
          </cell>
          <cell r="BF127">
            <v>0</v>
          </cell>
          <cell r="BH127">
            <v>2796</v>
          </cell>
          <cell r="BI127">
            <v>1120</v>
          </cell>
          <cell r="BJ127">
            <v>8952</v>
          </cell>
          <cell r="BK127">
            <v>0</v>
          </cell>
          <cell r="BL127">
            <v>912</v>
          </cell>
          <cell r="BM127">
            <v>806</v>
          </cell>
          <cell r="BN127">
            <v>0</v>
          </cell>
          <cell r="BO127">
            <v>0</v>
          </cell>
          <cell r="BP127">
            <v>54</v>
          </cell>
          <cell r="BQ127">
            <v>0</v>
          </cell>
          <cell r="BR127">
            <v>0</v>
          </cell>
          <cell r="BS127">
            <v>0</v>
          </cell>
          <cell r="BT127">
            <v>0</v>
          </cell>
          <cell r="BV127">
            <v>2809</v>
          </cell>
          <cell r="BX127">
            <v>7869</v>
          </cell>
          <cell r="BY127">
            <v>0</v>
          </cell>
          <cell r="BZ127">
            <v>463</v>
          </cell>
          <cell r="CA127">
            <v>806</v>
          </cell>
          <cell r="CB127">
            <v>9750.2518392490165</v>
          </cell>
          <cell r="CC127">
            <v>4160.6675440520576</v>
          </cell>
          <cell r="CD127">
            <v>0</v>
          </cell>
          <cell r="CE127">
            <v>0</v>
          </cell>
          <cell r="CF127">
            <v>0</v>
          </cell>
          <cell r="CG127">
            <v>0</v>
          </cell>
          <cell r="CM127">
            <v>0</v>
          </cell>
          <cell r="CZ127">
            <v>0.14267866066966517</v>
          </cell>
          <cell r="DA127">
            <v>7.3978996499416569E-2</v>
          </cell>
          <cell r="DB127">
            <v>14755303.99</v>
          </cell>
          <cell r="DC127">
            <v>94.2</v>
          </cell>
          <cell r="DD127">
            <v>3.7</v>
          </cell>
          <cell r="DE127">
            <v>0.4</v>
          </cell>
          <cell r="DF127">
            <v>91.9</v>
          </cell>
          <cell r="DG127">
            <v>4.9000000000000004</v>
          </cell>
          <cell r="DH127">
            <v>0.4</v>
          </cell>
          <cell r="DI127">
            <v>98.3</v>
          </cell>
          <cell r="DJ127">
            <v>97.2</v>
          </cell>
        </row>
        <row r="128">
          <cell r="A128">
            <v>885</v>
          </cell>
          <cell r="B128">
            <v>1.6374454941860499E-2</v>
          </cell>
          <cell r="C128">
            <v>1.3353924418604699E-2</v>
          </cell>
          <cell r="D128">
            <v>3.8982384678600802E-2</v>
          </cell>
          <cell r="E128">
            <v>2.2832029156393999E-2</v>
          </cell>
          <cell r="F128">
            <v>4005</v>
          </cell>
          <cell r="G128">
            <v>2352</v>
          </cell>
          <cell r="H128">
            <v>420</v>
          </cell>
          <cell r="I128">
            <v>360</v>
          </cell>
          <cell r="J128">
            <v>7.2020049461835892E-2</v>
          </cell>
          <cell r="K128">
            <v>0.12177188155913611</v>
          </cell>
          <cell r="L128">
            <v>585</v>
          </cell>
          <cell r="M128">
            <v>630</v>
          </cell>
          <cell r="N128">
            <v>191</v>
          </cell>
          <cell r="O128">
            <v>511</v>
          </cell>
          <cell r="P128">
            <v>85</v>
          </cell>
          <cell r="Q128">
            <v>0</v>
          </cell>
          <cell r="R128">
            <v>0</v>
          </cell>
          <cell r="S128">
            <v>6746</v>
          </cell>
          <cell r="T128">
            <v>33122</v>
          </cell>
          <cell r="U128">
            <v>4126</v>
          </cell>
          <cell r="V128">
            <v>2835</v>
          </cell>
          <cell r="W128">
            <v>0</v>
          </cell>
          <cell r="X128">
            <v>0.89199491740787795</v>
          </cell>
          <cell r="Y128">
            <v>91</v>
          </cell>
          <cell r="Z128">
            <v>318</v>
          </cell>
          <cell r="AA128">
            <v>470</v>
          </cell>
          <cell r="AB128">
            <v>295</v>
          </cell>
          <cell r="AC128">
            <v>0</v>
          </cell>
          <cell r="AD128">
            <v>0</v>
          </cell>
          <cell r="AE128">
            <v>10787</v>
          </cell>
          <cell r="AF128">
            <v>19562</v>
          </cell>
          <cell r="AG128">
            <v>3506</v>
          </cell>
          <cell r="AH128">
            <v>3440</v>
          </cell>
          <cell r="AI128">
            <v>0</v>
          </cell>
          <cell r="AJ128">
            <v>0.72760849492151403</v>
          </cell>
          <cell r="AK128">
            <v>82</v>
          </cell>
          <cell r="AL128">
            <v>0</v>
          </cell>
          <cell r="AM128">
            <v>0</v>
          </cell>
          <cell r="AN128">
            <v>498</v>
          </cell>
          <cell r="AO128">
            <v>0</v>
          </cell>
          <cell r="AP128">
            <v>160</v>
          </cell>
          <cell r="AQ128">
            <v>425</v>
          </cell>
          <cell r="AX128">
            <v>860</v>
          </cell>
          <cell r="AY128">
            <v>13851</v>
          </cell>
          <cell r="AZ128">
            <v>0</v>
          </cell>
          <cell r="BA128">
            <v>82</v>
          </cell>
          <cell r="BB128">
            <v>153</v>
          </cell>
          <cell r="BC128">
            <v>210</v>
          </cell>
          <cell r="BD128">
            <v>0</v>
          </cell>
          <cell r="BE128">
            <v>342</v>
          </cell>
          <cell r="BF128">
            <v>0.184269662921348</v>
          </cell>
          <cell r="BH128">
            <v>1961</v>
          </cell>
          <cell r="BI128">
            <v>2476</v>
          </cell>
          <cell r="BJ128">
            <v>14318</v>
          </cell>
          <cell r="BK128">
            <v>6015</v>
          </cell>
          <cell r="BL128">
            <v>1562</v>
          </cell>
          <cell r="BM128">
            <v>20497</v>
          </cell>
          <cell r="BN128">
            <v>0</v>
          </cell>
          <cell r="BO128">
            <v>18</v>
          </cell>
          <cell r="BP128">
            <v>427</v>
          </cell>
          <cell r="BQ128">
            <v>0</v>
          </cell>
          <cell r="BR128">
            <v>0</v>
          </cell>
          <cell r="BS128">
            <v>342</v>
          </cell>
          <cell r="BT128">
            <v>4.0449438202247202E-2</v>
          </cell>
          <cell r="BV128">
            <v>2103</v>
          </cell>
          <cell r="BX128">
            <v>15759</v>
          </cell>
          <cell r="BY128">
            <v>4092</v>
          </cell>
          <cell r="BZ128">
            <v>1561</v>
          </cell>
          <cell r="CA128">
            <v>20497</v>
          </cell>
          <cell r="CB128">
            <v>15424.521049766168</v>
          </cell>
          <cell r="CC128">
            <v>5311.7049960348932</v>
          </cell>
          <cell r="CD128">
            <v>0</v>
          </cell>
          <cell r="CE128">
            <v>16709.333702345535</v>
          </cell>
          <cell r="CF128">
            <v>0</v>
          </cell>
          <cell r="CG128">
            <v>0</v>
          </cell>
          <cell r="CM128">
            <v>0</v>
          </cell>
          <cell r="CZ128">
            <v>0.16009945956917768</v>
          </cell>
          <cell r="DA128">
            <v>5.7684467998369342E-2</v>
          </cell>
          <cell r="DB128">
            <v>69105691.769999996</v>
          </cell>
          <cell r="DC128">
            <v>92.6</v>
          </cell>
          <cell r="DD128">
            <v>4.5999999999999996</v>
          </cell>
          <cell r="DE128">
            <v>1</v>
          </cell>
          <cell r="DF128">
            <v>89</v>
          </cell>
          <cell r="DG128">
            <v>5.5</v>
          </cell>
          <cell r="DH128">
            <v>0.8</v>
          </cell>
          <cell r="DI128">
            <v>98.2</v>
          </cell>
          <cell r="DJ128">
            <v>95.3</v>
          </cell>
        </row>
        <row r="129">
          <cell r="A129">
            <v>886</v>
          </cell>
          <cell r="B129">
            <v>5.06242052479626E-3</v>
          </cell>
          <cell r="C129">
            <v>1.2316157358904E-3</v>
          </cell>
          <cell r="D129">
            <v>1.0204843567215099E-2</v>
          </cell>
          <cell r="E129">
            <v>1.1349777235731899E-2</v>
          </cell>
          <cell r="F129">
            <v>18439</v>
          </cell>
          <cell r="G129">
            <v>8901</v>
          </cell>
          <cell r="H129">
            <v>2700</v>
          </cell>
          <cell r="I129">
            <v>3450</v>
          </cell>
          <cell r="J129">
            <v>7.3779733141215526E-2</v>
          </cell>
          <cell r="K129">
            <v>7.0333881666449341E-2</v>
          </cell>
          <cell r="L129">
            <v>2748</v>
          </cell>
          <cell r="M129">
            <v>2480</v>
          </cell>
          <cell r="N129">
            <v>360</v>
          </cell>
          <cell r="O129">
            <v>1909</v>
          </cell>
          <cell r="P129">
            <v>240</v>
          </cell>
          <cell r="Q129">
            <v>120</v>
          </cell>
          <cell r="R129">
            <v>420</v>
          </cell>
          <cell r="S129">
            <v>24059</v>
          </cell>
          <cell r="T129">
            <v>92012</v>
          </cell>
          <cell r="U129">
            <v>9685</v>
          </cell>
          <cell r="V129">
            <v>825</v>
          </cell>
          <cell r="W129">
            <v>0</v>
          </cell>
          <cell r="X129">
            <v>0.86306580448839898</v>
          </cell>
          <cell r="Y129">
            <v>104</v>
          </cell>
          <cell r="Z129">
            <v>1824</v>
          </cell>
          <cell r="AA129">
            <v>2201</v>
          </cell>
          <cell r="AB129">
            <v>220</v>
          </cell>
          <cell r="AC129">
            <v>0</v>
          </cell>
          <cell r="AD129">
            <v>0</v>
          </cell>
          <cell r="AE129">
            <v>33467</v>
          </cell>
          <cell r="AF129">
            <v>56592</v>
          </cell>
          <cell r="AG129">
            <v>10205</v>
          </cell>
          <cell r="AH129">
            <v>2199</v>
          </cell>
          <cell r="AI129">
            <v>0</v>
          </cell>
          <cell r="AJ129">
            <v>0.94817432273262703</v>
          </cell>
          <cell r="AK129">
            <v>66</v>
          </cell>
          <cell r="AL129">
            <v>997</v>
          </cell>
          <cell r="AM129">
            <v>278</v>
          </cell>
          <cell r="AN129">
            <v>1241</v>
          </cell>
          <cell r="AO129">
            <v>769</v>
          </cell>
          <cell r="AP129">
            <v>530</v>
          </cell>
          <cell r="AQ129">
            <v>430</v>
          </cell>
          <cell r="AX129">
            <v>13395</v>
          </cell>
          <cell r="AY129">
            <v>1370</v>
          </cell>
          <cell r="AZ129">
            <v>465</v>
          </cell>
          <cell r="BA129">
            <v>270</v>
          </cell>
          <cell r="BB129">
            <v>1374</v>
          </cell>
          <cell r="BC129">
            <v>400</v>
          </cell>
          <cell r="BD129">
            <v>120</v>
          </cell>
          <cell r="BE129">
            <v>420</v>
          </cell>
          <cell r="BF129">
            <v>0.27957398250285298</v>
          </cell>
          <cell r="BH129">
            <v>6803</v>
          </cell>
          <cell r="BI129">
            <v>14543</v>
          </cell>
          <cell r="BJ129">
            <v>67117</v>
          </cell>
          <cell r="BK129">
            <v>19938</v>
          </cell>
          <cell r="BL129">
            <v>9378</v>
          </cell>
          <cell r="BM129">
            <v>8802</v>
          </cell>
          <cell r="BN129">
            <v>260</v>
          </cell>
          <cell r="BO129">
            <v>96</v>
          </cell>
          <cell r="BP129">
            <v>1766</v>
          </cell>
          <cell r="BQ129">
            <v>387</v>
          </cell>
          <cell r="BR129">
            <v>120</v>
          </cell>
          <cell r="BS129">
            <v>420</v>
          </cell>
          <cell r="BT129">
            <v>0.13541270445036099</v>
          </cell>
          <cell r="BV129">
            <v>9981</v>
          </cell>
          <cell r="BX129">
            <v>75086</v>
          </cell>
          <cell r="BY129">
            <v>10563</v>
          </cell>
          <cell r="BZ129">
            <v>8654</v>
          </cell>
          <cell r="CA129">
            <v>8802</v>
          </cell>
          <cell r="CB129">
            <v>16909.314666933118</v>
          </cell>
          <cell r="CC129">
            <v>4752.5640074546318</v>
          </cell>
          <cell r="CD129">
            <v>28618.589623401695</v>
          </cell>
          <cell r="CE129">
            <v>36286.128310892404</v>
          </cell>
          <cell r="CF129">
            <v>0</v>
          </cell>
          <cell r="CG129">
            <v>0</v>
          </cell>
          <cell r="CM129">
            <v>0</v>
          </cell>
          <cell r="CZ129">
            <v>0.24348895511092192</v>
          </cell>
          <cell r="DA129">
            <v>0.26562180300364202</v>
          </cell>
          <cell r="DB129">
            <v>328221791.50999999</v>
          </cell>
          <cell r="DC129">
            <v>89.5</v>
          </cell>
          <cell r="DD129">
            <v>6.3</v>
          </cell>
          <cell r="DE129">
            <v>1.9</v>
          </cell>
          <cell r="DF129">
            <v>79.7</v>
          </cell>
          <cell r="DG129">
            <v>11.1</v>
          </cell>
          <cell r="DH129">
            <v>3.7</v>
          </cell>
          <cell r="DI129">
            <v>97.7</v>
          </cell>
          <cell r="DJ129">
            <v>94.4</v>
          </cell>
        </row>
        <row r="130">
          <cell r="A130">
            <v>887</v>
          </cell>
          <cell r="B130">
            <v>2.8170174210287901E-2</v>
          </cell>
          <cell r="C130">
            <v>4.4479222437296597E-3</v>
          </cell>
          <cell r="D130">
            <v>2.4172291867566701E-2</v>
          </cell>
          <cell r="E130">
            <v>2.25008036001286E-3</v>
          </cell>
          <cell r="F130">
            <v>2085</v>
          </cell>
          <cell r="G130">
            <v>1376</v>
          </cell>
          <cell r="H130">
            <v>240</v>
          </cell>
          <cell r="I130">
            <v>0</v>
          </cell>
          <cell r="J130">
            <v>5.7077152782362389E-2</v>
          </cell>
          <cell r="K130">
            <v>0.13940151636941903</v>
          </cell>
          <cell r="L130">
            <v>500</v>
          </cell>
          <cell r="M130">
            <v>600</v>
          </cell>
          <cell r="N130">
            <v>143</v>
          </cell>
          <cell r="O130">
            <v>300</v>
          </cell>
          <cell r="P130">
            <v>210</v>
          </cell>
          <cell r="Q130">
            <v>0</v>
          </cell>
          <cell r="R130">
            <v>0</v>
          </cell>
          <cell r="S130">
            <v>2417</v>
          </cell>
          <cell r="T130">
            <v>16508</v>
          </cell>
          <cell r="U130">
            <v>3475</v>
          </cell>
          <cell r="V130">
            <v>760</v>
          </cell>
          <cell r="W130">
            <v>0</v>
          </cell>
          <cell r="X130">
            <v>0.67840735068912705</v>
          </cell>
          <cell r="Y130">
            <v>120</v>
          </cell>
          <cell r="Z130">
            <v>0</v>
          </cell>
          <cell r="AA130">
            <v>0</v>
          </cell>
          <cell r="AB130">
            <v>0</v>
          </cell>
          <cell r="AC130">
            <v>0</v>
          </cell>
          <cell r="AD130">
            <v>0</v>
          </cell>
          <cell r="AE130">
            <v>4887</v>
          </cell>
          <cell r="AF130">
            <v>13617</v>
          </cell>
          <cell r="AG130">
            <v>3473</v>
          </cell>
          <cell r="AH130">
            <v>600</v>
          </cell>
          <cell r="AI130">
            <v>0</v>
          </cell>
          <cell r="AJ130" t="str">
            <v>NULL</v>
          </cell>
          <cell r="AK130" t="str">
            <v>NULL</v>
          </cell>
          <cell r="AL130">
            <v>0</v>
          </cell>
          <cell r="AM130">
            <v>0</v>
          </cell>
          <cell r="AN130">
            <v>0</v>
          </cell>
          <cell r="AO130">
            <v>0</v>
          </cell>
          <cell r="AP130">
            <v>0</v>
          </cell>
          <cell r="AQ130">
            <v>0</v>
          </cell>
          <cell r="AX130">
            <v>0</v>
          </cell>
          <cell r="AY130">
            <v>600</v>
          </cell>
          <cell r="AZ130">
            <v>0</v>
          </cell>
          <cell r="BA130">
            <v>53</v>
          </cell>
          <cell r="BB130">
            <v>0</v>
          </cell>
          <cell r="BC130">
            <v>210</v>
          </cell>
          <cell r="BD130">
            <v>0</v>
          </cell>
          <cell r="BE130">
            <v>390</v>
          </cell>
          <cell r="BF130">
            <v>0.20152091254752899</v>
          </cell>
          <cell r="BH130">
            <v>630</v>
          </cell>
          <cell r="BI130">
            <v>2707</v>
          </cell>
          <cell r="BJ130">
            <v>10260</v>
          </cell>
          <cell r="BK130">
            <v>3389</v>
          </cell>
          <cell r="BL130">
            <v>1689</v>
          </cell>
          <cell r="BM130">
            <v>4485</v>
          </cell>
          <cell r="BN130">
            <v>0</v>
          </cell>
          <cell r="BO130">
            <v>53</v>
          </cell>
          <cell r="BP130">
            <v>0</v>
          </cell>
          <cell r="BQ130">
            <v>0</v>
          </cell>
          <cell r="BR130">
            <v>210</v>
          </cell>
          <cell r="BS130">
            <v>390</v>
          </cell>
          <cell r="BT130">
            <v>0.20152091254752899</v>
          </cell>
          <cell r="BV130">
            <v>840</v>
          </cell>
          <cell r="BX130">
            <v>11686</v>
          </cell>
          <cell r="BY130">
            <v>2434</v>
          </cell>
          <cell r="BZ130">
            <v>2718</v>
          </cell>
          <cell r="CA130">
            <v>4485</v>
          </cell>
          <cell r="CB130">
            <v>18216.54406426373</v>
          </cell>
          <cell r="CC130">
            <v>9346.2897526501783</v>
          </cell>
          <cell r="CD130">
            <v>0</v>
          </cell>
          <cell r="CE130">
            <v>0</v>
          </cell>
          <cell r="CF130">
            <v>0</v>
          </cell>
          <cell r="CG130">
            <v>0</v>
          </cell>
          <cell r="CM130">
            <v>0</v>
          </cell>
          <cell r="CZ130">
            <v>0.22316506064528502</v>
          </cell>
          <cell r="DA130">
            <v>0.10583554376657825</v>
          </cell>
          <cell r="DB130">
            <v>43582888.160000004</v>
          </cell>
          <cell r="DC130">
            <v>88.8</v>
          </cell>
          <cell r="DD130">
            <v>6.9</v>
          </cell>
          <cell r="DE130">
            <v>1.6</v>
          </cell>
          <cell r="DF130">
            <v>79.2</v>
          </cell>
          <cell r="DG130">
            <v>11.7</v>
          </cell>
          <cell r="DH130">
            <v>2.8</v>
          </cell>
          <cell r="DI130">
            <v>97.3</v>
          </cell>
          <cell r="DJ130">
            <v>93.7</v>
          </cell>
        </row>
        <row r="131">
          <cell r="A131">
            <v>888</v>
          </cell>
          <cell r="B131">
            <v>9.8100391787800407E-3</v>
          </cell>
          <cell r="C131">
            <v>1.0659083237006E-2</v>
          </cell>
          <cell r="D131">
            <v>6.9949098825111203E-3</v>
          </cell>
          <cell r="E131">
            <v>1.87598040784967E-2</v>
          </cell>
          <cell r="F131">
            <v>4823</v>
          </cell>
          <cell r="G131">
            <v>310</v>
          </cell>
          <cell r="H131">
            <v>1640</v>
          </cell>
          <cell r="I131">
            <v>400</v>
          </cell>
          <cell r="J131">
            <v>6.1644328700596544E-2</v>
          </cell>
          <cell r="K131">
            <v>8.6402046683877035E-2</v>
          </cell>
          <cell r="L131">
            <v>294</v>
          </cell>
          <cell r="M131">
            <v>150</v>
          </cell>
          <cell r="N131">
            <v>78</v>
          </cell>
          <cell r="O131">
            <v>228</v>
          </cell>
          <cell r="P131">
            <v>0</v>
          </cell>
          <cell r="Q131">
            <v>0</v>
          </cell>
          <cell r="R131">
            <v>0</v>
          </cell>
          <cell r="S131">
            <v>21900</v>
          </cell>
          <cell r="T131">
            <v>73894</v>
          </cell>
          <cell r="U131">
            <v>8432</v>
          </cell>
          <cell r="V131">
            <v>698</v>
          </cell>
          <cell r="W131">
            <v>420</v>
          </cell>
          <cell r="X131">
            <v>1</v>
          </cell>
          <cell r="Y131">
            <v>1</v>
          </cell>
          <cell r="Z131">
            <v>276</v>
          </cell>
          <cell r="AA131">
            <v>150</v>
          </cell>
          <cell r="AB131">
            <v>0</v>
          </cell>
          <cell r="AC131">
            <v>0</v>
          </cell>
          <cell r="AD131">
            <v>0</v>
          </cell>
          <cell r="AE131">
            <v>17286</v>
          </cell>
          <cell r="AF131">
            <v>37348</v>
          </cell>
          <cell r="AG131">
            <v>16981</v>
          </cell>
          <cell r="AH131">
            <v>5953</v>
          </cell>
          <cell r="AI131">
            <v>0</v>
          </cell>
          <cell r="AJ131">
            <v>1</v>
          </cell>
          <cell r="AK131">
            <v>1</v>
          </cell>
          <cell r="AL131">
            <v>276</v>
          </cell>
          <cell r="AM131">
            <v>0</v>
          </cell>
          <cell r="AN131">
            <v>150</v>
          </cell>
          <cell r="AO131">
            <v>0</v>
          </cell>
          <cell r="AP131">
            <v>0</v>
          </cell>
          <cell r="AQ131">
            <v>0</v>
          </cell>
          <cell r="AX131">
            <v>9881</v>
          </cell>
          <cell r="AY131">
            <v>2450</v>
          </cell>
          <cell r="AZ131">
            <v>35</v>
          </cell>
          <cell r="BA131">
            <v>228</v>
          </cell>
          <cell r="BB131">
            <v>18</v>
          </cell>
          <cell r="BC131">
            <v>25</v>
          </cell>
          <cell r="BD131">
            <v>0</v>
          </cell>
          <cell r="BE131">
            <v>0</v>
          </cell>
          <cell r="BF131">
            <v>0.85947712418300704</v>
          </cell>
          <cell r="BH131">
            <v>10830</v>
          </cell>
          <cell r="BI131">
            <v>12354</v>
          </cell>
          <cell r="BJ131">
            <v>63673</v>
          </cell>
          <cell r="BK131">
            <v>10534</v>
          </cell>
          <cell r="BL131">
            <v>4867</v>
          </cell>
          <cell r="BM131">
            <v>3086</v>
          </cell>
          <cell r="BN131">
            <v>35</v>
          </cell>
          <cell r="BO131">
            <v>150</v>
          </cell>
          <cell r="BP131">
            <v>121</v>
          </cell>
          <cell r="BQ131">
            <v>0</v>
          </cell>
          <cell r="BR131">
            <v>0</v>
          </cell>
          <cell r="BS131">
            <v>0</v>
          </cell>
          <cell r="BT131">
            <v>0.60457516339869299</v>
          </cell>
          <cell r="BV131">
            <v>7671</v>
          </cell>
          <cell r="BX131">
            <v>67433</v>
          </cell>
          <cell r="BY131">
            <v>8111</v>
          </cell>
          <cell r="BZ131">
            <v>7991</v>
          </cell>
          <cell r="CA131">
            <v>3086</v>
          </cell>
          <cell r="CB131">
            <v>21905.801575631289</v>
          </cell>
          <cell r="CC131">
            <v>8812.0210526632363</v>
          </cell>
          <cell r="CD131">
            <v>0</v>
          </cell>
          <cell r="CE131">
            <v>18287.21862825043</v>
          </cell>
          <cell r="CF131">
            <v>0</v>
          </cell>
          <cell r="CG131">
            <v>0</v>
          </cell>
          <cell r="CM131">
            <v>0</v>
          </cell>
          <cell r="CZ131">
            <v>0.16270640354409988</v>
          </cell>
          <cell r="DA131">
            <v>8.7697000508388412E-2</v>
          </cell>
          <cell r="DB131">
            <v>139994690.33999997</v>
          </cell>
          <cell r="DC131">
            <v>90.6</v>
          </cell>
          <cell r="DD131">
            <v>5.7</v>
          </cell>
          <cell r="DE131">
            <v>1.7</v>
          </cell>
          <cell r="DF131">
            <v>85.5</v>
          </cell>
          <cell r="DG131">
            <v>7.9</v>
          </cell>
          <cell r="DH131">
            <v>2.5</v>
          </cell>
          <cell r="DI131">
            <v>97.9</v>
          </cell>
          <cell r="DJ131">
            <v>95.9</v>
          </cell>
        </row>
        <row r="132">
          <cell r="A132">
            <v>889</v>
          </cell>
          <cell r="B132">
            <v>-6.2434963579604602E-3</v>
          </cell>
          <cell r="C132">
            <v>1.09261186264308E-2</v>
          </cell>
          <cell r="D132">
            <v>-5.3035806953814199E-2</v>
          </cell>
          <cell r="E132">
            <v>-2.2833419823559899E-3</v>
          </cell>
          <cell r="F132">
            <v>1686</v>
          </cell>
          <cell r="G132">
            <v>2522</v>
          </cell>
          <cell r="H132">
            <v>80</v>
          </cell>
          <cell r="I132">
            <v>0</v>
          </cell>
          <cell r="J132">
            <v>0.10116083753883573</v>
          </cell>
          <cell r="K132">
            <v>0.10978157198355626</v>
          </cell>
          <cell r="L132">
            <v>0</v>
          </cell>
          <cell r="M132">
            <v>0</v>
          </cell>
          <cell r="N132">
            <v>72</v>
          </cell>
          <cell r="O132">
            <v>105</v>
          </cell>
          <cell r="P132">
            <v>0</v>
          </cell>
          <cell r="Q132">
            <v>0</v>
          </cell>
          <cell r="R132">
            <v>0</v>
          </cell>
          <cell r="S132">
            <v>2408</v>
          </cell>
          <cell r="T132">
            <v>10758</v>
          </cell>
          <cell r="U132">
            <v>2719</v>
          </cell>
          <cell r="V132">
            <v>420</v>
          </cell>
          <cell r="W132">
            <v>0</v>
          </cell>
          <cell r="X132">
            <v>1</v>
          </cell>
          <cell r="Y132">
            <v>1</v>
          </cell>
          <cell r="Z132">
            <v>100</v>
          </cell>
          <cell r="AA132">
            <v>0</v>
          </cell>
          <cell r="AB132">
            <v>0</v>
          </cell>
          <cell r="AC132">
            <v>0</v>
          </cell>
          <cell r="AD132">
            <v>0</v>
          </cell>
          <cell r="AE132">
            <v>1500</v>
          </cell>
          <cell r="AF132">
            <v>6630</v>
          </cell>
          <cell r="AG132">
            <v>3056</v>
          </cell>
          <cell r="AH132">
            <v>0</v>
          </cell>
          <cell r="AI132">
            <v>0</v>
          </cell>
          <cell r="AJ132">
            <v>1</v>
          </cell>
          <cell r="AK132">
            <v>1</v>
          </cell>
          <cell r="AL132">
            <v>100</v>
          </cell>
          <cell r="AM132">
            <v>0</v>
          </cell>
          <cell r="AN132">
            <v>0</v>
          </cell>
          <cell r="AO132">
            <v>0</v>
          </cell>
          <cell r="AP132">
            <v>0</v>
          </cell>
          <cell r="AQ132">
            <v>0</v>
          </cell>
          <cell r="AX132">
            <v>3731</v>
          </cell>
          <cell r="AY132">
            <v>300</v>
          </cell>
          <cell r="AZ132">
            <v>40</v>
          </cell>
          <cell r="BA132">
            <v>0</v>
          </cell>
          <cell r="BB132">
            <v>137</v>
          </cell>
          <cell r="BC132">
            <v>0</v>
          </cell>
          <cell r="BD132">
            <v>0</v>
          </cell>
          <cell r="BE132">
            <v>0</v>
          </cell>
          <cell r="BF132">
            <v>0.225988700564972</v>
          </cell>
          <cell r="BH132">
            <v>1236</v>
          </cell>
          <cell r="BI132">
            <v>5836</v>
          </cell>
          <cell r="BJ132">
            <v>5934</v>
          </cell>
          <cell r="BK132">
            <v>1516</v>
          </cell>
          <cell r="BL132">
            <v>417</v>
          </cell>
          <cell r="BM132">
            <v>1366</v>
          </cell>
          <cell r="BN132">
            <v>40</v>
          </cell>
          <cell r="BO132">
            <v>0</v>
          </cell>
          <cell r="BP132">
            <v>137</v>
          </cell>
          <cell r="BQ132">
            <v>0</v>
          </cell>
          <cell r="BR132">
            <v>0</v>
          </cell>
          <cell r="BS132">
            <v>0</v>
          </cell>
          <cell r="BT132">
            <v>0.225988700564972</v>
          </cell>
          <cell r="BV132">
            <v>758</v>
          </cell>
          <cell r="BX132">
            <v>8906</v>
          </cell>
          <cell r="BY132">
            <v>1527</v>
          </cell>
          <cell r="BZ132">
            <v>997</v>
          </cell>
          <cell r="CA132">
            <v>1366</v>
          </cell>
          <cell r="CB132">
            <v>0</v>
          </cell>
          <cell r="CC132">
            <v>0</v>
          </cell>
          <cell r="CD132">
            <v>0</v>
          </cell>
          <cell r="CE132">
            <v>0</v>
          </cell>
          <cell r="CF132">
            <v>0</v>
          </cell>
          <cell r="CG132">
            <v>0</v>
          </cell>
          <cell r="CM132">
            <v>0</v>
          </cell>
          <cell r="CZ132">
            <v>8.3375773008366683E-2</v>
          </cell>
          <cell r="DA132">
            <v>0.24669232619677653</v>
          </cell>
          <cell r="DB132">
            <v>16965931.800000001</v>
          </cell>
          <cell r="DC132">
            <v>88.4</v>
          </cell>
          <cell r="DD132">
            <v>7.6</v>
          </cell>
          <cell r="DE132">
            <v>2.1</v>
          </cell>
          <cell r="DF132">
            <v>78.099999999999994</v>
          </cell>
          <cell r="DG132">
            <v>11.8</v>
          </cell>
          <cell r="DH132">
            <v>4</v>
          </cell>
          <cell r="DI132">
            <v>98</v>
          </cell>
          <cell r="DJ132">
            <v>93.9</v>
          </cell>
        </row>
        <row r="133">
          <cell r="A133">
            <v>890</v>
          </cell>
          <cell r="B133">
            <v>1.28050876589893E-2</v>
          </cell>
          <cell r="C133">
            <v>-5.3282915091096596E-3</v>
          </cell>
          <cell r="D133">
            <v>0.14707835325365201</v>
          </cell>
          <cell r="E133">
            <v>3.9342629482071699E-2</v>
          </cell>
          <cell r="F133">
            <v>953</v>
          </cell>
          <cell r="G133">
            <v>0</v>
          </cell>
          <cell r="H133">
            <v>0</v>
          </cell>
          <cell r="I133">
            <v>0</v>
          </cell>
          <cell r="J133">
            <v>9.0431784342919819E-2</v>
          </cell>
          <cell r="K133">
            <v>0.13420890029934693</v>
          </cell>
          <cell r="L133">
            <v>180</v>
          </cell>
          <cell r="M133">
            <v>480</v>
          </cell>
          <cell r="N133">
            <v>0</v>
          </cell>
          <cell r="O133">
            <v>51</v>
          </cell>
          <cell r="P133">
            <v>0</v>
          </cell>
          <cell r="Q133">
            <v>0</v>
          </cell>
          <cell r="R133">
            <v>0</v>
          </cell>
          <cell r="S133">
            <v>1050</v>
          </cell>
          <cell r="T133">
            <v>10300</v>
          </cell>
          <cell r="U133">
            <v>1180</v>
          </cell>
          <cell r="V133">
            <v>0</v>
          </cell>
          <cell r="W133">
            <v>0</v>
          </cell>
          <cell r="X133">
            <v>1</v>
          </cell>
          <cell r="Y133">
            <v>1</v>
          </cell>
          <cell r="Z133">
            <v>0</v>
          </cell>
          <cell r="AA133">
            <v>0</v>
          </cell>
          <cell r="AB133">
            <v>0</v>
          </cell>
          <cell r="AC133">
            <v>0</v>
          </cell>
          <cell r="AD133">
            <v>0</v>
          </cell>
          <cell r="AE133">
            <v>0</v>
          </cell>
          <cell r="AF133">
            <v>1705</v>
          </cell>
          <cell r="AG133">
            <v>4378</v>
          </cell>
          <cell r="AH133">
            <v>0</v>
          </cell>
          <cell r="AI133">
            <v>0</v>
          </cell>
          <cell r="AJ133" t="str">
            <v>NULL</v>
          </cell>
          <cell r="AK133" t="str">
            <v>NULL</v>
          </cell>
          <cell r="AL133">
            <v>0</v>
          </cell>
          <cell r="AM133">
            <v>0</v>
          </cell>
          <cell r="AN133">
            <v>0</v>
          </cell>
          <cell r="AO133">
            <v>0</v>
          </cell>
          <cell r="AP133">
            <v>0</v>
          </cell>
          <cell r="AQ133">
            <v>0</v>
          </cell>
          <cell r="AX133">
            <v>2913</v>
          </cell>
          <cell r="AY133">
            <v>0</v>
          </cell>
          <cell r="AZ133">
            <v>0</v>
          </cell>
          <cell r="BA133">
            <v>0</v>
          </cell>
          <cell r="BB133">
            <v>51</v>
          </cell>
          <cell r="BC133">
            <v>0</v>
          </cell>
          <cell r="BD133">
            <v>0</v>
          </cell>
          <cell r="BE133">
            <v>0</v>
          </cell>
          <cell r="BF133">
            <v>0</v>
          </cell>
          <cell r="BH133">
            <v>2310</v>
          </cell>
          <cell r="BI133">
            <v>2820</v>
          </cell>
          <cell r="BJ133">
            <v>4540</v>
          </cell>
          <cell r="BK133">
            <v>2560</v>
          </cell>
          <cell r="BL133">
            <v>0</v>
          </cell>
          <cell r="BM133">
            <v>300</v>
          </cell>
          <cell r="BN133">
            <v>0</v>
          </cell>
          <cell r="BO133">
            <v>51</v>
          </cell>
          <cell r="BP133">
            <v>0</v>
          </cell>
          <cell r="BQ133">
            <v>0</v>
          </cell>
          <cell r="BR133">
            <v>0</v>
          </cell>
          <cell r="BS133">
            <v>0</v>
          </cell>
          <cell r="BT133">
            <v>1</v>
          </cell>
          <cell r="BV133">
            <v>1260</v>
          </cell>
          <cell r="BX133">
            <v>6511</v>
          </cell>
          <cell r="BY133">
            <v>1260</v>
          </cell>
          <cell r="BZ133">
            <v>1090</v>
          </cell>
          <cell r="CA133">
            <v>300</v>
          </cell>
          <cell r="CB133">
            <v>0</v>
          </cell>
          <cell r="CC133">
            <v>0</v>
          </cell>
          <cell r="CD133">
            <v>0</v>
          </cell>
          <cell r="CE133">
            <v>0</v>
          </cell>
          <cell r="CF133">
            <v>0</v>
          </cell>
          <cell r="CG133">
            <v>0</v>
          </cell>
          <cell r="CM133">
            <v>0</v>
          </cell>
          <cell r="CZ133">
            <v>7.761582025810046E-2</v>
          </cell>
          <cell r="DA133">
            <v>-0.15038461538461539</v>
          </cell>
          <cell r="DB133">
            <v>23227234.870000001</v>
          </cell>
          <cell r="DC133">
            <v>94.1</v>
          </cell>
          <cell r="DD133">
            <v>3.8</v>
          </cell>
          <cell r="DE133">
            <v>0.4</v>
          </cell>
          <cell r="DF133">
            <v>83.4</v>
          </cell>
          <cell r="DG133">
            <v>9.1999999999999993</v>
          </cell>
          <cell r="DH133">
            <v>3.2</v>
          </cell>
          <cell r="DI133">
            <v>98.3</v>
          </cell>
          <cell r="DJ133">
            <v>95.8</v>
          </cell>
        </row>
        <row r="134">
          <cell r="A134">
            <v>891</v>
          </cell>
          <cell r="B134">
            <v>8.4250188394875691E-3</v>
          </cell>
          <cell r="C134">
            <v>1.34890730972118E-2</v>
          </cell>
          <cell r="D134">
            <v>6.24194986624393E-3</v>
          </cell>
          <cell r="E134">
            <v>6.8364212820766898E-3</v>
          </cell>
          <cell r="F134">
            <v>7871</v>
          </cell>
          <cell r="G134">
            <v>0</v>
          </cell>
          <cell r="H134">
            <v>1290</v>
          </cell>
          <cell r="I134">
            <v>1370</v>
          </cell>
          <cell r="J134">
            <v>4.9983117460152764E-2</v>
          </cell>
          <cell r="K134">
            <v>0.10111910505151876</v>
          </cell>
          <cell r="L134">
            <v>1047</v>
          </cell>
          <cell r="M134">
            <v>1021</v>
          </cell>
          <cell r="N134">
            <v>98</v>
          </cell>
          <cell r="O134">
            <v>1297</v>
          </cell>
          <cell r="P134">
            <v>553</v>
          </cell>
          <cell r="Q134">
            <v>0</v>
          </cell>
          <cell r="R134">
            <v>0</v>
          </cell>
          <cell r="S134">
            <v>9875</v>
          </cell>
          <cell r="T134">
            <v>47558</v>
          </cell>
          <cell r="U134">
            <v>6676</v>
          </cell>
          <cell r="V134">
            <v>1540</v>
          </cell>
          <cell r="W134">
            <v>0</v>
          </cell>
          <cell r="X134">
            <v>0.71611909650923999</v>
          </cell>
          <cell r="Y134">
            <v>116</v>
          </cell>
          <cell r="Z134">
            <v>48</v>
          </cell>
          <cell r="AA134">
            <v>348</v>
          </cell>
          <cell r="AB134">
            <v>0</v>
          </cell>
          <cell r="AC134">
            <v>0</v>
          </cell>
          <cell r="AD134">
            <v>600</v>
          </cell>
          <cell r="AE134">
            <v>13975</v>
          </cell>
          <cell r="AF134">
            <v>34287</v>
          </cell>
          <cell r="AG134">
            <v>2751</v>
          </cell>
          <cell r="AH134">
            <v>750</v>
          </cell>
          <cell r="AI134">
            <v>0</v>
          </cell>
          <cell r="AJ134">
            <v>1</v>
          </cell>
          <cell r="AK134">
            <v>1</v>
          </cell>
          <cell r="AL134">
            <v>48</v>
          </cell>
          <cell r="AM134">
            <v>19</v>
          </cell>
          <cell r="AN134">
            <v>139</v>
          </cell>
          <cell r="AO134">
            <v>170</v>
          </cell>
          <cell r="AP134">
            <v>20</v>
          </cell>
          <cell r="AQ134">
            <v>600</v>
          </cell>
          <cell r="AX134">
            <v>3065</v>
          </cell>
          <cell r="AY134">
            <v>1024</v>
          </cell>
          <cell r="AZ134">
            <v>398</v>
          </cell>
          <cell r="BA134">
            <v>224</v>
          </cell>
          <cell r="BB134">
            <v>952</v>
          </cell>
          <cell r="BC134">
            <v>210</v>
          </cell>
          <cell r="BD134">
            <v>0</v>
          </cell>
          <cell r="BE134">
            <v>164</v>
          </cell>
          <cell r="BF134">
            <v>0.34865470852017899</v>
          </cell>
          <cell r="BH134">
            <v>5179</v>
          </cell>
          <cell r="BI134">
            <v>10012</v>
          </cell>
          <cell r="BJ134">
            <v>33283</v>
          </cell>
          <cell r="BK134">
            <v>5959</v>
          </cell>
          <cell r="BL134">
            <v>3692</v>
          </cell>
          <cell r="BM134">
            <v>7524</v>
          </cell>
          <cell r="BN134">
            <v>170</v>
          </cell>
          <cell r="BO134">
            <v>472</v>
          </cell>
          <cell r="BP134">
            <v>542</v>
          </cell>
          <cell r="BQ134">
            <v>390</v>
          </cell>
          <cell r="BR134">
            <v>210</v>
          </cell>
          <cell r="BS134">
            <v>164</v>
          </cell>
          <cell r="BT134">
            <v>0.35986547085201798</v>
          </cell>
          <cell r="BV134">
            <v>4654</v>
          </cell>
          <cell r="BX134">
            <v>36386</v>
          </cell>
          <cell r="BY134">
            <v>6300</v>
          </cell>
          <cell r="BZ134">
            <v>5504</v>
          </cell>
          <cell r="CA134">
            <v>7524</v>
          </cell>
          <cell r="CB134">
            <v>10897.124620922659</v>
          </cell>
          <cell r="CC134">
            <v>0</v>
          </cell>
          <cell r="CD134">
            <v>0</v>
          </cell>
          <cell r="CE134">
            <v>16251.334612259812</v>
          </cell>
          <cell r="CF134">
            <v>0</v>
          </cell>
          <cell r="CG134">
            <v>0</v>
          </cell>
          <cell r="CM134">
            <v>0</v>
          </cell>
          <cell r="CZ134">
            <v>0.23404853532957282</v>
          </cell>
          <cell r="DA134">
            <v>7.752619284409186E-2</v>
          </cell>
          <cell r="DB134">
            <v>85939705.25</v>
          </cell>
          <cell r="DC134">
            <v>93.3</v>
          </cell>
          <cell r="DD134">
            <v>4.0999999999999996</v>
          </cell>
          <cell r="DE134">
            <v>1</v>
          </cell>
          <cell r="DF134">
            <v>91.7</v>
          </cell>
          <cell r="DG134">
            <v>4.8</v>
          </cell>
          <cell r="DH134">
            <v>0.8</v>
          </cell>
          <cell r="DI134">
            <v>98.4</v>
          </cell>
          <cell r="DJ134">
            <v>97.4</v>
          </cell>
        </row>
        <row r="135">
          <cell r="A135">
            <v>892</v>
          </cell>
          <cell r="B135">
            <v>8.0755232029117406E-3</v>
          </cell>
          <cell r="C135">
            <v>-2.7676675765847701E-3</v>
          </cell>
          <cell r="D135">
            <v>-1.56888029228455E-2</v>
          </cell>
          <cell r="E135">
            <v>1.2536714664374201E-2</v>
          </cell>
          <cell r="F135">
            <v>4586</v>
          </cell>
          <cell r="G135">
            <v>2547</v>
          </cell>
          <cell r="H135">
            <v>130</v>
          </cell>
          <cell r="I135">
            <v>120</v>
          </cell>
          <cell r="J135">
            <v>5.8737947756413694E-2</v>
          </cell>
          <cell r="K135">
            <v>0.11121694573942188</v>
          </cell>
          <cell r="L135">
            <v>360</v>
          </cell>
          <cell r="M135">
            <v>568</v>
          </cell>
          <cell r="N135">
            <v>90</v>
          </cell>
          <cell r="O135">
            <v>120</v>
          </cell>
          <cell r="P135">
            <v>0</v>
          </cell>
          <cell r="Q135">
            <v>0</v>
          </cell>
          <cell r="R135">
            <v>0</v>
          </cell>
          <cell r="S135">
            <v>3795</v>
          </cell>
          <cell r="T135">
            <v>18338</v>
          </cell>
          <cell r="U135">
            <v>4305</v>
          </cell>
          <cell r="V135">
            <v>840</v>
          </cell>
          <cell r="W135">
            <v>420</v>
          </cell>
          <cell r="X135">
            <v>1</v>
          </cell>
          <cell r="Y135">
            <v>1</v>
          </cell>
          <cell r="Z135">
            <v>25</v>
          </cell>
          <cell r="AA135">
            <v>260</v>
          </cell>
          <cell r="AB135">
            <v>0</v>
          </cell>
          <cell r="AC135">
            <v>0</v>
          </cell>
          <cell r="AD135">
            <v>0</v>
          </cell>
          <cell r="AE135">
            <v>2945</v>
          </cell>
          <cell r="AF135">
            <v>11490</v>
          </cell>
          <cell r="AG135">
            <v>0</v>
          </cell>
          <cell r="AH135">
            <v>1800</v>
          </cell>
          <cell r="AI135">
            <v>0</v>
          </cell>
          <cell r="AJ135">
            <v>1</v>
          </cell>
          <cell r="AK135">
            <v>1</v>
          </cell>
          <cell r="AL135">
            <v>0</v>
          </cell>
          <cell r="AM135">
            <v>0</v>
          </cell>
          <cell r="AN135">
            <v>25</v>
          </cell>
          <cell r="AO135">
            <v>0</v>
          </cell>
          <cell r="AP135">
            <v>0</v>
          </cell>
          <cell r="AQ135">
            <v>260</v>
          </cell>
          <cell r="AX135">
            <v>2400</v>
          </cell>
          <cell r="AY135">
            <v>1050</v>
          </cell>
          <cell r="AZ135">
            <v>210</v>
          </cell>
          <cell r="BA135">
            <v>0</v>
          </cell>
          <cell r="BB135">
            <v>0</v>
          </cell>
          <cell r="BC135">
            <v>0</v>
          </cell>
          <cell r="BD135">
            <v>0</v>
          </cell>
          <cell r="BE135">
            <v>0</v>
          </cell>
          <cell r="BF135">
            <v>1</v>
          </cell>
          <cell r="BH135">
            <v>6286</v>
          </cell>
          <cell r="BI135">
            <v>8740</v>
          </cell>
          <cell r="BJ135">
            <v>9132</v>
          </cell>
          <cell r="BK135">
            <v>1050</v>
          </cell>
          <cell r="BL135">
            <v>1650</v>
          </cell>
          <cell r="BM135">
            <v>840</v>
          </cell>
          <cell r="BN135">
            <v>0</v>
          </cell>
          <cell r="BO135">
            <v>210</v>
          </cell>
          <cell r="BP135">
            <v>0</v>
          </cell>
          <cell r="BQ135">
            <v>0</v>
          </cell>
          <cell r="BR135">
            <v>0</v>
          </cell>
          <cell r="BS135">
            <v>0</v>
          </cell>
          <cell r="BT135">
            <v>1</v>
          </cell>
          <cell r="BV135">
            <v>4081</v>
          </cell>
          <cell r="BX135">
            <v>12755</v>
          </cell>
          <cell r="BY135">
            <v>1747</v>
          </cell>
          <cell r="BZ135">
            <v>1590</v>
          </cell>
          <cell r="CA135">
            <v>840</v>
          </cell>
          <cell r="CB135">
            <v>13399.033207754375</v>
          </cell>
          <cell r="CC135">
            <v>1497.079764373332</v>
          </cell>
          <cell r="CD135">
            <v>0</v>
          </cell>
          <cell r="CE135">
            <v>0</v>
          </cell>
          <cell r="CF135">
            <v>0</v>
          </cell>
          <cell r="CG135">
            <v>0</v>
          </cell>
          <cell r="CM135">
            <v>0</v>
          </cell>
          <cell r="CZ135">
            <v>0.38187751004016063</v>
          </cell>
          <cell r="DA135">
            <v>0.75376829134118162</v>
          </cell>
          <cell r="DB135">
            <v>59129957.469999999</v>
          </cell>
          <cell r="DC135">
            <v>91.6</v>
          </cell>
          <cell r="DD135">
            <v>4.8</v>
          </cell>
          <cell r="DE135">
            <v>1.2</v>
          </cell>
          <cell r="DF135">
            <v>78.599999999999994</v>
          </cell>
          <cell r="DG135">
            <v>10.199999999999999</v>
          </cell>
          <cell r="DH135">
            <v>3.2</v>
          </cell>
          <cell r="DI135">
            <v>97.6</v>
          </cell>
          <cell r="DJ135">
            <v>91.9</v>
          </cell>
        </row>
        <row r="136">
          <cell r="A136">
            <v>893</v>
          </cell>
          <cell r="B136">
            <v>-1.6330451488952898E-2</v>
          </cell>
          <cell r="C136">
            <v>1.7291066282420699E-3</v>
          </cell>
          <cell r="D136">
            <v>5.4730792912362301E-3</v>
          </cell>
          <cell r="E136">
            <v>1.06040911267702E-2</v>
          </cell>
          <cell r="F136">
            <v>0</v>
          </cell>
          <cell r="G136">
            <v>0</v>
          </cell>
          <cell r="H136">
            <v>60</v>
          </cell>
          <cell r="I136">
            <v>170</v>
          </cell>
          <cell r="J136">
            <v>0.10341453767572187</v>
          </cell>
          <cell r="K136">
            <v>0.107415526122904</v>
          </cell>
          <cell r="L136">
            <v>666</v>
          </cell>
          <cell r="M136">
            <v>60</v>
          </cell>
          <cell r="N136">
            <v>36</v>
          </cell>
          <cell r="O136">
            <v>21</v>
          </cell>
          <cell r="P136">
            <v>0</v>
          </cell>
          <cell r="Q136">
            <v>0</v>
          </cell>
          <cell r="R136">
            <v>0</v>
          </cell>
          <cell r="S136">
            <v>2753</v>
          </cell>
          <cell r="T136">
            <v>17593</v>
          </cell>
          <cell r="U136">
            <v>1925</v>
          </cell>
          <cell r="V136">
            <v>360</v>
          </cell>
          <cell r="W136">
            <v>0</v>
          </cell>
          <cell r="X136">
            <v>1</v>
          </cell>
          <cell r="Y136">
            <v>1</v>
          </cell>
          <cell r="Z136">
            <v>0</v>
          </cell>
          <cell r="AA136">
            <v>0</v>
          </cell>
          <cell r="AB136">
            <v>0</v>
          </cell>
          <cell r="AC136">
            <v>0</v>
          </cell>
          <cell r="AD136">
            <v>0</v>
          </cell>
          <cell r="AE136">
            <v>1680</v>
          </cell>
          <cell r="AF136">
            <v>13695</v>
          </cell>
          <cell r="AG136">
            <v>1206</v>
          </cell>
          <cell r="AH136">
            <v>0</v>
          </cell>
          <cell r="AI136">
            <v>0</v>
          </cell>
          <cell r="AJ136" t="str">
            <v>NULL</v>
          </cell>
          <cell r="AK136" t="str">
            <v>NULL</v>
          </cell>
          <cell r="AL136">
            <v>0</v>
          </cell>
          <cell r="AM136">
            <v>0</v>
          </cell>
          <cell r="AN136">
            <v>0</v>
          </cell>
          <cell r="AO136">
            <v>0</v>
          </cell>
          <cell r="AP136">
            <v>0</v>
          </cell>
          <cell r="AQ136">
            <v>0</v>
          </cell>
          <cell r="AX136">
            <v>0</v>
          </cell>
          <cell r="AY136">
            <v>0</v>
          </cell>
          <cell r="AZ136">
            <v>0</v>
          </cell>
          <cell r="BA136">
            <v>0</v>
          </cell>
          <cell r="BB136">
            <v>57</v>
          </cell>
          <cell r="BC136">
            <v>0</v>
          </cell>
          <cell r="BD136">
            <v>0</v>
          </cell>
          <cell r="BE136">
            <v>0</v>
          </cell>
          <cell r="BF136">
            <v>0</v>
          </cell>
          <cell r="BH136">
            <v>475</v>
          </cell>
          <cell r="BI136">
            <v>1673</v>
          </cell>
          <cell r="BJ136">
            <v>12864</v>
          </cell>
          <cell r="BK136">
            <v>2288</v>
          </cell>
          <cell r="BL136">
            <v>2520</v>
          </cell>
          <cell r="BM136">
            <v>2811</v>
          </cell>
          <cell r="BN136">
            <v>0</v>
          </cell>
          <cell r="BO136">
            <v>0</v>
          </cell>
          <cell r="BP136">
            <v>57</v>
          </cell>
          <cell r="BQ136">
            <v>0</v>
          </cell>
          <cell r="BR136">
            <v>0</v>
          </cell>
          <cell r="BS136">
            <v>0</v>
          </cell>
          <cell r="BT136">
            <v>0</v>
          </cell>
          <cell r="BV136">
            <v>757</v>
          </cell>
          <cell r="BX136">
            <v>15808</v>
          </cell>
          <cell r="BY136">
            <v>630</v>
          </cell>
          <cell r="BZ136">
            <v>1239</v>
          </cell>
          <cell r="CA136">
            <v>2811</v>
          </cell>
          <cell r="CB136">
            <v>19112.777257107151</v>
          </cell>
          <cell r="CC136">
            <v>0</v>
          </cell>
          <cell r="CD136">
            <v>0</v>
          </cell>
          <cell r="CE136">
            <v>0</v>
          </cell>
          <cell r="CF136">
            <v>0</v>
          </cell>
          <cell r="CG136">
            <v>0</v>
          </cell>
          <cell r="CM136">
            <v>0</v>
          </cell>
          <cell r="CZ136">
            <v>9.159296533495985E-2</v>
          </cell>
          <cell r="DA136">
            <v>-3.1636863823933978E-2</v>
          </cell>
          <cell r="DB136">
            <v>16134219.820000002</v>
          </cell>
          <cell r="DC136">
            <v>95.4</v>
          </cell>
          <cell r="DD136">
            <v>3</v>
          </cell>
          <cell r="DE136">
            <v>0.3</v>
          </cell>
          <cell r="DF136">
            <v>91.7</v>
          </cell>
          <cell r="DG136">
            <v>4.9000000000000004</v>
          </cell>
          <cell r="DH136">
            <v>0.7</v>
          </cell>
          <cell r="DI136">
            <v>98.7</v>
          </cell>
          <cell r="DJ136">
            <v>97.3</v>
          </cell>
        </row>
        <row r="137">
          <cell r="A137">
            <v>894</v>
          </cell>
          <cell r="B137">
            <v>6.8359987456883004E-3</v>
          </cell>
          <cell r="C137">
            <v>2.36437754782063E-2</v>
          </cell>
          <cell r="D137">
            <v>5.1493203690842301E-2</v>
          </cell>
          <cell r="E137">
            <v>3.01617223930946E-2</v>
          </cell>
          <cell r="F137">
            <v>2029</v>
          </cell>
          <cell r="G137">
            <v>1544</v>
          </cell>
          <cell r="H137">
            <v>120</v>
          </cell>
          <cell r="I137">
            <v>300</v>
          </cell>
          <cell r="J137">
            <v>7.457387029353918E-2</v>
          </cell>
          <cell r="K137">
            <v>1.6643199381667795E-2</v>
          </cell>
          <cell r="L137">
            <v>716</v>
          </cell>
          <cell r="M137">
            <v>430</v>
          </cell>
          <cell r="N137">
            <v>0</v>
          </cell>
          <cell r="O137">
            <v>27</v>
          </cell>
          <cell r="P137">
            <v>0</v>
          </cell>
          <cell r="Q137">
            <v>0</v>
          </cell>
          <cell r="R137">
            <v>0</v>
          </cell>
          <cell r="S137">
            <v>3277</v>
          </cell>
          <cell r="T137">
            <v>11785</v>
          </cell>
          <cell r="U137">
            <v>1229</v>
          </cell>
          <cell r="V137">
            <v>0</v>
          </cell>
          <cell r="W137">
            <v>0</v>
          </cell>
          <cell r="X137">
            <v>1</v>
          </cell>
          <cell r="Y137">
            <v>1</v>
          </cell>
          <cell r="Z137">
            <v>0</v>
          </cell>
          <cell r="AA137">
            <v>0</v>
          </cell>
          <cell r="AB137">
            <v>0</v>
          </cell>
          <cell r="AC137">
            <v>0</v>
          </cell>
          <cell r="AD137">
            <v>0</v>
          </cell>
          <cell r="AE137">
            <v>2920</v>
          </cell>
          <cell r="AF137">
            <v>4001</v>
          </cell>
          <cell r="AG137">
            <v>4680</v>
          </cell>
          <cell r="AH137">
            <v>1200</v>
          </cell>
          <cell r="AI137">
            <v>0</v>
          </cell>
          <cell r="AJ137" t="str">
            <v>NULL</v>
          </cell>
          <cell r="AK137" t="str">
            <v>NULL</v>
          </cell>
          <cell r="AL137">
            <v>0</v>
          </cell>
          <cell r="AM137">
            <v>0</v>
          </cell>
          <cell r="AN137">
            <v>0</v>
          </cell>
          <cell r="AO137">
            <v>0</v>
          </cell>
          <cell r="AP137">
            <v>0</v>
          </cell>
          <cell r="AQ137">
            <v>0</v>
          </cell>
          <cell r="AX137">
            <v>1800</v>
          </cell>
          <cell r="AY137">
            <v>901</v>
          </cell>
          <cell r="AZ137">
            <v>0</v>
          </cell>
          <cell r="BA137">
            <v>0</v>
          </cell>
          <cell r="BB137">
            <v>27</v>
          </cell>
          <cell r="BC137">
            <v>0</v>
          </cell>
          <cell r="BD137">
            <v>0</v>
          </cell>
          <cell r="BE137">
            <v>0</v>
          </cell>
          <cell r="BF137">
            <v>0</v>
          </cell>
          <cell r="BH137">
            <v>1050</v>
          </cell>
          <cell r="BI137">
            <v>2100</v>
          </cell>
          <cell r="BJ137">
            <v>8375</v>
          </cell>
          <cell r="BK137">
            <v>1110</v>
          </cell>
          <cell r="BL137">
            <v>2100</v>
          </cell>
          <cell r="BM137">
            <v>1556</v>
          </cell>
          <cell r="BN137">
            <v>0</v>
          </cell>
          <cell r="BO137">
            <v>0</v>
          </cell>
          <cell r="BP137">
            <v>27</v>
          </cell>
          <cell r="BQ137">
            <v>0</v>
          </cell>
          <cell r="BR137">
            <v>0</v>
          </cell>
          <cell r="BS137">
            <v>0</v>
          </cell>
          <cell r="BT137">
            <v>0</v>
          </cell>
          <cell r="BV137">
            <v>720</v>
          </cell>
          <cell r="BX137">
            <v>9782</v>
          </cell>
          <cell r="BY137">
            <v>1503</v>
          </cell>
          <cell r="BZ137">
            <v>630</v>
          </cell>
          <cell r="CA137">
            <v>1556</v>
          </cell>
          <cell r="CB137">
            <v>14427.551729180375</v>
          </cell>
          <cell r="CC137">
            <v>0</v>
          </cell>
          <cell r="CD137">
            <v>26345.933562428407</v>
          </cell>
          <cell r="CE137">
            <v>0</v>
          </cell>
          <cell r="CF137">
            <v>0</v>
          </cell>
          <cell r="CG137">
            <v>0</v>
          </cell>
          <cell r="CM137">
            <v>0</v>
          </cell>
          <cell r="CZ137">
            <v>0.22426852814495768</v>
          </cell>
          <cell r="DA137">
            <v>0.49334659868175601</v>
          </cell>
          <cell r="DB137">
            <v>33350987.440000001</v>
          </cell>
          <cell r="DC137">
            <v>94.8</v>
          </cell>
          <cell r="DD137">
            <v>3.3</v>
          </cell>
          <cell r="DE137">
            <v>0.4</v>
          </cell>
          <cell r="DF137">
            <v>78.2</v>
          </cell>
          <cell r="DG137">
            <v>9.1999999999999993</v>
          </cell>
          <cell r="DH137">
            <v>2.9</v>
          </cell>
          <cell r="DI137">
            <v>98.5</v>
          </cell>
          <cell r="DJ137">
            <v>90.2</v>
          </cell>
        </row>
        <row r="138">
          <cell r="A138">
            <v>895</v>
          </cell>
          <cell r="B138">
            <v>1.1696508197845901E-2</v>
          </cell>
          <cell r="C138">
            <v>8.3350483638608801E-3</v>
          </cell>
          <cell r="D138">
            <v>1.9256272876770501E-2</v>
          </cell>
          <cell r="E138">
            <v>2.0794652803564798E-2</v>
          </cell>
          <cell r="F138">
            <v>2554</v>
          </cell>
          <cell r="G138">
            <v>2816</v>
          </cell>
          <cell r="H138">
            <v>180</v>
          </cell>
          <cell r="I138">
            <v>890</v>
          </cell>
          <cell r="J138">
            <v>6.3333048169625664E-2</v>
          </cell>
          <cell r="K138">
            <v>7.8808148235117795E-2</v>
          </cell>
          <cell r="L138">
            <v>435</v>
          </cell>
          <cell r="M138">
            <v>360</v>
          </cell>
          <cell r="N138">
            <v>225</v>
          </cell>
          <cell r="O138">
            <v>105</v>
          </cell>
          <cell r="P138">
            <v>127</v>
          </cell>
          <cell r="Q138">
            <v>210</v>
          </cell>
          <cell r="R138">
            <v>0</v>
          </cell>
          <cell r="S138">
            <v>7205</v>
          </cell>
          <cell r="T138">
            <v>18847</v>
          </cell>
          <cell r="U138">
            <v>3875</v>
          </cell>
          <cell r="V138">
            <v>763</v>
          </cell>
          <cell r="W138">
            <v>0</v>
          </cell>
          <cell r="X138">
            <v>0.49475262368815598</v>
          </cell>
          <cell r="Y138">
            <v>131</v>
          </cell>
          <cell r="Z138">
            <v>0</v>
          </cell>
          <cell r="AA138">
            <v>0</v>
          </cell>
          <cell r="AB138">
            <v>0</v>
          </cell>
          <cell r="AC138">
            <v>0</v>
          </cell>
          <cell r="AD138">
            <v>0</v>
          </cell>
          <cell r="AE138">
            <v>6744</v>
          </cell>
          <cell r="AF138">
            <v>15762</v>
          </cell>
          <cell r="AG138">
            <v>1650</v>
          </cell>
          <cell r="AH138">
            <v>0</v>
          </cell>
          <cell r="AI138">
            <v>800</v>
          </cell>
          <cell r="AJ138" t="str">
            <v>NULL</v>
          </cell>
          <cell r="AK138" t="str">
            <v>NULL</v>
          </cell>
          <cell r="AL138">
            <v>0</v>
          </cell>
          <cell r="AM138">
            <v>0</v>
          </cell>
          <cell r="AN138">
            <v>0</v>
          </cell>
          <cell r="AO138">
            <v>0</v>
          </cell>
          <cell r="AP138">
            <v>0</v>
          </cell>
          <cell r="AQ138">
            <v>0</v>
          </cell>
          <cell r="AX138">
            <v>1650</v>
          </cell>
          <cell r="AY138">
            <v>1100</v>
          </cell>
          <cell r="AZ138">
            <v>0</v>
          </cell>
          <cell r="BA138">
            <v>0</v>
          </cell>
          <cell r="BB138">
            <v>345</v>
          </cell>
          <cell r="BC138">
            <v>112</v>
          </cell>
          <cell r="BD138">
            <v>210</v>
          </cell>
          <cell r="BE138">
            <v>0</v>
          </cell>
          <cell r="BF138">
            <v>0</v>
          </cell>
          <cell r="BH138">
            <v>2258</v>
          </cell>
          <cell r="BI138">
            <v>2728</v>
          </cell>
          <cell r="BJ138">
            <v>17179</v>
          </cell>
          <cell r="BK138">
            <v>5295</v>
          </cell>
          <cell r="BL138">
            <v>1872</v>
          </cell>
          <cell r="BM138">
            <v>1358</v>
          </cell>
          <cell r="BN138">
            <v>0</v>
          </cell>
          <cell r="BO138">
            <v>0</v>
          </cell>
          <cell r="BP138">
            <v>435</v>
          </cell>
          <cell r="BQ138">
            <v>0</v>
          </cell>
          <cell r="BR138">
            <v>232</v>
          </cell>
          <cell r="BS138">
            <v>0</v>
          </cell>
          <cell r="BT138">
            <v>0</v>
          </cell>
          <cell r="BV138">
            <v>1592</v>
          </cell>
          <cell r="BX138">
            <v>21950</v>
          </cell>
          <cell r="BY138">
            <v>1575</v>
          </cell>
          <cell r="BZ138">
            <v>1605</v>
          </cell>
          <cell r="CA138">
            <v>1358</v>
          </cell>
          <cell r="CB138">
            <v>13827.336511521353</v>
          </cell>
          <cell r="CC138">
            <v>2908.3570750237413</v>
          </cell>
          <cell r="CD138">
            <v>0</v>
          </cell>
          <cell r="CE138">
            <v>0</v>
          </cell>
          <cell r="CF138">
            <v>0</v>
          </cell>
          <cell r="CG138">
            <v>0</v>
          </cell>
          <cell r="CM138">
            <v>0</v>
          </cell>
          <cell r="CZ138">
            <v>0.16023864511162433</v>
          </cell>
          <cell r="DA138">
            <v>0.12201661234360214</v>
          </cell>
          <cell r="DB138">
            <v>46615984.760000005</v>
          </cell>
          <cell r="DC138">
            <v>92.7</v>
          </cell>
          <cell r="DD138">
            <v>4.4000000000000004</v>
          </cell>
          <cell r="DE138">
            <v>1.4</v>
          </cell>
          <cell r="DF138">
            <v>94.3</v>
          </cell>
          <cell r="DG138">
            <v>3.6</v>
          </cell>
          <cell r="DH138">
            <v>0.6</v>
          </cell>
          <cell r="DI138">
            <v>98.5</v>
          </cell>
          <cell r="DJ138">
            <v>98.5</v>
          </cell>
        </row>
        <row r="139">
          <cell r="A139">
            <v>896</v>
          </cell>
          <cell r="B139">
            <v>-1.16010132530563E-2</v>
          </cell>
          <cell r="C139">
            <v>3.0067183083079398E-2</v>
          </cell>
          <cell r="D139">
            <v>2.1546993241291699E-2</v>
          </cell>
          <cell r="E139">
            <v>3.2060539541332103E-2</v>
          </cell>
          <cell r="F139">
            <v>3555</v>
          </cell>
          <cell r="G139">
            <v>661</v>
          </cell>
          <cell r="H139">
            <v>420</v>
          </cell>
          <cell r="I139">
            <v>680</v>
          </cell>
          <cell r="J139">
            <v>0.10328924500806021</v>
          </cell>
          <cell r="K139">
            <v>0.13251981084180567</v>
          </cell>
          <cell r="L139">
            <v>1015</v>
          </cell>
          <cell r="M139">
            <v>200</v>
          </cell>
          <cell r="N139">
            <v>105</v>
          </cell>
          <cell r="O139">
            <v>522</v>
          </cell>
          <cell r="P139">
            <v>0</v>
          </cell>
          <cell r="Q139">
            <v>0</v>
          </cell>
          <cell r="R139">
            <v>0</v>
          </cell>
          <cell r="S139">
            <v>7357</v>
          </cell>
          <cell r="T139">
            <v>20300</v>
          </cell>
          <cell r="U139">
            <v>1865</v>
          </cell>
          <cell r="V139">
            <v>210</v>
          </cell>
          <cell r="W139">
            <v>0</v>
          </cell>
          <cell r="X139">
            <v>1</v>
          </cell>
          <cell r="Y139">
            <v>1</v>
          </cell>
          <cell r="Z139">
            <v>0</v>
          </cell>
          <cell r="AA139">
            <v>0</v>
          </cell>
          <cell r="AB139">
            <v>0</v>
          </cell>
          <cell r="AC139">
            <v>0</v>
          </cell>
          <cell r="AD139">
            <v>165</v>
          </cell>
          <cell r="AE139">
            <v>6003</v>
          </cell>
          <cell r="AF139">
            <v>15034</v>
          </cell>
          <cell r="AG139">
            <v>0</v>
          </cell>
          <cell r="AH139">
            <v>1350</v>
          </cell>
          <cell r="AI139">
            <v>0</v>
          </cell>
          <cell r="AJ139" t="str">
            <v>NULL</v>
          </cell>
          <cell r="AK139" t="str">
            <v>NULL</v>
          </cell>
          <cell r="AL139">
            <v>0</v>
          </cell>
          <cell r="AM139">
            <v>0</v>
          </cell>
          <cell r="AN139">
            <v>0</v>
          </cell>
          <cell r="AO139">
            <v>0</v>
          </cell>
          <cell r="AP139">
            <v>0</v>
          </cell>
          <cell r="AQ139">
            <v>165</v>
          </cell>
          <cell r="AX139">
            <v>1950</v>
          </cell>
          <cell r="AY139">
            <v>0</v>
          </cell>
          <cell r="AZ139">
            <v>0</v>
          </cell>
          <cell r="BA139">
            <v>210</v>
          </cell>
          <cell r="BB139">
            <v>270</v>
          </cell>
          <cell r="BC139">
            <v>42</v>
          </cell>
          <cell r="BD139">
            <v>105</v>
          </cell>
          <cell r="BE139">
            <v>0</v>
          </cell>
          <cell r="BF139">
            <v>0.33492822966507202</v>
          </cell>
          <cell r="BH139">
            <v>2741</v>
          </cell>
          <cell r="BI139">
            <v>1134</v>
          </cell>
          <cell r="BJ139">
            <v>18228</v>
          </cell>
          <cell r="BK139">
            <v>3668</v>
          </cell>
          <cell r="BL139">
            <v>2266</v>
          </cell>
          <cell r="BM139">
            <v>1695</v>
          </cell>
          <cell r="BN139">
            <v>0</v>
          </cell>
          <cell r="BO139">
            <v>210</v>
          </cell>
          <cell r="BP139">
            <v>270</v>
          </cell>
          <cell r="BQ139">
            <v>42</v>
          </cell>
          <cell r="BR139">
            <v>105</v>
          </cell>
          <cell r="BS139">
            <v>0</v>
          </cell>
          <cell r="BT139">
            <v>0.33492822966507202</v>
          </cell>
          <cell r="BV139">
            <v>2324</v>
          </cell>
          <cell r="BX139">
            <v>20764</v>
          </cell>
          <cell r="BY139">
            <v>1488</v>
          </cell>
          <cell r="BZ139">
            <v>1225</v>
          </cell>
          <cell r="CA139">
            <v>1695</v>
          </cell>
          <cell r="CB139">
            <v>13553.50991696197</v>
          </cell>
          <cell r="CC139">
            <v>3744.5399570012764</v>
          </cell>
          <cell r="CD139">
            <v>24237.477124183006</v>
          </cell>
          <cell r="CE139">
            <v>18384.729450640232</v>
          </cell>
          <cell r="CF139">
            <v>0</v>
          </cell>
          <cell r="CG139">
            <v>0</v>
          </cell>
          <cell r="CM139">
            <v>0</v>
          </cell>
          <cell r="CZ139">
            <v>0.1987739334900907</v>
          </cell>
          <cell r="DA139">
            <v>7.9205133978833595E-2</v>
          </cell>
          <cell r="DB139">
            <v>53904373.099999994</v>
          </cell>
          <cell r="DC139">
            <v>91.1</v>
          </cell>
          <cell r="DD139">
            <v>5.6</v>
          </cell>
          <cell r="DE139">
            <v>1.4</v>
          </cell>
          <cell r="DF139">
            <v>88.4</v>
          </cell>
          <cell r="DG139">
            <v>5.5</v>
          </cell>
          <cell r="DH139">
            <v>1.6</v>
          </cell>
          <cell r="DI139">
            <v>98.1</v>
          </cell>
          <cell r="DJ139">
            <v>95.5</v>
          </cell>
        </row>
        <row r="140">
          <cell r="A140">
            <v>908</v>
          </cell>
          <cell r="B140">
            <v>1.4788188748431901E-2</v>
          </cell>
          <cell r="C140">
            <v>4.3423719000289501E-3</v>
          </cell>
          <cell r="D140">
            <v>1.6609672691744001E-2</v>
          </cell>
          <cell r="E140">
            <v>2.4125361692533199E-2</v>
          </cell>
          <cell r="F140">
            <v>4670</v>
          </cell>
          <cell r="G140">
            <v>153</v>
          </cell>
          <cell r="H140">
            <v>650</v>
          </cell>
          <cell r="I140">
            <v>290</v>
          </cell>
          <cell r="J140">
            <v>9.1353489234992966E-2</v>
          </cell>
          <cell r="K140">
            <v>0.1213085381536579</v>
          </cell>
          <cell r="L140">
            <v>1051</v>
          </cell>
          <cell r="M140">
            <v>0</v>
          </cell>
          <cell r="N140">
            <v>105</v>
          </cell>
          <cell r="O140">
            <v>904</v>
          </cell>
          <cell r="P140">
            <v>130</v>
          </cell>
          <cell r="Q140">
            <v>0</v>
          </cell>
          <cell r="R140">
            <v>0</v>
          </cell>
          <cell r="S140">
            <v>7952</v>
          </cell>
          <cell r="T140">
            <v>29322</v>
          </cell>
          <cell r="U140">
            <v>5738</v>
          </cell>
          <cell r="V140">
            <v>880</v>
          </cell>
          <cell r="W140">
            <v>0</v>
          </cell>
          <cell r="X140">
            <v>0.885864793678665</v>
          </cell>
          <cell r="Y140">
            <v>93</v>
          </cell>
          <cell r="Z140">
            <v>0</v>
          </cell>
          <cell r="AA140">
            <v>0</v>
          </cell>
          <cell r="AB140">
            <v>0</v>
          </cell>
          <cell r="AC140">
            <v>0</v>
          </cell>
          <cell r="AD140">
            <v>0</v>
          </cell>
          <cell r="AE140">
            <v>3505</v>
          </cell>
          <cell r="AF140">
            <v>24013</v>
          </cell>
          <cell r="AG140">
            <v>3502</v>
          </cell>
          <cell r="AH140">
            <v>3195</v>
          </cell>
          <cell r="AI140">
            <v>0</v>
          </cell>
          <cell r="AJ140" t="str">
            <v>NULL</v>
          </cell>
          <cell r="AK140" t="str">
            <v>NULL</v>
          </cell>
          <cell r="AL140">
            <v>0</v>
          </cell>
          <cell r="AM140">
            <v>0</v>
          </cell>
          <cell r="AN140">
            <v>0</v>
          </cell>
          <cell r="AO140">
            <v>0</v>
          </cell>
          <cell r="AP140">
            <v>0</v>
          </cell>
          <cell r="AQ140">
            <v>0</v>
          </cell>
          <cell r="AX140">
            <v>2248</v>
          </cell>
          <cell r="AY140">
            <v>750</v>
          </cell>
          <cell r="AZ140">
            <v>23</v>
          </cell>
          <cell r="BA140">
            <v>60</v>
          </cell>
          <cell r="BB140">
            <v>759</v>
          </cell>
          <cell r="BC140">
            <v>0</v>
          </cell>
          <cell r="BD140">
            <v>278</v>
          </cell>
          <cell r="BE140">
            <v>19</v>
          </cell>
          <cell r="BF140">
            <v>7.4107142857142899E-2</v>
          </cell>
          <cell r="BH140">
            <v>2563</v>
          </cell>
          <cell r="BI140">
            <v>2500</v>
          </cell>
          <cell r="BJ140">
            <v>23042</v>
          </cell>
          <cell r="BK140">
            <v>6045</v>
          </cell>
          <cell r="BL140">
            <v>6062</v>
          </cell>
          <cell r="BM140">
            <v>3680</v>
          </cell>
          <cell r="BN140">
            <v>75</v>
          </cell>
          <cell r="BO140">
            <v>0</v>
          </cell>
          <cell r="BP140">
            <v>804</v>
          </cell>
          <cell r="BQ140">
            <v>75</v>
          </cell>
          <cell r="BR140">
            <v>166</v>
          </cell>
          <cell r="BS140">
            <v>19</v>
          </cell>
          <cell r="BT140">
            <v>6.6964285714285698E-2</v>
          </cell>
          <cell r="BV140">
            <v>3326</v>
          </cell>
          <cell r="BX140">
            <v>24997</v>
          </cell>
          <cell r="BY140">
            <v>4919</v>
          </cell>
          <cell r="BZ140">
            <v>4921</v>
          </cell>
          <cell r="CA140">
            <v>3680</v>
          </cell>
          <cell r="CB140">
            <v>16446.765754891054</v>
          </cell>
          <cell r="CC140">
            <v>9197.1473339055028</v>
          </cell>
          <cell r="CD140">
            <v>0</v>
          </cell>
          <cell r="CE140">
            <v>0</v>
          </cell>
          <cell r="CF140">
            <v>0</v>
          </cell>
          <cell r="CG140">
            <v>0</v>
          </cell>
          <cell r="CM140">
            <v>0</v>
          </cell>
          <cell r="CZ140">
            <v>0.19076710435383551</v>
          </cell>
          <cell r="DA140">
            <v>6.0483870967741934E-3</v>
          </cell>
          <cell r="DB140">
            <v>73509190.739999995</v>
          </cell>
          <cell r="DC140">
            <v>95.2</v>
          </cell>
          <cell r="DD140">
            <v>2.8</v>
          </cell>
          <cell r="DE140">
            <v>0.7</v>
          </cell>
          <cell r="DF140">
            <v>96.3</v>
          </cell>
          <cell r="DG140">
            <v>1.9</v>
          </cell>
          <cell r="DH140">
            <v>0.3</v>
          </cell>
          <cell r="DI140">
            <v>98.7</v>
          </cell>
          <cell r="DJ140">
            <v>98.6</v>
          </cell>
        </row>
        <row r="141">
          <cell r="A141">
            <v>909</v>
          </cell>
          <cell r="B141">
            <v>-2.0111669768604699E-2</v>
          </cell>
          <cell r="C141">
            <v>-8.3335648212450405E-5</v>
          </cell>
          <cell r="D141">
            <v>2.14404828079092E-3</v>
          </cell>
          <cell r="E141">
            <v>8.6556023187485103E-3</v>
          </cell>
          <cell r="F141">
            <v>3531</v>
          </cell>
          <cell r="G141">
            <v>1847</v>
          </cell>
          <cell r="H141">
            <v>70</v>
          </cell>
          <cell r="I141">
            <v>120</v>
          </cell>
          <cell r="J141">
            <v>0.16371519583695898</v>
          </cell>
          <cell r="K141">
            <v>0.19111610332373272</v>
          </cell>
          <cell r="L141">
            <v>210</v>
          </cell>
          <cell r="M141">
            <v>42</v>
          </cell>
          <cell r="N141">
            <v>67</v>
          </cell>
          <cell r="O141">
            <v>119</v>
          </cell>
          <cell r="P141">
            <v>0</v>
          </cell>
          <cell r="Q141">
            <v>0</v>
          </cell>
          <cell r="R141">
            <v>0</v>
          </cell>
          <cell r="S141">
            <v>5166</v>
          </cell>
          <cell r="T141">
            <v>32805</v>
          </cell>
          <cell r="U141">
            <v>2673</v>
          </cell>
          <cell r="V141">
            <v>421</v>
          </cell>
          <cell r="W141">
            <v>0</v>
          </cell>
          <cell r="X141">
            <v>1</v>
          </cell>
          <cell r="Y141">
            <v>1</v>
          </cell>
          <cell r="Z141">
            <v>32</v>
          </cell>
          <cell r="AA141">
            <v>38</v>
          </cell>
          <cell r="AB141">
            <v>35</v>
          </cell>
          <cell r="AC141">
            <v>105</v>
          </cell>
          <cell r="AD141">
            <v>300</v>
          </cell>
          <cell r="AE141">
            <v>6064</v>
          </cell>
          <cell r="AF141">
            <v>19106</v>
          </cell>
          <cell r="AG141">
            <v>8290</v>
          </cell>
          <cell r="AH141">
            <v>3045</v>
          </cell>
          <cell r="AI141">
            <v>0</v>
          </cell>
          <cell r="AJ141">
            <v>0.33333333333333298</v>
          </cell>
          <cell r="AK141">
            <v>96</v>
          </cell>
          <cell r="AL141">
            <v>0</v>
          </cell>
          <cell r="AM141">
            <v>32</v>
          </cell>
          <cell r="AN141">
            <v>178</v>
          </cell>
          <cell r="AO141">
            <v>0</v>
          </cell>
          <cell r="AP141">
            <v>0</v>
          </cell>
          <cell r="AQ141">
            <v>300</v>
          </cell>
          <cell r="AX141">
            <v>6325</v>
          </cell>
          <cell r="AY141">
            <v>560</v>
          </cell>
          <cell r="AZ141">
            <v>28</v>
          </cell>
          <cell r="BA141">
            <v>0</v>
          </cell>
          <cell r="BB141">
            <v>91</v>
          </cell>
          <cell r="BC141">
            <v>0</v>
          </cell>
          <cell r="BD141">
            <v>42</v>
          </cell>
          <cell r="BE141">
            <v>25</v>
          </cell>
          <cell r="BF141">
            <v>0.173913043478261</v>
          </cell>
          <cell r="BH141">
            <v>2770</v>
          </cell>
          <cell r="BI141">
            <v>2897</v>
          </cell>
          <cell r="BJ141">
            <v>22035</v>
          </cell>
          <cell r="BK141">
            <v>2161</v>
          </cell>
          <cell r="BL141">
            <v>5932</v>
          </cell>
          <cell r="BM141">
            <v>5270</v>
          </cell>
          <cell r="BN141">
            <v>0</v>
          </cell>
          <cell r="BO141">
            <v>0</v>
          </cell>
          <cell r="BP141">
            <v>161</v>
          </cell>
          <cell r="BQ141">
            <v>0</v>
          </cell>
          <cell r="BR141">
            <v>0</v>
          </cell>
          <cell r="BS141">
            <v>25</v>
          </cell>
          <cell r="BT141">
            <v>0</v>
          </cell>
          <cell r="BV141">
            <v>3620</v>
          </cell>
          <cell r="BX141">
            <v>24771</v>
          </cell>
          <cell r="BY141">
            <v>2325</v>
          </cell>
          <cell r="BZ141">
            <v>3870</v>
          </cell>
          <cell r="CA141">
            <v>5270</v>
          </cell>
          <cell r="CB141">
            <v>24892.567224943417</v>
          </cell>
          <cell r="CC141">
            <v>0</v>
          </cell>
          <cell r="CD141">
            <v>0</v>
          </cell>
          <cell r="CE141">
            <v>0</v>
          </cell>
          <cell r="CF141">
            <v>0</v>
          </cell>
          <cell r="CG141">
            <v>0</v>
          </cell>
          <cell r="CM141">
            <v>0</v>
          </cell>
          <cell r="CZ141">
            <v>2.3330721685383478E-2</v>
          </cell>
          <cell r="DA141">
            <v>9.022433273292943E-2</v>
          </cell>
          <cell r="DB141">
            <v>22529912.41</v>
          </cell>
          <cell r="DC141">
            <v>96.4</v>
          </cell>
          <cell r="DD141">
            <v>2.1</v>
          </cell>
          <cell r="DE141">
            <v>0.4</v>
          </cell>
          <cell r="DF141">
            <v>94.6</v>
          </cell>
          <cell r="DG141">
            <v>3.4</v>
          </cell>
          <cell r="DH141">
            <v>0.6</v>
          </cell>
          <cell r="DI141">
            <v>98.9</v>
          </cell>
          <cell r="DJ141">
            <v>98.7</v>
          </cell>
        </row>
        <row r="142">
          <cell r="A142">
            <v>916</v>
          </cell>
          <cell r="B142">
            <v>3.6986938326922301E-3</v>
          </cell>
          <cell r="C142">
            <v>-3.78323540601091E-3</v>
          </cell>
          <cell r="D142">
            <v>2.1604257865398501E-2</v>
          </cell>
          <cell r="E142">
            <v>1.1715428463452301E-2</v>
          </cell>
          <cell r="F142">
            <v>5048</v>
          </cell>
          <cell r="G142">
            <v>1831</v>
          </cell>
          <cell r="H142">
            <v>790</v>
          </cell>
          <cell r="I142">
            <v>490</v>
          </cell>
          <cell r="J142">
            <v>7.6293307738499447E-2</v>
          </cell>
          <cell r="K142">
            <v>9.6051621771725756E-2</v>
          </cell>
          <cell r="L142">
            <v>1665</v>
          </cell>
          <cell r="M142">
            <v>1250</v>
          </cell>
          <cell r="N142">
            <v>30</v>
          </cell>
          <cell r="O142">
            <v>450</v>
          </cell>
          <cell r="P142">
            <v>15</v>
          </cell>
          <cell r="Q142">
            <v>0</v>
          </cell>
          <cell r="R142">
            <v>630</v>
          </cell>
          <cell r="S142">
            <v>10436</v>
          </cell>
          <cell r="T142">
            <v>33656</v>
          </cell>
          <cell r="U142">
            <v>4429</v>
          </cell>
          <cell r="V142">
            <v>1325</v>
          </cell>
          <cell r="W142">
            <v>119</v>
          </cell>
          <cell r="X142">
            <v>0.96969696969696995</v>
          </cell>
          <cell r="Y142">
            <v>77</v>
          </cell>
          <cell r="Z142">
            <v>669</v>
          </cell>
          <cell r="AA142">
            <v>230</v>
          </cell>
          <cell r="AB142">
            <v>150</v>
          </cell>
          <cell r="AC142">
            <v>0</v>
          </cell>
          <cell r="AD142">
            <v>660</v>
          </cell>
          <cell r="AE142">
            <v>9896</v>
          </cell>
          <cell r="AF142">
            <v>20864</v>
          </cell>
          <cell r="AG142">
            <v>8224</v>
          </cell>
          <cell r="AH142">
            <v>1250</v>
          </cell>
          <cell r="AI142">
            <v>0</v>
          </cell>
          <cell r="AJ142">
            <v>0.85700667302192601</v>
          </cell>
          <cell r="AK142">
            <v>72</v>
          </cell>
          <cell r="AL142">
            <v>526</v>
          </cell>
          <cell r="AM142">
            <v>173</v>
          </cell>
          <cell r="AN142">
            <v>350</v>
          </cell>
          <cell r="AO142">
            <v>0</v>
          </cell>
          <cell r="AP142">
            <v>0</v>
          </cell>
          <cell r="AQ142">
            <v>660</v>
          </cell>
          <cell r="AX142">
            <v>3553</v>
          </cell>
          <cell r="AY142">
            <v>0</v>
          </cell>
          <cell r="AZ142">
            <v>15</v>
          </cell>
          <cell r="BA142">
            <v>65</v>
          </cell>
          <cell r="BB142">
            <v>319</v>
          </cell>
          <cell r="BC142">
            <v>30</v>
          </cell>
          <cell r="BD142">
            <v>0</v>
          </cell>
          <cell r="BE142">
            <v>696</v>
          </cell>
          <cell r="BF142">
            <v>0.18648018648018599</v>
          </cell>
          <cell r="BH142">
            <v>1211</v>
          </cell>
          <cell r="BI142">
            <v>5007</v>
          </cell>
          <cell r="BJ142">
            <v>29921</v>
          </cell>
          <cell r="BK142">
            <v>6180</v>
          </cell>
          <cell r="BL142">
            <v>2504</v>
          </cell>
          <cell r="BM142">
            <v>5142</v>
          </cell>
          <cell r="BN142">
            <v>30</v>
          </cell>
          <cell r="BO142">
            <v>64</v>
          </cell>
          <cell r="BP142">
            <v>335</v>
          </cell>
          <cell r="BQ142">
            <v>0</v>
          </cell>
          <cell r="BR142">
            <v>0</v>
          </cell>
          <cell r="BS142">
            <v>696</v>
          </cell>
          <cell r="BT142">
            <v>0.21911421911421899</v>
          </cell>
          <cell r="BV142">
            <v>3684</v>
          </cell>
          <cell r="BX142">
            <v>32224</v>
          </cell>
          <cell r="BY142">
            <v>1855</v>
          </cell>
          <cell r="BZ142">
            <v>2720</v>
          </cell>
          <cell r="CA142">
            <v>5142</v>
          </cell>
          <cell r="CB142">
            <v>17429.200785575449</v>
          </cell>
          <cell r="CC142">
            <v>9882.7481078095898</v>
          </cell>
          <cell r="CD142">
            <v>0</v>
          </cell>
          <cell r="CE142">
            <v>0</v>
          </cell>
          <cell r="CF142">
            <v>11977.492369649233</v>
          </cell>
          <cell r="CG142">
            <v>0</v>
          </cell>
          <cell r="CM142">
            <v>0</v>
          </cell>
          <cell r="CZ142">
            <v>0.1956145412579342</v>
          </cell>
          <cell r="DA142">
            <v>0.27570518653321202</v>
          </cell>
          <cell r="DB142">
            <v>120948065.31999999</v>
          </cell>
          <cell r="DC142">
            <v>88.4</v>
          </cell>
          <cell r="DD142">
            <v>6.3</v>
          </cell>
          <cell r="DE142">
            <v>1.6</v>
          </cell>
          <cell r="DF142">
            <v>86.3</v>
          </cell>
          <cell r="DG142">
            <v>7.5</v>
          </cell>
          <cell r="DH142">
            <v>1.7</v>
          </cell>
          <cell r="DI142">
            <v>96.3</v>
          </cell>
          <cell r="DJ142">
            <v>95.5</v>
          </cell>
        </row>
        <row r="143">
          <cell r="A143">
            <v>919</v>
          </cell>
          <cell r="B143">
            <v>2.4027872331904999E-2</v>
          </cell>
          <cell r="C143">
            <v>1.4857234391894601E-2</v>
          </cell>
          <cell r="D143">
            <v>2.6649610915680601E-2</v>
          </cell>
          <cell r="E143">
            <v>8.07102502017756E-3</v>
          </cell>
          <cell r="F143">
            <v>15908</v>
          </cell>
          <cell r="G143">
            <v>8812</v>
          </cell>
          <cell r="H143">
            <v>980</v>
          </cell>
          <cell r="I143">
            <v>300</v>
          </cell>
          <cell r="J143">
            <v>8.6311826549676257E-2</v>
          </cell>
          <cell r="K143">
            <v>0.1238182178867273</v>
          </cell>
          <cell r="L143">
            <v>1101</v>
          </cell>
          <cell r="M143">
            <v>4000</v>
          </cell>
          <cell r="N143">
            <v>120</v>
          </cell>
          <cell r="O143">
            <v>414</v>
          </cell>
          <cell r="P143">
            <v>66</v>
          </cell>
          <cell r="Q143">
            <v>0</v>
          </cell>
          <cell r="R143">
            <v>0</v>
          </cell>
          <cell r="S143">
            <v>22897</v>
          </cell>
          <cell r="T143">
            <v>73001</v>
          </cell>
          <cell r="U143">
            <v>10460</v>
          </cell>
          <cell r="V143">
            <v>510</v>
          </cell>
          <cell r="W143">
            <v>840</v>
          </cell>
          <cell r="X143">
            <v>0.89</v>
          </cell>
          <cell r="Y143">
            <v>92</v>
          </cell>
          <cell r="Z143">
            <v>943</v>
          </cell>
          <cell r="AA143">
            <v>1151</v>
          </cell>
          <cell r="AB143">
            <v>16</v>
          </cell>
          <cell r="AC143">
            <v>361</v>
          </cell>
          <cell r="AD143">
            <v>1206</v>
          </cell>
          <cell r="AE143">
            <v>29291</v>
          </cell>
          <cell r="AF143">
            <v>45145</v>
          </cell>
          <cell r="AG143">
            <v>9436</v>
          </cell>
          <cell r="AH143">
            <v>7150</v>
          </cell>
          <cell r="AI143">
            <v>0</v>
          </cell>
          <cell r="AJ143">
            <v>0.84743019020639399</v>
          </cell>
          <cell r="AK143">
            <v>73</v>
          </cell>
          <cell r="AL143">
            <v>363</v>
          </cell>
          <cell r="AM143">
            <v>550</v>
          </cell>
          <cell r="AN143">
            <v>1315</v>
          </cell>
          <cell r="AO143">
            <v>16</v>
          </cell>
          <cell r="AP143">
            <v>0</v>
          </cell>
          <cell r="AQ143">
            <v>1433</v>
          </cell>
          <cell r="AX143">
            <v>4141</v>
          </cell>
          <cell r="AY143">
            <v>4377</v>
          </cell>
          <cell r="AZ143">
            <v>0</v>
          </cell>
          <cell r="BA143">
            <v>30</v>
          </cell>
          <cell r="BB143">
            <v>204</v>
          </cell>
          <cell r="BC143">
            <v>180</v>
          </cell>
          <cell r="BD143">
            <v>186</v>
          </cell>
          <cell r="BE143">
            <v>0</v>
          </cell>
          <cell r="BF143">
            <v>0.05</v>
          </cell>
          <cell r="BH143">
            <v>5987</v>
          </cell>
          <cell r="BI143">
            <v>11483</v>
          </cell>
          <cell r="BJ143">
            <v>50911</v>
          </cell>
          <cell r="BK143">
            <v>13310</v>
          </cell>
          <cell r="BL143">
            <v>7162</v>
          </cell>
          <cell r="BM143">
            <v>18855</v>
          </cell>
          <cell r="BN143">
            <v>30</v>
          </cell>
          <cell r="BO143">
            <v>60</v>
          </cell>
          <cell r="BP143">
            <v>222</v>
          </cell>
          <cell r="BQ143">
            <v>120</v>
          </cell>
          <cell r="BR143">
            <v>168</v>
          </cell>
          <cell r="BS143">
            <v>0</v>
          </cell>
          <cell r="BT143">
            <v>0.15</v>
          </cell>
          <cell r="BV143">
            <v>6882</v>
          </cell>
          <cell r="BX143">
            <v>60100</v>
          </cell>
          <cell r="BY143">
            <v>7203</v>
          </cell>
          <cell r="BZ143">
            <v>5305</v>
          </cell>
          <cell r="CA143">
            <v>18855</v>
          </cell>
          <cell r="CB143">
            <v>21506.809622246139</v>
          </cell>
          <cell r="CC143">
            <v>6332.7178278737147</v>
          </cell>
          <cell r="CD143">
            <v>0</v>
          </cell>
          <cell r="CE143">
            <v>23940.162436396909</v>
          </cell>
          <cell r="CF143">
            <v>12288.715430998449</v>
          </cell>
          <cell r="CG143">
            <v>0</v>
          </cell>
          <cell r="CM143">
            <v>0</v>
          </cell>
          <cell r="CZ143">
            <v>0.20124647224835371</v>
          </cell>
          <cell r="DA143">
            <v>0.15744024427092446</v>
          </cell>
          <cell r="DB143">
            <v>270593698.73999995</v>
          </cell>
          <cell r="DC143">
            <v>87</v>
          </cell>
          <cell r="DD143">
            <v>6.9</v>
          </cell>
          <cell r="DE143">
            <v>2.4</v>
          </cell>
          <cell r="DF143">
            <v>77.900000000000006</v>
          </cell>
          <cell r="DG143">
            <v>9.5</v>
          </cell>
          <cell r="DH143">
            <v>4.5999999999999996</v>
          </cell>
          <cell r="DI143">
            <v>96.3</v>
          </cell>
          <cell r="DJ143">
            <v>92.1</v>
          </cell>
        </row>
        <row r="144">
          <cell r="A144">
            <v>921</v>
          </cell>
          <cell r="B144">
            <v>-6.3871388225070602E-2</v>
          </cell>
          <cell r="C144">
            <v>7.2778622637410398E-3</v>
          </cell>
          <cell r="D144">
            <v>1.04982502916181E-2</v>
          </cell>
          <cell r="E144">
            <v>2.1663056157307098E-3</v>
          </cell>
          <cell r="F144">
            <v>2857</v>
          </cell>
          <cell r="G144">
            <v>0</v>
          </cell>
          <cell r="H144">
            <v>30</v>
          </cell>
          <cell r="I144">
            <v>780</v>
          </cell>
          <cell r="J144">
            <v>0.18370643739085943</v>
          </cell>
          <cell r="K144">
            <v>0.18586901496398073</v>
          </cell>
          <cell r="L144">
            <v>210</v>
          </cell>
          <cell r="M144">
            <v>0</v>
          </cell>
          <cell r="N144">
            <v>0</v>
          </cell>
          <cell r="O144">
            <v>0</v>
          </cell>
          <cell r="P144">
            <v>0</v>
          </cell>
          <cell r="Q144">
            <v>0</v>
          </cell>
          <cell r="R144">
            <v>0</v>
          </cell>
          <cell r="S144">
            <v>210</v>
          </cell>
          <cell r="T144">
            <v>8377</v>
          </cell>
          <cell r="U144">
            <v>1925</v>
          </cell>
          <cell r="V144">
            <v>0</v>
          </cell>
          <cell r="W144">
            <v>0</v>
          </cell>
          <cell r="X144" t="str">
            <v>NULL</v>
          </cell>
          <cell r="Y144" t="str">
            <v>NULL</v>
          </cell>
          <cell r="Z144">
            <v>0</v>
          </cell>
          <cell r="AA144">
            <v>0</v>
          </cell>
          <cell r="AB144">
            <v>0</v>
          </cell>
          <cell r="AC144">
            <v>0</v>
          </cell>
          <cell r="AD144">
            <v>0</v>
          </cell>
          <cell r="AE144">
            <v>0</v>
          </cell>
          <cell r="AF144">
            <v>5211</v>
          </cell>
          <cell r="AG144">
            <v>3716</v>
          </cell>
          <cell r="AH144">
            <v>1500</v>
          </cell>
          <cell r="AI144">
            <v>0</v>
          </cell>
          <cell r="AJ144" t="str">
            <v>NULL</v>
          </cell>
          <cell r="AK144" t="str">
            <v>NULL</v>
          </cell>
          <cell r="AL144">
            <v>0</v>
          </cell>
          <cell r="AM144">
            <v>0</v>
          </cell>
          <cell r="AN144">
            <v>0</v>
          </cell>
          <cell r="AO144">
            <v>0</v>
          </cell>
          <cell r="AP144">
            <v>0</v>
          </cell>
          <cell r="AQ144">
            <v>0</v>
          </cell>
          <cell r="AX144">
            <v>3341</v>
          </cell>
          <cell r="AY144">
            <v>1000</v>
          </cell>
          <cell r="AZ144">
            <v>0</v>
          </cell>
          <cell r="BA144">
            <v>0</v>
          </cell>
          <cell r="BB144">
            <v>0</v>
          </cell>
          <cell r="BC144">
            <v>0</v>
          </cell>
          <cell r="BD144">
            <v>0</v>
          </cell>
          <cell r="BE144">
            <v>0</v>
          </cell>
          <cell r="BF144" t="str">
            <v>NULL</v>
          </cell>
          <cell r="BH144">
            <v>0</v>
          </cell>
          <cell r="BI144">
            <v>140</v>
          </cell>
          <cell r="BJ144">
            <v>6694</v>
          </cell>
          <cell r="BK144">
            <v>2116</v>
          </cell>
          <cell r="BL144">
            <v>1562</v>
          </cell>
          <cell r="BM144">
            <v>0</v>
          </cell>
          <cell r="BN144">
            <v>0</v>
          </cell>
          <cell r="BO144">
            <v>0</v>
          </cell>
          <cell r="BP144">
            <v>0</v>
          </cell>
          <cell r="BQ144">
            <v>0</v>
          </cell>
          <cell r="BR144">
            <v>0</v>
          </cell>
          <cell r="BS144">
            <v>0</v>
          </cell>
          <cell r="BT144" t="str">
            <v>NULL</v>
          </cell>
          <cell r="BV144">
            <v>420</v>
          </cell>
          <cell r="BX144">
            <v>7619</v>
          </cell>
          <cell r="BY144">
            <v>1213</v>
          </cell>
          <cell r="BZ144">
            <v>1050</v>
          </cell>
          <cell r="CA144">
            <v>0</v>
          </cell>
          <cell r="CB144">
            <v>19471.436984687869</v>
          </cell>
          <cell r="CC144">
            <v>0</v>
          </cell>
          <cell r="CD144">
            <v>0</v>
          </cell>
          <cell r="CE144">
            <v>0</v>
          </cell>
          <cell r="CF144">
            <v>0</v>
          </cell>
          <cell r="CG144">
            <v>0</v>
          </cell>
          <cell r="CM144">
            <v>0</v>
          </cell>
          <cell r="CZ144">
            <v>2.0125223613595707E-2</v>
          </cell>
          <cell r="DA144">
            <v>-0.15697596347522491</v>
          </cell>
          <cell r="DB144">
            <v>4551452.8</v>
          </cell>
          <cell r="DC144">
            <v>93.9</v>
          </cell>
          <cell r="DD144">
            <v>3.8</v>
          </cell>
          <cell r="DE144">
            <v>0.4</v>
          </cell>
          <cell r="DF144">
            <v>90.5</v>
          </cell>
          <cell r="DG144">
            <v>8.4</v>
          </cell>
          <cell r="DH144">
            <v>0</v>
          </cell>
          <cell r="DI144">
            <v>98.1</v>
          </cell>
          <cell r="DJ144">
            <v>98.9</v>
          </cell>
        </row>
        <row r="145">
          <cell r="A145">
            <v>925</v>
          </cell>
          <cell r="B145">
            <v>-2.63903996005777E-3</v>
          </cell>
          <cell r="C145">
            <v>4.1903675041457897E-3</v>
          </cell>
          <cell r="D145">
            <v>2.0859440267335001E-2</v>
          </cell>
          <cell r="E145">
            <v>1.0494987468671699E-2</v>
          </cell>
          <cell r="F145">
            <v>6019</v>
          </cell>
          <cell r="G145">
            <v>992</v>
          </cell>
          <cell r="H145">
            <v>670</v>
          </cell>
          <cell r="I145">
            <v>1170</v>
          </cell>
          <cell r="J145">
            <v>0.12633116246672288</v>
          </cell>
          <cell r="K145">
            <v>0.11087000970844334</v>
          </cell>
          <cell r="L145">
            <v>1837</v>
          </cell>
          <cell r="M145">
            <v>1710</v>
          </cell>
          <cell r="N145">
            <v>104</v>
          </cell>
          <cell r="O145">
            <v>334</v>
          </cell>
          <cell r="P145">
            <v>65</v>
          </cell>
          <cell r="Q145">
            <v>0</v>
          </cell>
          <cell r="R145">
            <v>0</v>
          </cell>
          <cell r="S145">
            <v>11353</v>
          </cell>
          <cell r="T145">
            <v>41572</v>
          </cell>
          <cell r="U145">
            <v>6200</v>
          </cell>
          <cell r="V145">
            <v>2286</v>
          </cell>
          <cell r="W145">
            <v>0</v>
          </cell>
          <cell r="X145">
            <v>0.87077534791252498</v>
          </cell>
          <cell r="Y145">
            <v>100</v>
          </cell>
          <cell r="Z145">
            <v>350</v>
          </cell>
          <cell r="AA145">
            <v>110</v>
          </cell>
          <cell r="AB145">
            <v>24</v>
          </cell>
          <cell r="AC145">
            <v>0</v>
          </cell>
          <cell r="AD145">
            <v>0</v>
          </cell>
          <cell r="AE145">
            <v>14305</v>
          </cell>
          <cell r="AF145">
            <v>22354</v>
          </cell>
          <cell r="AG145">
            <v>6583</v>
          </cell>
          <cell r="AH145">
            <v>6390</v>
          </cell>
          <cell r="AI145">
            <v>0</v>
          </cell>
          <cell r="AJ145">
            <v>0.95041322314049603</v>
          </cell>
          <cell r="AK145">
            <v>65</v>
          </cell>
          <cell r="AL145">
            <v>261</v>
          </cell>
          <cell r="AM145">
            <v>89</v>
          </cell>
          <cell r="AN145">
            <v>134</v>
          </cell>
          <cell r="AO145">
            <v>0</v>
          </cell>
          <cell r="AP145">
            <v>0</v>
          </cell>
          <cell r="AQ145">
            <v>0</v>
          </cell>
          <cell r="AX145">
            <v>9452</v>
          </cell>
          <cell r="AY145">
            <v>640</v>
          </cell>
          <cell r="AZ145">
            <v>98</v>
          </cell>
          <cell r="BA145">
            <v>0</v>
          </cell>
          <cell r="BB145">
            <v>255</v>
          </cell>
          <cell r="BC145">
            <v>0</v>
          </cell>
          <cell r="BD145">
            <v>150</v>
          </cell>
          <cell r="BE145">
            <v>0</v>
          </cell>
          <cell r="BF145">
            <v>0.19483101391650101</v>
          </cell>
          <cell r="BH145">
            <v>1718</v>
          </cell>
          <cell r="BI145">
            <v>5377</v>
          </cell>
          <cell r="BJ145">
            <v>32371</v>
          </cell>
          <cell r="BK145">
            <v>7627</v>
          </cell>
          <cell r="BL145">
            <v>7697</v>
          </cell>
          <cell r="BM145">
            <v>6621</v>
          </cell>
          <cell r="BN145">
            <v>98</v>
          </cell>
          <cell r="BO145">
            <v>0</v>
          </cell>
          <cell r="BP145">
            <v>225</v>
          </cell>
          <cell r="BQ145">
            <v>30</v>
          </cell>
          <cell r="BR145">
            <v>150</v>
          </cell>
          <cell r="BS145">
            <v>0</v>
          </cell>
          <cell r="BT145">
            <v>0.19483101391650101</v>
          </cell>
          <cell r="BV145">
            <v>2822</v>
          </cell>
          <cell r="BX145">
            <v>37403</v>
          </cell>
          <cell r="BY145">
            <v>6320</v>
          </cell>
          <cell r="BZ145">
            <v>5586</v>
          </cell>
          <cell r="CA145">
            <v>6621</v>
          </cell>
          <cell r="CB145">
            <v>13076.783634827201</v>
          </cell>
          <cell r="CC145">
            <v>5486.6760709239443</v>
          </cell>
          <cell r="CD145">
            <v>21208.342913232264</v>
          </cell>
          <cell r="CE145">
            <v>0</v>
          </cell>
          <cell r="CF145">
            <v>0</v>
          </cell>
          <cell r="CG145">
            <v>0</v>
          </cell>
          <cell r="CM145">
            <v>0</v>
          </cell>
          <cell r="CZ145">
            <v>0.16164254954384963</v>
          </cell>
          <cell r="DA145">
            <v>0.17983666415809571</v>
          </cell>
          <cell r="DB145">
            <v>114838802.5</v>
          </cell>
          <cell r="DC145">
            <v>95</v>
          </cell>
          <cell r="DD145">
            <v>3.6</v>
          </cell>
          <cell r="DE145">
            <v>0.5</v>
          </cell>
          <cell r="DF145">
            <v>87.2</v>
          </cell>
          <cell r="DG145">
            <v>8.1999999999999993</v>
          </cell>
          <cell r="DH145">
            <v>1.5</v>
          </cell>
          <cell r="DI145">
            <v>99.1</v>
          </cell>
          <cell r="DJ145">
            <v>96.8</v>
          </cell>
        </row>
        <row r="146">
          <cell r="A146">
            <v>926</v>
          </cell>
          <cell r="B146">
            <v>2.2397461621016298E-3</v>
          </cell>
          <cell r="C146">
            <v>1.56782231347114E-2</v>
          </cell>
          <cell r="D146">
            <v>5.3268277960815902E-2</v>
          </cell>
          <cell r="E146">
            <v>3.5487035034330101E-2</v>
          </cell>
          <cell r="F146">
            <v>7133</v>
          </cell>
          <cell r="G146">
            <v>4570</v>
          </cell>
          <cell r="H146">
            <v>880</v>
          </cell>
          <cell r="I146">
            <v>870</v>
          </cell>
          <cell r="J146">
            <v>0.10173925254207267</v>
          </cell>
          <cell r="K146">
            <v>0.15244762861917813</v>
          </cell>
          <cell r="L146">
            <v>2320</v>
          </cell>
          <cell r="M146">
            <v>459</v>
          </cell>
          <cell r="N146">
            <v>177</v>
          </cell>
          <cell r="O146">
            <v>1003</v>
          </cell>
          <cell r="P146">
            <v>90</v>
          </cell>
          <cell r="Q146">
            <v>78</v>
          </cell>
          <cell r="R146">
            <v>0</v>
          </cell>
          <cell r="S146">
            <v>8294</v>
          </cell>
          <cell r="T146">
            <v>48262</v>
          </cell>
          <cell r="U146">
            <v>5958</v>
          </cell>
          <cell r="V146">
            <v>852</v>
          </cell>
          <cell r="W146">
            <v>420</v>
          </cell>
          <cell r="X146">
            <v>0.875370919881306</v>
          </cell>
          <cell r="Y146">
            <v>98</v>
          </cell>
          <cell r="Z146">
            <v>0</v>
          </cell>
          <cell r="AA146">
            <v>50</v>
          </cell>
          <cell r="AB146">
            <v>200</v>
          </cell>
          <cell r="AC146">
            <v>0</v>
          </cell>
          <cell r="AD146">
            <v>140</v>
          </cell>
          <cell r="AE146">
            <v>7536</v>
          </cell>
          <cell r="AF146">
            <v>34651</v>
          </cell>
          <cell r="AG146">
            <v>6148</v>
          </cell>
          <cell r="AH146">
            <v>1850</v>
          </cell>
          <cell r="AI146">
            <v>750</v>
          </cell>
          <cell r="AJ146">
            <v>0.2</v>
          </cell>
          <cell r="AK146">
            <v>98</v>
          </cell>
          <cell r="AL146">
            <v>0</v>
          </cell>
          <cell r="AM146">
            <v>0</v>
          </cell>
          <cell r="AN146">
            <v>0</v>
          </cell>
          <cell r="AO146">
            <v>250</v>
          </cell>
          <cell r="AP146">
            <v>0</v>
          </cell>
          <cell r="AQ146">
            <v>140</v>
          </cell>
          <cell r="AX146">
            <v>2593</v>
          </cell>
          <cell r="AY146">
            <v>4714</v>
          </cell>
          <cell r="AZ146">
            <v>15</v>
          </cell>
          <cell r="BA146">
            <v>30</v>
          </cell>
          <cell r="BB146">
            <v>228</v>
          </cell>
          <cell r="BC146">
            <v>266</v>
          </cell>
          <cell r="BD146">
            <v>90</v>
          </cell>
          <cell r="BE146">
            <v>719</v>
          </cell>
          <cell r="BF146">
            <v>7.1542130365659803E-2</v>
          </cell>
          <cell r="BH146">
            <v>1617</v>
          </cell>
          <cell r="BI146">
            <v>4085</v>
          </cell>
          <cell r="BJ146">
            <v>25992</v>
          </cell>
          <cell r="BK146">
            <v>9567</v>
          </cell>
          <cell r="BL146">
            <v>7974</v>
          </cell>
          <cell r="BM146">
            <v>14551</v>
          </cell>
          <cell r="BN146">
            <v>15</v>
          </cell>
          <cell r="BO146">
            <v>0</v>
          </cell>
          <cell r="BP146">
            <v>225</v>
          </cell>
          <cell r="BQ146">
            <v>299</v>
          </cell>
          <cell r="BR146">
            <v>90</v>
          </cell>
          <cell r="BS146">
            <v>719</v>
          </cell>
          <cell r="BT146">
            <v>2.3847376788553299E-2</v>
          </cell>
          <cell r="BV146">
            <v>2764</v>
          </cell>
          <cell r="BX146">
            <v>29963</v>
          </cell>
          <cell r="BY146">
            <v>7666</v>
          </cell>
          <cell r="BZ146">
            <v>7116</v>
          </cell>
          <cell r="CA146">
            <v>14551</v>
          </cell>
          <cell r="CB146">
            <v>12817.468120797979</v>
          </cell>
          <cell r="CC146">
            <v>5415.5851301115235</v>
          </cell>
          <cell r="CD146">
            <v>0</v>
          </cell>
          <cell r="CE146">
            <v>7246.9030732860529</v>
          </cell>
          <cell r="CF146">
            <v>0</v>
          </cell>
          <cell r="CG146">
            <v>0</v>
          </cell>
          <cell r="CM146">
            <v>0</v>
          </cell>
          <cell r="CZ146">
            <v>0.21043403585358</v>
          </cell>
          <cell r="DA146">
            <v>5.0266388695853599E-2</v>
          </cell>
          <cell r="DB146">
            <v>137620031.21000001</v>
          </cell>
          <cell r="DC146">
            <v>94.7</v>
          </cell>
          <cell r="DD146">
            <v>3.3</v>
          </cell>
          <cell r="DE146">
            <v>0.5</v>
          </cell>
          <cell r="DF146">
            <v>92.3</v>
          </cell>
          <cell r="DG146">
            <v>4.5</v>
          </cell>
          <cell r="DH146">
            <v>0.7</v>
          </cell>
          <cell r="DI146">
            <v>98.5</v>
          </cell>
          <cell r="DJ146">
            <v>97.5</v>
          </cell>
        </row>
        <row r="147">
          <cell r="A147">
            <v>928</v>
          </cell>
          <cell r="B147">
            <v>1.94909598349715E-2</v>
          </cell>
          <cell r="C147">
            <v>8.7368037859483095E-3</v>
          </cell>
          <cell r="D147">
            <v>1.3288525178933299E-2</v>
          </cell>
          <cell r="E147">
            <v>1.0210102357558801E-2</v>
          </cell>
          <cell r="F147">
            <v>11889</v>
          </cell>
          <cell r="G147">
            <v>5160</v>
          </cell>
          <cell r="H147">
            <v>140</v>
          </cell>
          <cell r="I147">
            <v>250</v>
          </cell>
          <cell r="J147">
            <v>0.10793340872409632</v>
          </cell>
          <cell r="K147">
            <v>9.4248717998159301E-2</v>
          </cell>
          <cell r="L147">
            <v>755</v>
          </cell>
          <cell r="M147">
            <v>164</v>
          </cell>
          <cell r="N147">
            <v>116</v>
          </cell>
          <cell r="O147">
            <v>1283</v>
          </cell>
          <cell r="P147">
            <v>30</v>
          </cell>
          <cell r="Q147">
            <v>60</v>
          </cell>
          <cell r="R147">
            <v>420</v>
          </cell>
          <cell r="S147">
            <v>6153</v>
          </cell>
          <cell r="T147">
            <v>48644</v>
          </cell>
          <cell r="U147">
            <v>12515</v>
          </cell>
          <cell r="V147">
            <v>2594</v>
          </cell>
          <cell r="W147">
            <v>1260</v>
          </cell>
          <cell r="X147">
            <v>0.93955674949630597</v>
          </cell>
          <cell r="Y147">
            <v>85</v>
          </cell>
          <cell r="Z147">
            <v>450</v>
          </cell>
          <cell r="AA147">
            <v>0</v>
          </cell>
          <cell r="AB147">
            <v>0</v>
          </cell>
          <cell r="AC147">
            <v>0</v>
          </cell>
          <cell r="AD147">
            <v>540</v>
          </cell>
          <cell r="AE147">
            <v>9054</v>
          </cell>
          <cell r="AF147">
            <v>24012</v>
          </cell>
          <cell r="AG147">
            <v>16300</v>
          </cell>
          <cell r="AH147">
            <v>2580</v>
          </cell>
          <cell r="AI147">
            <v>2100</v>
          </cell>
          <cell r="AJ147">
            <v>1</v>
          </cell>
          <cell r="AK147">
            <v>1</v>
          </cell>
          <cell r="AL147">
            <v>0</v>
          </cell>
          <cell r="AM147">
            <v>75</v>
          </cell>
          <cell r="AN147">
            <v>375</v>
          </cell>
          <cell r="AO147">
            <v>0</v>
          </cell>
          <cell r="AP147">
            <v>0</v>
          </cell>
          <cell r="AQ147">
            <v>540</v>
          </cell>
          <cell r="AX147">
            <v>0</v>
          </cell>
          <cell r="AY147">
            <v>2676</v>
          </cell>
          <cell r="AZ147">
            <v>19</v>
          </cell>
          <cell r="BA147">
            <v>99</v>
          </cell>
          <cell r="BB147">
            <v>693</v>
          </cell>
          <cell r="BC147">
            <v>242</v>
          </cell>
          <cell r="BD147">
            <v>201</v>
          </cell>
          <cell r="BE147">
            <v>655</v>
          </cell>
          <cell r="BF147">
            <v>9.4098883572567807E-2</v>
          </cell>
          <cell r="BH147">
            <v>1570</v>
          </cell>
          <cell r="BI147">
            <v>6586</v>
          </cell>
          <cell r="BJ147">
            <v>28074</v>
          </cell>
          <cell r="BK147">
            <v>14851</v>
          </cell>
          <cell r="BL147">
            <v>10322</v>
          </cell>
          <cell r="BM147">
            <v>9763</v>
          </cell>
          <cell r="BN147">
            <v>0</v>
          </cell>
          <cell r="BO147">
            <v>69</v>
          </cell>
          <cell r="BP147">
            <v>952</v>
          </cell>
          <cell r="BQ147">
            <v>32</v>
          </cell>
          <cell r="BR147">
            <v>201</v>
          </cell>
          <cell r="BS147">
            <v>655</v>
          </cell>
          <cell r="BT147">
            <v>5.50239234449761E-2</v>
          </cell>
          <cell r="BV147">
            <v>2153</v>
          </cell>
          <cell r="BX147">
            <v>38821</v>
          </cell>
          <cell r="BY147">
            <v>7073</v>
          </cell>
          <cell r="BZ147">
            <v>9637</v>
          </cell>
          <cell r="CA147">
            <v>9763</v>
          </cell>
          <cell r="CB147">
            <v>15848.866387248121</v>
          </cell>
          <cell r="CC147">
            <v>3336.1412703221386</v>
          </cell>
          <cell r="CD147">
            <v>18311.979057827961</v>
          </cell>
          <cell r="CE147">
            <v>0</v>
          </cell>
          <cell r="CF147">
            <v>0</v>
          </cell>
          <cell r="CG147">
            <v>0</v>
          </cell>
          <cell r="CM147">
            <v>0</v>
          </cell>
          <cell r="CZ147">
            <v>0.24342032613096773</v>
          </cell>
          <cell r="DA147">
            <v>0.28824930297397772</v>
          </cell>
          <cell r="DB147">
            <v>103435815.83000001</v>
          </cell>
          <cell r="DC147">
            <v>92.6</v>
          </cell>
          <cell r="DD147">
            <v>5</v>
          </cell>
          <cell r="DE147">
            <v>0.9</v>
          </cell>
          <cell r="DF147">
            <v>75.900000000000006</v>
          </cell>
          <cell r="DG147">
            <v>13.2</v>
          </cell>
          <cell r="DH147">
            <v>4.3</v>
          </cell>
          <cell r="DI147">
            <v>98.5</v>
          </cell>
          <cell r="DJ147">
            <v>93.4</v>
          </cell>
        </row>
        <row r="148">
          <cell r="A148">
            <v>929</v>
          </cell>
          <cell r="B148">
            <v>-4.8136315228967004E-3</v>
          </cell>
          <cell r="C148">
            <v>8.6900958466453702E-3</v>
          </cell>
          <cell r="D148">
            <v>3.7305230490722201E-2</v>
          </cell>
          <cell r="E148">
            <v>1.8749595913881201E-2</v>
          </cell>
          <cell r="F148">
            <v>3117</v>
          </cell>
          <cell r="G148">
            <v>0</v>
          </cell>
          <cell r="H148">
            <v>140</v>
          </cell>
          <cell r="I148">
            <v>120</v>
          </cell>
          <cell r="J148">
            <v>0.16517581694564776</v>
          </cell>
          <cell r="K148">
            <v>0.20155720276487329</v>
          </cell>
          <cell r="L148">
            <v>695</v>
          </cell>
          <cell r="M148">
            <v>132</v>
          </cell>
          <cell r="N148">
            <v>213</v>
          </cell>
          <cell r="O148">
            <v>678</v>
          </cell>
          <cell r="P148">
            <v>56</v>
          </cell>
          <cell r="Q148">
            <v>0</v>
          </cell>
          <cell r="R148">
            <v>0</v>
          </cell>
          <cell r="S148">
            <v>3829</v>
          </cell>
          <cell r="T148">
            <v>16690</v>
          </cell>
          <cell r="U148">
            <v>5222</v>
          </cell>
          <cell r="V148">
            <v>420</v>
          </cell>
          <cell r="W148">
            <v>0</v>
          </cell>
          <cell r="X148">
            <v>0.94086589229144701</v>
          </cell>
          <cell r="Y148">
            <v>84</v>
          </cell>
          <cell r="Z148">
            <v>0</v>
          </cell>
          <cell r="AA148">
            <v>588</v>
          </cell>
          <cell r="AB148">
            <v>382</v>
          </cell>
          <cell r="AC148">
            <v>18</v>
          </cell>
          <cell r="AD148">
            <v>0</v>
          </cell>
          <cell r="AE148">
            <v>1758</v>
          </cell>
          <cell r="AF148">
            <v>10649</v>
          </cell>
          <cell r="AG148">
            <v>5268</v>
          </cell>
          <cell r="AH148">
            <v>1820</v>
          </cell>
          <cell r="AI148">
            <v>0</v>
          </cell>
          <cell r="AJ148">
            <v>0.59514170040485803</v>
          </cell>
          <cell r="AK148">
            <v>90</v>
          </cell>
          <cell r="AL148">
            <v>0</v>
          </cell>
          <cell r="AM148">
            <v>0</v>
          </cell>
          <cell r="AN148">
            <v>341</v>
          </cell>
          <cell r="AO148">
            <v>588</v>
          </cell>
          <cell r="AP148">
            <v>0</v>
          </cell>
          <cell r="AQ148">
            <v>59</v>
          </cell>
          <cell r="AX148">
            <v>2715</v>
          </cell>
          <cell r="AY148">
            <v>9840</v>
          </cell>
          <cell r="AZ148">
            <v>0</v>
          </cell>
          <cell r="BA148">
            <v>80</v>
          </cell>
          <cell r="BB148">
            <v>216</v>
          </cell>
          <cell r="BC148">
            <v>0</v>
          </cell>
          <cell r="BD148">
            <v>221</v>
          </cell>
          <cell r="BE148">
            <v>430</v>
          </cell>
          <cell r="BF148">
            <v>0.154738878143133</v>
          </cell>
          <cell r="BH148">
            <v>210</v>
          </cell>
          <cell r="BI148">
            <v>1804</v>
          </cell>
          <cell r="BJ148">
            <v>5934</v>
          </cell>
          <cell r="BK148">
            <v>1149</v>
          </cell>
          <cell r="BL148">
            <v>2772</v>
          </cell>
          <cell r="BM148">
            <v>14292</v>
          </cell>
          <cell r="BN148">
            <v>0</v>
          </cell>
          <cell r="BO148">
            <v>80</v>
          </cell>
          <cell r="BP148">
            <v>437</v>
          </cell>
          <cell r="BQ148">
            <v>0</v>
          </cell>
          <cell r="BR148">
            <v>0</v>
          </cell>
          <cell r="BS148">
            <v>430</v>
          </cell>
          <cell r="BT148">
            <v>0.154738878143133</v>
          </cell>
          <cell r="BV148">
            <v>525</v>
          </cell>
          <cell r="BX148">
            <v>7723</v>
          </cell>
          <cell r="BY148">
            <v>420</v>
          </cell>
          <cell r="BZ148">
            <v>1883</v>
          </cell>
          <cell r="CA148">
            <v>14292</v>
          </cell>
          <cell r="CB148">
            <v>13131.726201317659</v>
          </cell>
          <cell r="CC148">
            <v>0</v>
          </cell>
          <cell r="CD148">
            <v>0</v>
          </cell>
          <cell r="CE148">
            <v>0</v>
          </cell>
          <cell r="CF148">
            <v>0</v>
          </cell>
          <cell r="CG148">
            <v>0</v>
          </cell>
          <cell r="CM148">
            <v>0</v>
          </cell>
          <cell r="CZ148">
            <v>0.15372012336160371</v>
          </cell>
          <cell r="DA148">
            <v>-3.0455316057156696E-2</v>
          </cell>
          <cell r="DB148">
            <v>18313907.600000001</v>
          </cell>
          <cell r="DC148">
            <v>97.4</v>
          </cell>
          <cell r="DD148">
            <v>1.8</v>
          </cell>
          <cell r="DE148">
            <v>0.2</v>
          </cell>
          <cell r="DF148">
            <v>98.1</v>
          </cell>
          <cell r="DG148">
            <v>1.8</v>
          </cell>
          <cell r="DH148">
            <v>0</v>
          </cell>
          <cell r="DI148">
            <v>99.5</v>
          </cell>
          <cell r="DJ148">
            <v>99.9</v>
          </cell>
        </row>
        <row r="149">
          <cell r="A149">
            <v>931</v>
          </cell>
          <cell r="B149">
            <v>2.62443092696737E-2</v>
          </cell>
          <cell r="C149">
            <v>1.5819273881938899E-2</v>
          </cell>
          <cell r="D149">
            <v>3.64327578013623E-3</v>
          </cell>
          <cell r="E149">
            <v>1.0137810866466E-2</v>
          </cell>
          <cell r="F149">
            <v>9608</v>
          </cell>
          <cell r="G149">
            <v>5935</v>
          </cell>
          <cell r="H149">
            <v>130</v>
          </cell>
          <cell r="I149">
            <v>340</v>
          </cell>
          <cell r="J149">
            <v>0.14503909672589327</v>
          </cell>
          <cell r="K149">
            <v>0.17613896936161114</v>
          </cell>
          <cell r="L149">
            <v>2800</v>
          </cell>
          <cell r="M149">
            <v>1255</v>
          </cell>
          <cell r="N149">
            <v>120</v>
          </cell>
          <cell r="O149">
            <v>675</v>
          </cell>
          <cell r="P149">
            <v>60</v>
          </cell>
          <cell r="Q149">
            <v>0</v>
          </cell>
          <cell r="R149">
            <v>0</v>
          </cell>
          <cell r="S149">
            <v>5564</v>
          </cell>
          <cell r="T149">
            <v>43119</v>
          </cell>
          <cell r="U149">
            <v>6969</v>
          </cell>
          <cell r="V149">
            <v>2220</v>
          </cell>
          <cell r="W149">
            <v>0</v>
          </cell>
          <cell r="X149">
            <v>0.929824561403509</v>
          </cell>
          <cell r="Y149">
            <v>87</v>
          </cell>
          <cell r="Z149">
            <v>356</v>
          </cell>
          <cell r="AA149">
            <v>170</v>
          </cell>
          <cell r="AB149">
            <v>0</v>
          </cell>
          <cell r="AC149">
            <v>0</v>
          </cell>
          <cell r="AD149">
            <v>0</v>
          </cell>
          <cell r="AE149">
            <v>8058</v>
          </cell>
          <cell r="AF149">
            <v>29580</v>
          </cell>
          <cell r="AG149">
            <v>5384</v>
          </cell>
          <cell r="AH149">
            <v>2255</v>
          </cell>
          <cell r="AI149">
            <v>310</v>
          </cell>
          <cell r="AJ149">
            <v>1</v>
          </cell>
          <cell r="AK149">
            <v>1</v>
          </cell>
          <cell r="AL149">
            <v>150</v>
          </cell>
          <cell r="AM149">
            <v>0</v>
          </cell>
          <cell r="AN149">
            <v>356</v>
          </cell>
          <cell r="AO149">
            <v>20</v>
          </cell>
          <cell r="AP149">
            <v>0</v>
          </cell>
          <cell r="AQ149">
            <v>0</v>
          </cell>
          <cell r="AX149">
            <v>3956</v>
          </cell>
          <cell r="AY149">
            <v>1602</v>
          </cell>
          <cell r="AZ149">
            <v>30</v>
          </cell>
          <cell r="BA149">
            <v>56</v>
          </cell>
          <cell r="BB149">
            <v>457</v>
          </cell>
          <cell r="BC149">
            <v>90</v>
          </cell>
          <cell r="BD149">
            <v>192</v>
          </cell>
          <cell r="BE149">
            <v>30</v>
          </cell>
          <cell r="BF149">
            <v>0.104242424242424</v>
          </cell>
          <cell r="BH149">
            <v>1742</v>
          </cell>
          <cell r="BI149">
            <v>6011</v>
          </cell>
          <cell r="BJ149">
            <v>31899</v>
          </cell>
          <cell r="BK149">
            <v>6353</v>
          </cell>
          <cell r="BL149">
            <v>7075</v>
          </cell>
          <cell r="BM149">
            <v>4792</v>
          </cell>
          <cell r="BN149">
            <v>0</v>
          </cell>
          <cell r="BO149">
            <v>86</v>
          </cell>
          <cell r="BP149">
            <v>565</v>
          </cell>
          <cell r="BQ149">
            <v>105</v>
          </cell>
          <cell r="BR149">
            <v>69</v>
          </cell>
          <cell r="BS149">
            <v>30</v>
          </cell>
          <cell r="BT149">
            <v>0.104242424242424</v>
          </cell>
          <cell r="BV149">
            <v>3442</v>
          </cell>
          <cell r="BX149">
            <v>38382</v>
          </cell>
          <cell r="BY149">
            <v>2550</v>
          </cell>
          <cell r="BZ149">
            <v>4072</v>
          </cell>
          <cell r="CA149">
            <v>4792</v>
          </cell>
          <cell r="CB149">
            <v>17999.007791632688</v>
          </cell>
          <cell r="CC149">
            <v>0</v>
          </cell>
          <cell r="CD149">
            <v>23536.763662464986</v>
          </cell>
          <cell r="CE149">
            <v>17857.803770511196</v>
          </cell>
          <cell r="CF149">
            <v>0</v>
          </cell>
          <cell r="CG149">
            <v>20167.063183789734</v>
          </cell>
          <cell r="CM149">
            <v>1</v>
          </cell>
          <cell r="CZ149">
            <v>0.19970352014514237</v>
          </cell>
          <cell r="DA149">
            <v>0.19433322022395658</v>
          </cell>
          <cell r="DB149">
            <v>98809779.25</v>
          </cell>
          <cell r="DC149">
            <v>93.1</v>
          </cell>
          <cell r="DD149">
            <v>4.4000000000000004</v>
          </cell>
          <cell r="DE149">
            <v>1.2</v>
          </cell>
          <cell r="DF149">
            <v>88.7</v>
          </cell>
          <cell r="DG149">
            <v>6.1</v>
          </cell>
          <cell r="DH149">
            <v>1.6</v>
          </cell>
          <cell r="DI149">
            <v>98.8</v>
          </cell>
          <cell r="DJ149">
            <v>96.4</v>
          </cell>
        </row>
        <row r="150">
          <cell r="A150">
            <v>933</v>
          </cell>
          <cell r="B150">
            <v>-1.48324660798522E-3</v>
          </cell>
          <cell r="C150">
            <v>2.4558673345329001E-3</v>
          </cell>
          <cell r="D150">
            <v>3.1320541760722298E-2</v>
          </cell>
          <cell r="E150">
            <v>1.64866172202515E-2</v>
          </cell>
          <cell r="F150">
            <v>3860</v>
          </cell>
          <cell r="G150">
            <v>1684</v>
          </cell>
          <cell r="H150">
            <v>180</v>
          </cell>
          <cell r="I150">
            <v>130</v>
          </cell>
          <cell r="J150">
            <v>0.11017783886835351</v>
          </cell>
          <cell r="K150">
            <v>0.14861597928705497</v>
          </cell>
          <cell r="L150">
            <v>1020</v>
          </cell>
          <cell r="M150">
            <v>828</v>
          </cell>
          <cell r="N150">
            <v>61</v>
          </cell>
          <cell r="O150">
            <v>562</v>
          </cell>
          <cell r="P150">
            <v>90</v>
          </cell>
          <cell r="Q150">
            <v>0</v>
          </cell>
          <cell r="R150">
            <v>420</v>
          </cell>
          <cell r="S150">
            <v>6206</v>
          </cell>
          <cell r="T150">
            <v>29284</v>
          </cell>
          <cell r="U150">
            <v>6208</v>
          </cell>
          <cell r="V150">
            <v>466</v>
          </cell>
          <cell r="W150">
            <v>0</v>
          </cell>
          <cell r="X150">
            <v>0.87377279102384298</v>
          </cell>
          <cell r="Y150">
            <v>99</v>
          </cell>
          <cell r="Z150">
            <v>0</v>
          </cell>
          <cell r="AA150">
            <v>26</v>
          </cell>
          <cell r="AB150">
            <v>0</v>
          </cell>
          <cell r="AC150">
            <v>0</v>
          </cell>
          <cell r="AD150">
            <v>0</v>
          </cell>
          <cell r="AE150">
            <v>4001</v>
          </cell>
          <cell r="AF150">
            <v>22379</v>
          </cell>
          <cell r="AG150">
            <v>2723</v>
          </cell>
          <cell r="AH150">
            <v>3105</v>
          </cell>
          <cell r="AI150">
            <v>0</v>
          </cell>
          <cell r="AJ150">
            <v>1</v>
          </cell>
          <cell r="AK150">
            <v>1</v>
          </cell>
          <cell r="AL150">
            <v>0</v>
          </cell>
          <cell r="AM150">
            <v>0</v>
          </cell>
          <cell r="AN150">
            <v>0</v>
          </cell>
          <cell r="AO150">
            <v>26</v>
          </cell>
          <cell r="AP150">
            <v>0</v>
          </cell>
          <cell r="AQ150">
            <v>0</v>
          </cell>
          <cell r="AX150">
            <v>3085</v>
          </cell>
          <cell r="AY150">
            <v>7497</v>
          </cell>
          <cell r="AZ150">
            <v>30</v>
          </cell>
          <cell r="BA150">
            <v>0</v>
          </cell>
          <cell r="BB150">
            <v>417</v>
          </cell>
          <cell r="BC150">
            <v>71</v>
          </cell>
          <cell r="BD150">
            <v>0</v>
          </cell>
          <cell r="BE150">
            <v>615</v>
          </cell>
          <cell r="BF150">
            <v>5.7915057915057903E-2</v>
          </cell>
          <cell r="BH150">
            <v>810</v>
          </cell>
          <cell r="BI150">
            <v>2367</v>
          </cell>
          <cell r="BJ150">
            <v>20450</v>
          </cell>
          <cell r="BK150">
            <v>3377</v>
          </cell>
          <cell r="BL150">
            <v>3700</v>
          </cell>
          <cell r="BM150">
            <v>11460</v>
          </cell>
          <cell r="BN150">
            <v>30</v>
          </cell>
          <cell r="BO150">
            <v>30</v>
          </cell>
          <cell r="BP150">
            <v>398</v>
          </cell>
          <cell r="BQ150">
            <v>0</v>
          </cell>
          <cell r="BR150">
            <v>60</v>
          </cell>
          <cell r="BS150">
            <v>615</v>
          </cell>
          <cell r="BT150">
            <v>0.115830115830116</v>
          </cell>
          <cell r="BV150">
            <v>1766</v>
          </cell>
          <cell r="BX150">
            <v>20384</v>
          </cell>
          <cell r="BY150">
            <v>3020</v>
          </cell>
          <cell r="BZ150">
            <v>3707</v>
          </cell>
          <cell r="CA150">
            <v>11460</v>
          </cell>
          <cell r="CB150">
            <v>14056.199657828167</v>
          </cell>
          <cell r="CC150">
            <v>7675.4049895200333</v>
          </cell>
          <cell r="CD150">
            <v>19992.724104374589</v>
          </cell>
          <cell r="CE150">
            <v>6447.8189578561341</v>
          </cell>
          <cell r="CF150">
            <v>0</v>
          </cell>
          <cell r="CG150">
            <v>0</v>
          </cell>
          <cell r="CM150">
            <v>0</v>
          </cell>
          <cell r="CZ150">
            <v>0.12641714130729589</v>
          </cell>
          <cell r="DA150">
            <v>-1.9926739926739927E-2</v>
          </cell>
          <cell r="DB150">
            <v>52166213.619999997</v>
          </cell>
          <cell r="DC150">
            <v>93.6</v>
          </cell>
          <cell r="DD150">
            <v>3.5</v>
          </cell>
          <cell r="DE150">
            <v>1.1000000000000001</v>
          </cell>
          <cell r="DF150">
            <v>93.7</v>
          </cell>
          <cell r="DG150">
            <v>3.2</v>
          </cell>
          <cell r="DH150">
            <v>0.6</v>
          </cell>
          <cell r="DI150">
            <v>98.2</v>
          </cell>
          <cell r="DJ150">
            <v>97.5</v>
          </cell>
        </row>
        <row r="151">
          <cell r="A151">
            <v>935</v>
          </cell>
          <cell r="B151">
            <v>3.006510230362E-2</v>
          </cell>
          <cell r="C151">
            <v>1.31814279582201E-2</v>
          </cell>
          <cell r="D151">
            <v>2.5673798277299299E-2</v>
          </cell>
          <cell r="E151">
            <v>2.2117254792998101E-2</v>
          </cell>
          <cell r="F151">
            <v>12309</v>
          </cell>
          <cell r="G151">
            <v>0</v>
          </cell>
          <cell r="H151">
            <v>40</v>
          </cell>
          <cell r="I151">
            <v>460</v>
          </cell>
          <cell r="J151">
            <v>0.12291094767480903</v>
          </cell>
          <cell r="K151">
            <v>0.13142276628575345</v>
          </cell>
          <cell r="L151">
            <v>1922</v>
          </cell>
          <cell r="M151">
            <v>562</v>
          </cell>
          <cell r="N151">
            <v>195</v>
          </cell>
          <cell r="O151">
            <v>528</v>
          </cell>
          <cell r="P151">
            <v>517</v>
          </cell>
          <cell r="Q151">
            <v>0</v>
          </cell>
          <cell r="R151">
            <v>0</v>
          </cell>
          <cell r="S151">
            <v>6749</v>
          </cell>
          <cell r="T151">
            <v>37530</v>
          </cell>
          <cell r="U151">
            <v>8131</v>
          </cell>
          <cell r="V151">
            <v>2063</v>
          </cell>
          <cell r="W151">
            <v>0</v>
          </cell>
          <cell r="X151">
            <v>0.58306451612903198</v>
          </cell>
          <cell r="Y151">
            <v>124</v>
          </cell>
          <cell r="Z151">
            <v>30</v>
          </cell>
          <cell r="AA151">
            <v>360</v>
          </cell>
          <cell r="AB151">
            <v>0</v>
          </cell>
          <cell r="AC151">
            <v>0</v>
          </cell>
          <cell r="AD151">
            <v>0</v>
          </cell>
          <cell r="AE151">
            <v>7136</v>
          </cell>
          <cell r="AF151">
            <v>27452</v>
          </cell>
          <cell r="AG151">
            <v>10263</v>
          </cell>
          <cell r="AH151">
            <v>1800</v>
          </cell>
          <cell r="AI151">
            <v>0</v>
          </cell>
          <cell r="AJ151">
            <v>1</v>
          </cell>
          <cell r="AK151">
            <v>1</v>
          </cell>
          <cell r="AL151">
            <v>0</v>
          </cell>
          <cell r="AM151">
            <v>95</v>
          </cell>
          <cell r="AN151">
            <v>131</v>
          </cell>
          <cell r="AO151">
            <v>164</v>
          </cell>
          <cell r="AP151">
            <v>0</v>
          </cell>
          <cell r="AQ151">
            <v>0</v>
          </cell>
          <cell r="AX151">
            <v>1760</v>
          </cell>
          <cell r="AY151">
            <v>1464</v>
          </cell>
          <cell r="AZ151">
            <v>0</v>
          </cell>
          <cell r="BA151">
            <v>417</v>
          </cell>
          <cell r="BB151">
            <v>536</v>
          </cell>
          <cell r="BC151">
            <v>179</v>
          </cell>
          <cell r="BD151">
            <v>108</v>
          </cell>
          <cell r="BE151">
            <v>0</v>
          </cell>
          <cell r="BF151">
            <v>0.33629032258064501</v>
          </cell>
          <cell r="BH151">
            <v>1299</v>
          </cell>
          <cell r="BI151">
            <v>3011</v>
          </cell>
          <cell r="BJ151">
            <v>29849</v>
          </cell>
          <cell r="BK151">
            <v>9509</v>
          </cell>
          <cell r="BL151">
            <v>5959</v>
          </cell>
          <cell r="BM151">
            <v>4846</v>
          </cell>
          <cell r="BN151">
            <v>0</v>
          </cell>
          <cell r="BO151">
            <v>42</v>
          </cell>
          <cell r="BP151">
            <v>901</v>
          </cell>
          <cell r="BQ151">
            <v>184</v>
          </cell>
          <cell r="BR151">
            <v>113</v>
          </cell>
          <cell r="BS151">
            <v>0</v>
          </cell>
          <cell r="BT151">
            <v>3.3870967741935501E-2</v>
          </cell>
          <cell r="BV151">
            <v>1694</v>
          </cell>
          <cell r="BX151">
            <v>30855</v>
          </cell>
          <cell r="BY151">
            <v>7391</v>
          </cell>
          <cell r="BZ151">
            <v>6058</v>
          </cell>
          <cell r="CA151">
            <v>4846</v>
          </cell>
          <cell r="CB151">
            <v>10813.336059522248</v>
          </cell>
          <cell r="CC151">
            <v>4520.1819362713932</v>
          </cell>
          <cell r="CD151">
            <v>0</v>
          </cell>
          <cell r="CE151">
            <v>27376.897910177733</v>
          </cell>
          <cell r="CF151">
            <v>4213.3916458163058</v>
          </cell>
          <cell r="CG151">
            <v>0</v>
          </cell>
          <cell r="CM151">
            <v>0</v>
          </cell>
          <cell r="CZ151">
            <v>0.17806843108714815</v>
          </cell>
          <cell r="DA151">
            <v>2.4316345556246115E-2</v>
          </cell>
          <cell r="DB151">
            <v>84037834.25</v>
          </cell>
          <cell r="DC151">
            <v>94.5</v>
          </cell>
          <cell r="DD151">
            <v>3.5</v>
          </cell>
          <cell r="DE151">
            <v>0.7</v>
          </cell>
          <cell r="DF151">
            <v>91.6</v>
          </cell>
          <cell r="DG151">
            <v>4.4000000000000004</v>
          </cell>
          <cell r="DH151">
            <v>1</v>
          </cell>
          <cell r="DI151">
            <v>98.7</v>
          </cell>
          <cell r="DJ151">
            <v>97.1</v>
          </cell>
        </row>
        <row r="152">
          <cell r="A152">
            <v>936</v>
          </cell>
          <cell r="B152">
            <v>4.0557966382974001E-2</v>
          </cell>
          <cell r="C152">
            <v>2.31551563673877E-2</v>
          </cell>
          <cell r="D152">
            <v>2.9995614118723899E-2</v>
          </cell>
          <cell r="E152">
            <v>1.7657939398562202E-2</v>
          </cell>
          <cell r="F152">
            <v>14658</v>
          </cell>
          <cell r="G152">
            <v>5702</v>
          </cell>
          <cell r="H152">
            <v>2100</v>
          </cell>
          <cell r="I152">
            <v>1020</v>
          </cell>
          <cell r="J152">
            <v>6.6675461848433509E-2</v>
          </cell>
          <cell r="K152">
            <v>6.3800224885943155E-2</v>
          </cell>
          <cell r="L152">
            <v>1537</v>
          </cell>
          <cell r="M152">
            <v>2890</v>
          </cell>
          <cell r="N152">
            <v>550</v>
          </cell>
          <cell r="O152">
            <v>476</v>
          </cell>
          <cell r="P152">
            <v>33</v>
          </cell>
          <cell r="Q152">
            <v>0</v>
          </cell>
          <cell r="R152">
            <v>0</v>
          </cell>
          <cell r="S152">
            <v>21050</v>
          </cell>
          <cell r="T152">
            <v>68896</v>
          </cell>
          <cell r="U152">
            <v>3755</v>
          </cell>
          <cell r="V152">
            <v>1336</v>
          </cell>
          <cell r="W152">
            <v>0</v>
          </cell>
          <cell r="X152">
            <v>0.96883852691218098</v>
          </cell>
          <cell r="Y152">
            <v>78</v>
          </cell>
          <cell r="Z152">
            <v>617</v>
          </cell>
          <cell r="AA152">
            <v>150</v>
          </cell>
          <cell r="AB152">
            <v>0</v>
          </cell>
          <cell r="AC152">
            <v>271</v>
          </cell>
          <cell r="AD152">
            <v>900</v>
          </cell>
          <cell r="AE152">
            <v>23829</v>
          </cell>
          <cell r="AF152">
            <v>35983</v>
          </cell>
          <cell r="AG152">
            <v>4453</v>
          </cell>
          <cell r="AH152">
            <v>1229</v>
          </cell>
          <cell r="AI152">
            <v>0</v>
          </cell>
          <cell r="AJ152">
            <v>0.73892100192678201</v>
          </cell>
          <cell r="AK152">
            <v>81</v>
          </cell>
          <cell r="AL152">
            <v>452</v>
          </cell>
          <cell r="AM152">
            <v>135</v>
          </cell>
          <cell r="AN152">
            <v>180</v>
          </cell>
          <cell r="AO152">
            <v>271</v>
          </cell>
          <cell r="AP152">
            <v>0</v>
          </cell>
          <cell r="AQ152">
            <v>900</v>
          </cell>
          <cell r="AX152">
            <v>1042</v>
          </cell>
          <cell r="AY152">
            <v>2450</v>
          </cell>
          <cell r="AZ152">
            <v>81</v>
          </cell>
          <cell r="BA152">
            <v>90</v>
          </cell>
          <cell r="BB152">
            <v>255</v>
          </cell>
          <cell r="BC152">
            <v>60</v>
          </cell>
          <cell r="BD152">
            <v>0</v>
          </cell>
          <cell r="BE152">
            <v>573</v>
          </cell>
          <cell r="BF152">
            <v>0.35185185185185203</v>
          </cell>
          <cell r="BH152">
            <v>5043</v>
          </cell>
          <cell r="BI152">
            <v>8032</v>
          </cell>
          <cell r="BJ152">
            <v>45105</v>
          </cell>
          <cell r="BK152">
            <v>13222</v>
          </cell>
          <cell r="BL152">
            <v>4552</v>
          </cell>
          <cell r="BM152">
            <v>19083</v>
          </cell>
          <cell r="BN152">
            <v>201</v>
          </cell>
          <cell r="BO152">
            <v>60</v>
          </cell>
          <cell r="BP152">
            <v>195</v>
          </cell>
          <cell r="BQ152">
            <v>30</v>
          </cell>
          <cell r="BR152">
            <v>0</v>
          </cell>
          <cell r="BS152">
            <v>573</v>
          </cell>
          <cell r="BT152">
            <v>0.53703703703703698</v>
          </cell>
          <cell r="BV152">
            <v>6536</v>
          </cell>
          <cell r="BX152">
            <v>47221</v>
          </cell>
          <cell r="BY152">
            <v>3814</v>
          </cell>
          <cell r="BZ152">
            <v>3656</v>
          </cell>
          <cell r="CA152">
            <v>19083</v>
          </cell>
          <cell r="CB152">
            <v>16875.091855638519</v>
          </cell>
          <cell r="CC152">
            <v>5373.4498215621297</v>
          </cell>
          <cell r="CD152">
            <v>0</v>
          </cell>
          <cell r="CE152">
            <v>44223.24448691617</v>
          </cell>
          <cell r="CF152">
            <v>7854.1559829059834</v>
          </cell>
          <cell r="CG152">
            <v>0</v>
          </cell>
          <cell r="CM152">
            <v>0</v>
          </cell>
          <cell r="CZ152">
            <v>0.22862436554846621</v>
          </cell>
          <cell r="DA152">
            <v>0.13635074048154944</v>
          </cell>
          <cell r="DB152">
            <v>287350437.62</v>
          </cell>
          <cell r="DC152">
            <v>85.6</v>
          </cell>
          <cell r="DD152">
            <v>8.1</v>
          </cell>
          <cell r="DE152">
            <v>2.7</v>
          </cell>
          <cell r="DF152">
            <v>83.6</v>
          </cell>
          <cell r="DG152">
            <v>7.3</v>
          </cell>
          <cell r="DH152">
            <v>2.4</v>
          </cell>
          <cell r="DI152">
            <v>96.4</v>
          </cell>
          <cell r="DJ152">
            <v>93.3</v>
          </cell>
        </row>
        <row r="153">
          <cell r="A153">
            <v>937</v>
          </cell>
          <cell r="B153">
            <v>-4.5218177707438402E-4</v>
          </cell>
          <cell r="C153">
            <v>1.9375989147637399E-2</v>
          </cell>
          <cell r="D153">
            <v>1.3548563238004199E-2</v>
          </cell>
          <cell r="E153">
            <v>2.0783564261825101E-2</v>
          </cell>
          <cell r="F153">
            <v>5267</v>
          </cell>
          <cell r="G153">
            <v>3798</v>
          </cell>
          <cell r="H153">
            <v>1490</v>
          </cell>
          <cell r="I153">
            <v>1120</v>
          </cell>
          <cell r="J153">
            <v>6.0506342115537175E-2</v>
          </cell>
          <cell r="K153">
            <v>6.4062987490989265E-2</v>
          </cell>
          <cell r="L153">
            <v>750</v>
          </cell>
          <cell r="M153">
            <v>630</v>
          </cell>
          <cell r="N153">
            <v>0</v>
          </cell>
          <cell r="O153">
            <v>140</v>
          </cell>
          <cell r="P153">
            <v>0</v>
          </cell>
          <cell r="Q153">
            <v>0</v>
          </cell>
          <cell r="R153">
            <v>210</v>
          </cell>
          <cell r="S153">
            <v>7530</v>
          </cell>
          <cell r="T153">
            <v>34798</v>
          </cell>
          <cell r="U153">
            <v>5033</v>
          </cell>
          <cell r="V153">
            <v>940</v>
          </cell>
          <cell r="W153">
            <v>0</v>
          </cell>
          <cell r="X153">
            <v>1</v>
          </cell>
          <cell r="Y153">
            <v>1</v>
          </cell>
          <cell r="Z153">
            <v>31</v>
          </cell>
          <cell r="AA153">
            <v>108</v>
          </cell>
          <cell r="AB153">
            <v>0</v>
          </cell>
          <cell r="AC153">
            <v>0</v>
          </cell>
          <cell r="AD153">
            <v>50</v>
          </cell>
          <cell r="AE153">
            <v>12744</v>
          </cell>
          <cell r="AF153">
            <v>19880</v>
          </cell>
          <cell r="AG153">
            <v>3960</v>
          </cell>
          <cell r="AH153">
            <v>0</v>
          </cell>
          <cell r="AI153">
            <v>1050</v>
          </cell>
          <cell r="AJ153">
            <v>1</v>
          </cell>
          <cell r="AK153">
            <v>1</v>
          </cell>
          <cell r="AL153">
            <v>31</v>
          </cell>
          <cell r="AM153">
            <v>15</v>
          </cell>
          <cell r="AN153">
            <v>93</v>
          </cell>
          <cell r="AO153">
            <v>0</v>
          </cell>
          <cell r="AP153">
            <v>0</v>
          </cell>
          <cell r="AQ153">
            <v>50</v>
          </cell>
          <cell r="AX153">
            <v>3050</v>
          </cell>
          <cell r="AY153">
            <v>1050</v>
          </cell>
          <cell r="AZ153">
            <v>0</v>
          </cell>
          <cell r="BA153">
            <v>60</v>
          </cell>
          <cell r="BB153">
            <v>50</v>
          </cell>
          <cell r="BC153">
            <v>0</v>
          </cell>
          <cell r="BD153">
            <v>0</v>
          </cell>
          <cell r="BE153">
            <v>240</v>
          </cell>
          <cell r="BF153">
            <v>0.54545454545454497</v>
          </cell>
          <cell r="BH153">
            <v>2009</v>
          </cell>
          <cell r="BI153">
            <v>3166</v>
          </cell>
          <cell r="BJ153">
            <v>23292</v>
          </cell>
          <cell r="BK153">
            <v>9731</v>
          </cell>
          <cell r="BL153">
            <v>3509</v>
          </cell>
          <cell r="BM153">
            <v>6594</v>
          </cell>
          <cell r="BN153">
            <v>0</v>
          </cell>
          <cell r="BO153">
            <v>0</v>
          </cell>
          <cell r="BP153">
            <v>110</v>
          </cell>
          <cell r="BQ153">
            <v>0</v>
          </cell>
          <cell r="BR153">
            <v>0</v>
          </cell>
          <cell r="BS153">
            <v>240</v>
          </cell>
          <cell r="BT153">
            <v>0</v>
          </cell>
          <cell r="BV153">
            <v>3015</v>
          </cell>
          <cell r="BX153">
            <v>28469</v>
          </cell>
          <cell r="BY153">
            <v>1984</v>
          </cell>
          <cell r="BZ153">
            <v>5118</v>
          </cell>
          <cell r="CA153">
            <v>6594</v>
          </cell>
          <cell r="CB153">
            <v>14837.652505027081</v>
          </cell>
          <cell r="CC153">
            <v>5597.2341175433949</v>
          </cell>
          <cell r="CD153">
            <v>3307.2568911310959</v>
          </cell>
          <cell r="CE153">
            <v>20003.316698766681</v>
          </cell>
          <cell r="CF153">
            <v>0</v>
          </cell>
          <cell r="CG153">
            <v>0</v>
          </cell>
          <cell r="CM153">
            <v>0</v>
          </cell>
          <cell r="CZ153">
            <v>0.24608535859409375</v>
          </cell>
          <cell r="DA153">
            <v>0.14483432112068967</v>
          </cell>
          <cell r="DB153">
            <v>96213130.189999998</v>
          </cell>
          <cell r="DC153">
            <v>91.2</v>
          </cell>
          <cell r="DD153">
            <v>4.9000000000000004</v>
          </cell>
          <cell r="DE153">
            <v>1.4</v>
          </cell>
          <cell r="DF153">
            <v>81.2</v>
          </cell>
          <cell r="DG153">
            <v>9.6</v>
          </cell>
          <cell r="DH153">
            <v>3.4</v>
          </cell>
          <cell r="DI153">
            <v>97.5</v>
          </cell>
          <cell r="DJ153">
            <v>94.2</v>
          </cell>
        </row>
        <row r="154">
          <cell r="A154">
            <v>938</v>
          </cell>
          <cell r="B154">
            <v>1.56445074677477E-2</v>
          </cell>
          <cell r="C154">
            <v>1.13904345011483E-2</v>
          </cell>
          <cell r="D154">
            <v>5.1778970383621503E-2</v>
          </cell>
          <cell r="E154">
            <v>1.7889087656529499E-2</v>
          </cell>
          <cell r="F154">
            <v>10843</v>
          </cell>
          <cell r="G154">
            <v>5239</v>
          </cell>
          <cell r="H154">
            <v>380</v>
          </cell>
          <cell r="I154">
            <v>1120</v>
          </cell>
          <cell r="J154">
            <v>7.4770220522595895E-2</v>
          </cell>
          <cell r="K154">
            <v>9.9690238775117249E-2</v>
          </cell>
          <cell r="L154">
            <v>695</v>
          </cell>
          <cell r="M154">
            <v>1050</v>
          </cell>
          <cell r="N154">
            <v>228</v>
          </cell>
          <cell r="O154">
            <v>1399</v>
          </cell>
          <cell r="P154">
            <v>225</v>
          </cell>
          <cell r="Q154">
            <v>0</v>
          </cell>
          <cell r="R154">
            <v>0</v>
          </cell>
          <cell r="S154">
            <v>6445</v>
          </cell>
          <cell r="T154">
            <v>49382</v>
          </cell>
          <cell r="U154">
            <v>12464</v>
          </cell>
          <cell r="V154">
            <v>356</v>
          </cell>
          <cell r="W154">
            <v>0</v>
          </cell>
          <cell r="X154">
            <v>0.87850971922246202</v>
          </cell>
          <cell r="Y154">
            <v>97</v>
          </cell>
          <cell r="Z154">
            <v>427</v>
          </cell>
          <cell r="AA154">
            <v>0</v>
          </cell>
          <cell r="AB154">
            <v>207</v>
          </cell>
          <cell r="AC154">
            <v>0</v>
          </cell>
          <cell r="AD154">
            <v>0</v>
          </cell>
          <cell r="AE154">
            <v>16414</v>
          </cell>
          <cell r="AF154">
            <v>25877</v>
          </cell>
          <cell r="AG154">
            <v>8129</v>
          </cell>
          <cell r="AH154">
            <v>0</v>
          </cell>
          <cell r="AI154">
            <v>0</v>
          </cell>
          <cell r="AJ154">
            <v>0.67350157728706606</v>
          </cell>
          <cell r="AK154">
            <v>86</v>
          </cell>
          <cell r="AL154">
            <v>0</v>
          </cell>
          <cell r="AM154">
            <v>427</v>
          </cell>
          <cell r="AN154">
            <v>0</v>
          </cell>
          <cell r="AO154">
            <v>207</v>
          </cell>
          <cell r="AP154">
            <v>0</v>
          </cell>
          <cell r="AQ154">
            <v>0</v>
          </cell>
          <cell r="AX154">
            <v>5942</v>
          </cell>
          <cell r="AY154">
            <v>600</v>
          </cell>
          <cell r="AZ154">
            <v>0</v>
          </cell>
          <cell r="BA154">
            <v>70</v>
          </cell>
          <cell r="BB154">
            <v>1061</v>
          </cell>
          <cell r="BC154">
            <v>75</v>
          </cell>
          <cell r="BD154">
            <v>436</v>
          </cell>
          <cell r="BE154">
            <v>210</v>
          </cell>
          <cell r="BF154">
            <v>4.26309378806334E-2</v>
          </cell>
          <cell r="BH154">
            <v>3885</v>
          </cell>
          <cell r="BI154">
            <v>4312</v>
          </cell>
          <cell r="BJ154">
            <v>36619</v>
          </cell>
          <cell r="BK154">
            <v>10101</v>
          </cell>
          <cell r="BL154">
            <v>7249</v>
          </cell>
          <cell r="BM154">
            <v>6481</v>
          </cell>
          <cell r="BN154">
            <v>140</v>
          </cell>
          <cell r="BO154">
            <v>102</v>
          </cell>
          <cell r="BP154">
            <v>725</v>
          </cell>
          <cell r="BQ154">
            <v>495</v>
          </cell>
          <cell r="BR154">
            <v>180</v>
          </cell>
          <cell r="BS154">
            <v>210</v>
          </cell>
          <cell r="BT154">
            <v>0.14738124238733299</v>
          </cell>
          <cell r="BV154">
            <v>5145</v>
          </cell>
          <cell r="BX154">
            <v>39322</v>
          </cell>
          <cell r="BY154">
            <v>7010</v>
          </cell>
          <cell r="BZ154">
            <v>4776</v>
          </cell>
          <cell r="CA154">
            <v>6481</v>
          </cell>
          <cell r="CG154">
            <v>25080.705705705706</v>
          </cell>
          <cell r="CZ154">
            <v>0.23384285818023381</v>
          </cell>
          <cell r="DA154">
            <v>0.22755565219754831</v>
          </cell>
          <cell r="DB154">
            <v>241431663.5</v>
          </cell>
          <cell r="DC154">
            <v>91.1</v>
          </cell>
          <cell r="DD154">
            <v>6</v>
          </cell>
          <cell r="DE154">
            <v>1.7</v>
          </cell>
          <cell r="DF154">
            <v>91.1</v>
          </cell>
          <cell r="DG154">
            <v>5.7</v>
          </cell>
          <cell r="DH154">
            <v>1.7</v>
          </cell>
          <cell r="DI154">
            <v>98.9</v>
          </cell>
          <cell r="DJ154">
            <v>98.5</v>
          </cell>
        </row>
      </sheetData>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0-06-12T12:01:24.36" personId="{00000000-0000-0000-0000-000000000000}" id="{BABC3B74-CCCE-4D91-981A-CCD29D01C8CE}">
    <text>This Scorecard uses drop down boxes to allow users to select a specific local authority and select primary or secondary to see the relevant data. If you can't use the drop down boxes go to the Primary Summary Data tab and the Secondary Summary Data tab to find the relevant information.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control" Target="../activeX/activeX12.xml"/><Relationship Id="rId21" Type="http://schemas.openxmlformats.org/officeDocument/2006/relationships/image" Target="../media/image12.emf"/><Relationship Id="rId42" Type="http://schemas.openxmlformats.org/officeDocument/2006/relationships/control" Target="../activeX/activeX20.xml"/><Relationship Id="rId47" Type="http://schemas.openxmlformats.org/officeDocument/2006/relationships/image" Target="../media/image25.emf"/><Relationship Id="rId63" Type="http://schemas.openxmlformats.org/officeDocument/2006/relationships/image" Target="../media/image33.emf"/><Relationship Id="rId68" Type="http://schemas.openxmlformats.org/officeDocument/2006/relationships/control" Target="../activeX/activeX33.xml"/><Relationship Id="rId84" Type="http://schemas.openxmlformats.org/officeDocument/2006/relationships/control" Target="../activeX/activeX41.xml"/><Relationship Id="rId89" Type="http://schemas.openxmlformats.org/officeDocument/2006/relationships/image" Target="../media/image46.emf"/><Relationship Id="rId16" Type="http://schemas.openxmlformats.org/officeDocument/2006/relationships/control" Target="../activeX/activeX7.xml"/><Relationship Id="rId11" Type="http://schemas.openxmlformats.org/officeDocument/2006/relationships/image" Target="../media/image7.emf"/><Relationship Id="rId32" Type="http://schemas.openxmlformats.org/officeDocument/2006/relationships/control" Target="../activeX/activeX15.xml"/><Relationship Id="rId37" Type="http://schemas.openxmlformats.org/officeDocument/2006/relationships/image" Target="../media/image20.emf"/><Relationship Id="rId53" Type="http://schemas.openxmlformats.org/officeDocument/2006/relationships/image" Target="../media/image28.emf"/><Relationship Id="rId58" Type="http://schemas.openxmlformats.org/officeDocument/2006/relationships/control" Target="../activeX/activeX28.xml"/><Relationship Id="rId74" Type="http://schemas.openxmlformats.org/officeDocument/2006/relationships/control" Target="../activeX/activeX36.xml"/><Relationship Id="rId79" Type="http://schemas.openxmlformats.org/officeDocument/2006/relationships/image" Target="../media/image41.emf"/><Relationship Id="rId5" Type="http://schemas.openxmlformats.org/officeDocument/2006/relationships/image" Target="../media/image4.emf"/><Relationship Id="rId90" Type="http://schemas.openxmlformats.org/officeDocument/2006/relationships/control" Target="../activeX/activeX44.xml"/><Relationship Id="rId95" Type="http://schemas.openxmlformats.org/officeDocument/2006/relationships/image" Target="../media/image49.emf"/><Relationship Id="rId22" Type="http://schemas.openxmlformats.org/officeDocument/2006/relationships/control" Target="../activeX/activeX10.xml"/><Relationship Id="rId27" Type="http://schemas.openxmlformats.org/officeDocument/2006/relationships/image" Target="../media/image15.emf"/><Relationship Id="rId43" Type="http://schemas.openxmlformats.org/officeDocument/2006/relationships/image" Target="../media/image23.emf"/><Relationship Id="rId48" Type="http://schemas.openxmlformats.org/officeDocument/2006/relationships/control" Target="../activeX/activeX23.xml"/><Relationship Id="rId64" Type="http://schemas.openxmlformats.org/officeDocument/2006/relationships/control" Target="../activeX/activeX31.xml"/><Relationship Id="rId69" Type="http://schemas.openxmlformats.org/officeDocument/2006/relationships/image" Target="../media/image36.emf"/><Relationship Id="rId80" Type="http://schemas.openxmlformats.org/officeDocument/2006/relationships/control" Target="../activeX/activeX39.xml"/><Relationship Id="rId85" Type="http://schemas.openxmlformats.org/officeDocument/2006/relationships/image" Target="../media/image44.emf"/><Relationship Id="rId12" Type="http://schemas.openxmlformats.org/officeDocument/2006/relationships/control" Target="../activeX/activeX5.xml"/><Relationship Id="rId17" Type="http://schemas.openxmlformats.org/officeDocument/2006/relationships/image" Target="../media/image10.emf"/><Relationship Id="rId25" Type="http://schemas.openxmlformats.org/officeDocument/2006/relationships/image" Target="../media/image14.emf"/><Relationship Id="rId33" Type="http://schemas.openxmlformats.org/officeDocument/2006/relationships/image" Target="../media/image18.emf"/><Relationship Id="rId38" Type="http://schemas.openxmlformats.org/officeDocument/2006/relationships/control" Target="../activeX/activeX18.xml"/><Relationship Id="rId46" Type="http://schemas.openxmlformats.org/officeDocument/2006/relationships/control" Target="../activeX/activeX22.xml"/><Relationship Id="rId59" Type="http://schemas.openxmlformats.org/officeDocument/2006/relationships/image" Target="../media/image31.emf"/><Relationship Id="rId67" Type="http://schemas.openxmlformats.org/officeDocument/2006/relationships/image" Target="../media/image35.emf"/><Relationship Id="rId20" Type="http://schemas.openxmlformats.org/officeDocument/2006/relationships/control" Target="../activeX/activeX9.xml"/><Relationship Id="rId41" Type="http://schemas.openxmlformats.org/officeDocument/2006/relationships/image" Target="../media/image22.emf"/><Relationship Id="rId54" Type="http://schemas.openxmlformats.org/officeDocument/2006/relationships/control" Target="../activeX/activeX26.xml"/><Relationship Id="rId62" Type="http://schemas.openxmlformats.org/officeDocument/2006/relationships/control" Target="../activeX/activeX30.xml"/><Relationship Id="rId70" Type="http://schemas.openxmlformats.org/officeDocument/2006/relationships/control" Target="../activeX/activeX34.xml"/><Relationship Id="rId75" Type="http://schemas.openxmlformats.org/officeDocument/2006/relationships/image" Target="../media/image39.emf"/><Relationship Id="rId83" Type="http://schemas.openxmlformats.org/officeDocument/2006/relationships/image" Target="../media/image43.emf"/><Relationship Id="rId88" Type="http://schemas.openxmlformats.org/officeDocument/2006/relationships/control" Target="../activeX/activeX43.xml"/><Relationship Id="rId91" Type="http://schemas.openxmlformats.org/officeDocument/2006/relationships/image" Target="../media/image47.emf"/><Relationship Id="rId96" Type="http://schemas.openxmlformats.org/officeDocument/2006/relationships/control" Target="../activeX/activeX47.xml"/><Relationship Id="rId1" Type="http://schemas.openxmlformats.org/officeDocument/2006/relationships/printerSettings" Target="../printerSettings/printerSettings6.bin"/><Relationship Id="rId6" Type="http://schemas.openxmlformats.org/officeDocument/2006/relationships/control" Target="../activeX/activeX2.xml"/><Relationship Id="rId15" Type="http://schemas.openxmlformats.org/officeDocument/2006/relationships/image" Target="../media/image9.emf"/><Relationship Id="rId23" Type="http://schemas.openxmlformats.org/officeDocument/2006/relationships/image" Target="../media/image13.emf"/><Relationship Id="rId28" Type="http://schemas.openxmlformats.org/officeDocument/2006/relationships/control" Target="../activeX/activeX13.xml"/><Relationship Id="rId36" Type="http://schemas.openxmlformats.org/officeDocument/2006/relationships/control" Target="../activeX/activeX17.xml"/><Relationship Id="rId49" Type="http://schemas.openxmlformats.org/officeDocument/2006/relationships/image" Target="../media/image26.emf"/><Relationship Id="rId57" Type="http://schemas.openxmlformats.org/officeDocument/2006/relationships/image" Target="../media/image30.emf"/><Relationship Id="rId10" Type="http://schemas.openxmlformats.org/officeDocument/2006/relationships/control" Target="../activeX/activeX4.xml"/><Relationship Id="rId31" Type="http://schemas.openxmlformats.org/officeDocument/2006/relationships/image" Target="../media/image17.emf"/><Relationship Id="rId44" Type="http://schemas.openxmlformats.org/officeDocument/2006/relationships/control" Target="../activeX/activeX21.xml"/><Relationship Id="rId52" Type="http://schemas.openxmlformats.org/officeDocument/2006/relationships/control" Target="../activeX/activeX25.xml"/><Relationship Id="rId60" Type="http://schemas.openxmlformats.org/officeDocument/2006/relationships/control" Target="../activeX/activeX29.xml"/><Relationship Id="rId65" Type="http://schemas.openxmlformats.org/officeDocument/2006/relationships/image" Target="../media/image34.emf"/><Relationship Id="rId73" Type="http://schemas.openxmlformats.org/officeDocument/2006/relationships/image" Target="../media/image38.emf"/><Relationship Id="rId78" Type="http://schemas.openxmlformats.org/officeDocument/2006/relationships/control" Target="../activeX/activeX38.xml"/><Relationship Id="rId81" Type="http://schemas.openxmlformats.org/officeDocument/2006/relationships/image" Target="../media/image42.emf"/><Relationship Id="rId86" Type="http://schemas.openxmlformats.org/officeDocument/2006/relationships/control" Target="../activeX/activeX42.xml"/><Relationship Id="rId94" Type="http://schemas.openxmlformats.org/officeDocument/2006/relationships/control" Target="../activeX/activeX46.xml"/><Relationship Id="rId99" Type="http://schemas.openxmlformats.org/officeDocument/2006/relationships/image" Target="../media/image51.emf"/><Relationship Id="rId101" Type="http://schemas.microsoft.com/office/2017/10/relationships/threadedComment" Target="../threadedComments/threadedComment1.xml"/><Relationship Id="rId4" Type="http://schemas.openxmlformats.org/officeDocument/2006/relationships/control" Target="../activeX/activeX1.xml"/><Relationship Id="rId9" Type="http://schemas.openxmlformats.org/officeDocument/2006/relationships/image" Target="../media/image6.emf"/><Relationship Id="rId13" Type="http://schemas.openxmlformats.org/officeDocument/2006/relationships/image" Target="../media/image8.emf"/><Relationship Id="rId18" Type="http://schemas.openxmlformats.org/officeDocument/2006/relationships/control" Target="../activeX/activeX8.xml"/><Relationship Id="rId39" Type="http://schemas.openxmlformats.org/officeDocument/2006/relationships/image" Target="../media/image21.emf"/><Relationship Id="rId34" Type="http://schemas.openxmlformats.org/officeDocument/2006/relationships/control" Target="../activeX/activeX16.xml"/><Relationship Id="rId50" Type="http://schemas.openxmlformats.org/officeDocument/2006/relationships/control" Target="../activeX/activeX24.xml"/><Relationship Id="rId55" Type="http://schemas.openxmlformats.org/officeDocument/2006/relationships/image" Target="../media/image29.emf"/><Relationship Id="rId76" Type="http://schemas.openxmlformats.org/officeDocument/2006/relationships/control" Target="../activeX/activeX37.xml"/><Relationship Id="rId97" Type="http://schemas.openxmlformats.org/officeDocument/2006/relationships/image" Target="../media/image50.emf"/><Relationship Id="rId7" Type="http://schemas.openxmlformats.org/officeDocument/2006/relationships/image" Target="../media/image5.emf"/><Relationship Id="rId71" Type="http://schemas.openxmlformats.org/officeDocument/2006/relationships/image" Target="../media/image37.emf"/><Relationship Id="rId92" Type="http://schemas.openxmlformats.org/officeDocument/2006/relationships/control" Target="../activeX/activeX45.xml"/><Relationship Id="rId2" Type="http://schemas.openxmlformats.org/officeDocument/2006/relationships/drawing" Target="../drawings/drawing3.xml"/><Relationship Id="rId29" Type="http://schemas.openxmlformats.org/officeDocument/2006/relationships/image" Target="../media/image16.emf"/><Relationship Id="rId24" Type="http://schemas.openxmlformats.org/officeDocument/2006/relationships/control" Target="../activeX/activeX11.xml"/><Relationship Id="rId40" Type="http://schemas.openxmlformats.org/officeDocument/2006/relationships/control" Target="../activeX/activeX19.xml"/><Relationship Id="rId45" Type="http://schemas.openxmlformats.org/officeDocument/2006/relationships/image" Target="../media/image24.emf"/><Relationship Id="rId66" Type="http://schemas.openxmlformats.org/officeDocument/2006/relationships/control" Target="../activeX/activeX32.xml"/><Relationship Id="rId87" Type="http://schemas.openxmlformats.org/officeDocument/2006/relationships/image" Target="../media/image45.emf"/><Relationship Id="rId61" Type="http://schemas.openxmlformats.org/officeDocument/2006/relationships/image" Target="../media/image32.emf"/><Relationship Id="rId82" Type="http://schemas.openxmlformats.org/officeDocument/2006/relationships/control" Target="../activeX/activeX40.xml"/><Relationship Id="rId19" Type="http://schemas.openxmlformats.org/officeDocument/2006/relationships/image" Target="../media/image11.emf"/><Relationship Id="rId14" Type="http://schemas.openxmlformats.org/officeDocument/2006/relationships/control" Target="../activeX/activeX6.xml"/><Relationship Id="rId30" Type="http://schemas.openxmlformats.org/officeDocument/2006/relationships/control" Target="../activeX/activeX14.xml"/><Relationship Id="rId35" Type="http://schemas.openxmlformats.org/officeDocument/2006/relationships/image" Target="../media/image19.emf"/><Relationship Id="rId56" Type="http://schemas.openxmlformats.org/officeDocument/2006/relationships/control" Target="../activeX/activeX27.xml"/><Relationship Id="rId77" Type="http://schemas.openxmlformats.org/officeDocument/2006/relationships/image" Target="../media/image40.emf"/><Relationship Id="rId100" Type="http://schemas.openxmlformats.org/officeDocument/2006/relationships/comments" Target="../comments1.xml"/><Relationship Id="rId8" Type="http://schemas.openxmlformats.org/officeDocument/2006/relationships/control" Target="../activeX/activeX3.xml"/><Relationship Id="rId51" Type="http://schemas.openxmlformats.org/officeDocument/2006/relationships/image" Target="../media/image27.emf"/><Relationship Id="rId72" Type="http://schemas.openxmlformats.org/officeDocument/2006/relationships/control" Target="../activeX/activeX35.xml"/><Relationship Id="rId93" Type="http://schemas.openxmlformats.org/officeDocument/2006/relationships/image" Target="../media/image48.emf"/><Relationship Id="rId98" Type="http://schemas.openxmlformats.org/officeDocument/2006/relationships/control" Target="../activeX/activeX48.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8" Type="http://schemas.openxmlformats.org/officeDocument/2006/relationships/hyperlink" Target="https://www.gov.uk/government/statistics/school-capacity-academic-year-2017-to-2018" TargetMode="External"/><Relationship Id="rId13" Type="http://schemas.openxmlformats.org/officeDocument/2006/relationships/hyperlink" Target="https://www.gov.uk/government/publications/school-capacity-academic-year-2015-to-2016" TargetMode="External"/><Relationship Id="rId18" Type="http://schemas.openxmlformats.org/officeDocument/2006/relationships/printerSettings" Target="../printerSettings/printerSettings7.bin"/><Relationship Id="rId3" Type="http://schemas.openxmlformats.org/officeDocument/2006/relationships/hyperlink" Target="https://www.gov.uk/government/statistics/school-capacity-academic-year-2017-to-2018" TargetMode="External"/><Relationship Id="rId7" Type="http://schemas.openxmlformats.org/officeDocument/2006/relationships/hyperlink" Target="http://www.education.gov.uk/schools/performance/index.html" TargetMode="External"/><Relationship Id="rId12" Type="http://schemas.openxmlformats.org/officeDocument/2006/relationships/hyperlink" Target="https://www.gov.uk/government/statistics/school-capacity-academic-year-2017-to-2018" TargetMode="External"/><Relationship Id="rId17" Type="http://schemas.openxmlformats.org/officeDocument/2006/relationships/hyperlink" Target="https://www.gov.uk/government/statistics/school-capacity-academic-year-2018-to-2019" TargetMode="External"/><Relationship Id="rId2" Type="http://schemas.openxmlformats.org/officeDocument/2006/relationships/hyperlink" Target="https://www.gov.uk/government/statistics/secondary-and-primary-school-application-and-offers-2018" TargetMode="External"/><Relationship Id="rId16" Type="http://schemas.openxmlformats.org/officeDocument/2006/relationships/hyperlink" Target="https://www.gov.uk/government/statistics/school-capacity-2009-to-2010-final" TargetMode="External"/><Relationship Id="rId1" Type="http://schemas.openxmlformats.org/officeDocument/2006/relationships/hyperlink" Target="https://www.gov.uk/government/publications/basic-need-allocations" TargetMode="External"/><Relationship Id="rId6" Type="http://schemas.openxmlformats.org/officeDocument/2006/relationships/hyperlink" Target="http://www.education.gov.uk/schools/performance/index.html" TargetMode="External"/><Relationship Id="rId11" Type="http://schemas.openxmlformats.org/officeDocument/2006/relationships/hyperlink" Target="https://www.gov.uk/government/statistics/school-capacity-academic-year-2018-to-2019" TargetMode="External"/><Relationship Id="rId5" Type="http://schemas.openxmlformats.org/officeDocument/2006/relationships/hyperlink" Target="https://www.gov.uk/government/statistics/state-funded-schools-inspections-and-outcomes-as-at-31-august-2019" TargetMode="External"/><Relationship Id="rId15" Type="http://schemas.openxmlformats.org/officeDocument/2006/relationships/hyperlink" Target="https://www.gov.uk/government/statistics/school-capacity-academic-year-2018-to-2019" TargetMode="External"/><Relationship Id="rId10" Type="http://schemas.openxmlformats.org/officeDocument/2006/relationships/hyperlink" Target="https://www.gov.uk/government/statistics/school-capacity-academic-year-2018-to-2019" TargetMode="External"/><Relationship Id="rId4" Type="http://schemas.openxmlformats.org/officeDocument/2006/relationships/hyperlink" Target="https://www.gov.uk/government/statistics/school-capacity-academic-year-2018-to-2019" TargetMode="External"/><Relationship Id="rId9" Type="http://schemas.openxmlformats.org/officeDocument/2006/relationships/hyperlink" Target="https://www.gov.uk/government/collections/statistics-school-capacity" TargetMode="External"/><Relationship Id="rId14" Type="http://schemas.openxmlformats.org/officeDocument/2006/relationships/hyperlink" Target="https://www.gov.uk/government/statistics/school-capacity-academic-year-2018-to-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R40"/>
  <sheetViews>
    <sheetView showGridLines="0" showRowColHeaders="0" view="pageBreakPreview" zoomScaleNormal="100" zoomScaleSheetLayoutView="100" workbookViewId="0">
      <selection activeCell="AC29" sqref="AC29"/>
    </sheetView>
  </sheetViews>
  <sheetFormatPr defaultColWidth="8.86328125" defaultRowHeight="14.25" x14ac:dyDescent="0.45"/>
  <cols>
    <col min="1" max="1" width="1.3984375" style="3" customWidth="1"/>
    <col min="2" max="16384" width="8.86328125" style="3"/>
  </cols>
  <sheetData>
    <row r="1" spans="2:18" ht="7.5" customHeight="1" x14ac:dyDescent="0.45"/>
    <row r="8" spans="2:18" ht="22.5" customHeight="1" x14ac:dyDescent="0.55000000000000004">
      <c r="B8" s="140" t="s">
        <v>249</v>
      </c>
    </row>
    <row r="9" spans="2:18" ht="22.5" customHeight="1" x14ac:dyDescent="0.5">
      <c r="B9" s="141"/>
    </row>
    <row r="10" spans="2:18" x14ac:dyDescent="0.45">
      <c r="F10"/>
      <c r="G10"/>
      <c r="H10"/>
      <c r="I10"/>
      <c r="J10"/>
      <c r="K10"/>
      <c r="L10"/>
      <c r="M10"/>
      <c r="N10"/>
      <c r="O10"/>
      <c r="P10"/>
      <c r="Q10"/>
      <c r="R10"/>
    </row>
    <row r="11" spans="2:18" x14ac:dyDescent="0.45">
      <c r="F11"/>
      <c r="G11"/>
      <c r="H11"/>
      <c r="I11"/>
      <c r="J11"/>
      <c r="K11"/>
      <c r="L11"/>
      <c r="M11"/>
      <c r="N11"/>
      <c r="O11"/>
      <c r="P11"/>
      <c r="Q11"/>
      <c r="R11"/>
    </row>
    <row r="12" spans="2:18" x14ac:dyDescent="0.45">
      <c r="F12"/>
      <c r="G12"/>
      <c r="H12"/>
      <c r="I12"/>
      <c r="J12"/>
      <c r="K12"/>
      <c r="L12"/>
      <c r="M12"/>
      <c r="N12"/>
      <c r="O12"/>
      <c r="P12"/>
      <c r="Q12"/>
      <c r="R12"/>
    </row>
    <row r="13" spans="2:18" x14ac:dyDescent="0.45">
      <c r="F13"/>
      <c r="G13"/>
      <c r="H13"/>
      <c r="I13"/>
      <c r="J13"/>
      <c r="K13"/>
      <c r="L13"/>
      <c r="M13"/>
      <c r="N13"/>
      <c r="O13"/>
      <c r="P13"/>
      <c r="Q13"/>
      <c r="R13"/>
    </row>
    <row r="14" spans="2:18" x14ac:dyDescent="0.45">
      <c r="F14"/>
      <c r="G14"/>
      <c r="H14"/>
      <c r="I14"/>
      <c r="J14"/>
      <c r="K14"/>
      <c r="L14"/>
      <c r="M14"/>
      <c r="N14"/>
      <c r="O14"/>
      <c r="P14"/>
      <c r="Q14"/>
      <c r="R14"/>
    </row>
    <row r="15" spans="2:18" x14ac:dyDescent="0.45">
      <c r="F15"/>
      <c r="G15"/>
      <c r="H15"/>
      <c r="I15"/>
      <c r="J15"/>
      <c r="K15"/>
      <c r="L15"/>
      <c r="M15"/>
      <c r="N15"/>
      <c r="O15"/>
      <c r="P15"/>
      <c r="Q15"/>
      <c r="R15"/>
    </row>
    <row r="16" spans="2:18" x14ac:dyDescent="0.45">
      <c r="F16"/>
      <c r="G16"/>
      <c r="H16"/>
      <c r="I16"/>
      <c r="J16"/>
      <c r="K16"/>
      <c r="L16"/>
      <c r="M16"/>
      <c r="N16"/>
      <c r="O16"/>
      <c r="P16"/>
      <c r="Q16"/>
      <c r="R16"/>
    </row>
    <row r="17" spans="6:18" x14ac:dyDescent="0.45">
      <c r="F17"/>
      <c r="G17"/>
      <c r="H17"/>
      <c r="I17"/>
      <c r="J17"/>
      <c r="K17"/>
      <c r="L17"/>
      <c r="M17"/>
      <c r="N17"/>
      <c r="O17"/>
      <c r="P17"/>
      <c r="Q17"/>
      <c r="R17"/>
    </row>
    <row r="18" spans="6:18" x14ac:dyDescent="0.45">
      <c r="F18"/>
      <c r="G18"/>
      <c r="H18"/>
      <c r="I18"/>
      <c r="J18"/>
      <c r="K18"/>
      <c r="L18"/>
      <c r="M18"/>
      <c r="N18"/>
      <c r="O18"/>
      <c r="P18"/>
      <c r="Q18"/>
      <c r="R18"/>
    </row>
    <row r="19" spans="6:18" x14ac:dyDescent="0.45">
      <c r="F19"/>
      <c r="G19"/>
      <c r="H19"/>
      <c r="I19"/>
      <c r="J19"/>
      <c r="K19"/>
      <c r="L19"/>
      <c r="M19"/>
      <c r="N19"/>
      <c r="O19"/>
      <c r="P19"/>
      <c r="Q19"/>
      <c r="R19"/>
    </row>
    <row r="20" spans="6:18" x14ac:dyDescent="0.45">
      <c r="F20"/>
      <c r="G20"/>
      <c r="H20"/>
      <c r="I20"/>
      <c r="J20"/>
      <c r="K20"/>
      <c r="L20"/>
      <c r="M20"/>
      <c r="N20"/>
      <c r="O20"/>
      <c r="P20"/>
      <c r="Q20"/>
      <c r="R20"/>
    </row>
    <row r="21" spans="6:18" x14ac:dyDescent="0.45">
      <c r="F21"/>
      <c r="G21"/>
      <c r="H21"/>
      <c r="I21"/>
      <c r="J21"/>
      <c r="K21"/>
      <c r="L21"/>
      <c r="M21"/>
      <c r="N21"/>
      <c r="O21"/>
      <c r="P21"/>
      <c r="Q21"/>
      <c r="R21"/>
    </row>
    <row r="22" spans="6:18" x14ac:dyDescent="0.45">
      <c r="F22"/>
      <c r="G22"/>
      <c r="H22"/>
      <c r="I22"/>
      <c r="J22"/>
      <c r="K22"/>
      <c r="L22"/>
      <c r="M22"/>
      <c r="N22"/>
      <c r="O22"/>
      <c r="P22"/>
      <c r="Q22"/>
      <c r="R22"/>
    </row>
    <row r="23" spans="6:18" x14ac:dyDescent="0.45">
      <c r="F23"/>
      <c r="G23"/>
      <c r="H23"/>
      <c r="I23"/>
      <c r="J23"/>
      <c r="K23"/>
      <c r="L23"/>
      <c r="M23"/>
      <c r="N23"/>
      <c r="O23"/>
      <c r="P23"/>
      <c r="Q23"/>
      <c r="R23"/>
    </row>
    <row r="24" spans="6:18" x14ac:dyDescent="0.45">
      <c r="F24"/>
      <c r="G24"/>
      <c r="H24"/>
      <c r="I24"/>
      <c r="J24"/>
      <c r="K24"/>
      <c r="L24"/>
      <c r="M24"/>
      <c r="N24"/>
      <c r="O24"/>
      <c r="P24"/>
      <c r="Q24"/>
      <c r="R24"/>
    </row>
    <row r="25" spans="6:18" x14ac:dyDescent="0.45">
      <c r="F25"/>
      <c r="G25"/>
      <c r="H25"/>
      <c r="I25"/>
      <c r="J25"/>
      <c r="K25"/>
      <c r="L25"/>
      <c r="M25"/>
      <c r="N25"/>
      <c r="O25"/>
      <c r="P25"/>
      <c r="Q25"/>
      <c r="R25"/>
    </row>
    <row r="26" spans="6:18" x14ac:dyDescent="0.45">
      <c r="F26"/>
      <c r="G26"/>
      <c r="H26"/>
      <c r="I26"/>
      <c r="J26"/>
      <c r="K26"/>
      <c r="L26"/>
      <c r="M26"/>
      <c r="N26"/>
      <c r="O26"/>
      <c r="P26"/>
      <c r="Q26"/>
      <c r="R26"/>
    </row>
    <row r="27" spans="6:18" x14ac:dyDescent="0.45">
      <c r="F27"/>
      <c r="G27"/>
      <c r="H27"/>
      <c r="I27"/>
      <c r="J27"/>
      <c r="K27"/>
      <c r="L27"/>
      <c r="M27"/>
      <c r="N27"/>
      <c r="O27"/>
      <c r="P27"/>
      <c r="Q27"/>
      <c r="R27"/>
    </row>
    <row r="28" spans="6:18" x14ac:dyDescent="0.45">
      <c r="F28"/>
      <c r="G28"/>
      <c r="H28"/>
      <c r="I28"/>
      <c r="J28"/>
      <c r="K28"/>
      <c r="L28"/>
      <c r="M28"/>
      <c r="N28"/>
      <c r="O28"/>
      <c r="P28"/>
      <c r="Q28"/>
      <c r="R28"/>
    </row>
    <row r="29" spans="6:18" x14ac:dyDescent="0.45">
      <c r="F29"/>
      <c r="G29"/>
      <c r="H29"/>
      <c r="I29"/>
      <c r="J29"/>
      <c r="K29"/>
      <c r="L29"/>
      <c r="M29"/>
      <c r="N29"/>
      <c r="O29"/>
      <c r="P29"/>
      <c r="Q29"/>
      <c r="R29"/>
    </row>
    <row r="30" spans="6:18" x14ac:dyDescent="0.45">
      <c r="F30"/>
      <c r="G30"/>
      <c r="H30"/>
      <c r="I30"/>
      <c r="J30"/>
      <c r="K30"/>
      <c r="L30"/>
      <c r="M30"/>
      <c r="N30"/>
      <c r="O30"/>
      <c r="P30"/>
      <c r="Q30"/>
      <c r="R30"/>
    </row>
    <row r="31" spans="6:18" x14ac:dyDescent="0.45">
      <c r="F31"/>
      <c r="G31"/>
      <c r="H31"/>
      <c r="I31"/>
      <c r="J31"/>
      <c r="K31"/>
      <c r="L31"/>
      <c r="M31"/>
      <c r="N31"/>
      <c r="O31"/>
      <c r="P31"/>
      <c r="Q31"/>
      <c r="R31"/>
    </row>
    <row r="32" spans="6:18" x14ac:dyDescent="0.45">
      <c r="F32"/>
      <c r="G32"/>
      <c r="H32"/>
      <c r="I32"/>
      <c r="J32"/>
      <c r="K32"/>
      <c r="L32"/>
      <c r="M32"/>
      <c r="N32"/>
      <c r="O32"/>
      <c r="P32"/>
      <c r="Q32"/>
      <c r="R32"/>
    </row>
    <row r="33" spans="6:18" x14ac:dyDescent="0.45">
      <c r="F33"/>
      <c r="G33"/>
      <c r="H33"/>
      <c r="I33"/>
      <c r="J33"/>
      <c r="K33"/>
      <c r="L33"/>
      <c r="M33"/>
      <c r="N33"/>
      <c r="O33"/>
      <c r="P33"/>
      <c r="Q33"/>
      <c r="R33"/>
    </row>
    <row r="34" spans="6:18" x14ac:dyDescent="0.45">
      <c r="F34"/>
      <c r="G34"/>
      <c r="H34"/>
      <c r="I34"/>
      <c r="J34"/>
      <c r="K34"/>
      <c r="L34"/>
      <c r="M34"/>
      <c r="N34"/>
      <c r="O34"/>
      <c r="P34"/>
      <c r="Q34"/>
      <c r="R34"/>
    </row>
    <row r="35" spans="6:18" x14ac:dyDescent="0.45">
      <c r="F35"/>
      <c r="G35"/>
      <c r="H35"/>
      <c r="I35"/>
      <c r="J35"/>
      <c r="K35"/>
      <c r="L35"/>
      <c r="M35"/>
      <c r="N35"/>
      <c r="O35"/>
      <c r="P35"/>
      <c r="Q35"/>
      <c r="R35"/>
    </row>
    <row r="36" spans="6:18" x14ac:dyDescent="0.45">
      <c r="F36"/>
      <c r="G36"/>
      <c r="H36"/>
      <c r="I36"/>
      <c r="J36"/>
      <c r="K36"/>
      <c r="L36"/>
      <c r="M36"/>
      <c r="N36"/>
      <c r="O36"/>
      <c r="P36"/>
      <c r="Q36"/>
      <c r="R36"/>
    </row>
    <row r="37" spans="6:18" x14ac:dyDescent="0.45">
      <c r="F37"/>
      <c r="G37"/>
      <c r="H37"/>
      <c r="I37"/>
      <c r="J37"/>
      <c r="K37"/>
      <c r="L37"/>
      <c r="M37"/>
      <c r="N37"/>
      <c r="O37"/>
      <c r="P37"/>
      <c r="Q37"/>
      <c r="R37"/>
    </row>
    <row r="38" spans="6:18" x14ac:dyDescent="0.45">
      <c r="F38"/>
      <c r="G38"/>
      <c r="H38"/>
      <c r="I38"/>
      <c r="J38"/>
      <c r="K38"/>
      <c r="L38"/>
      <c r="M38"/>
      <c r="N38"/>
      <c r="O38"/>
      <c r="P38"/>
      <c r="Q38"/>
      <c r="R38"/>
    </row>
    <row r="39" spans="6:18" x14ac:dyDescent="0.45">
      <c r="F39"/>
      <c r="G39"/>
      <c r="H39"/>
      <c r="I39"/>
      <c r="J39"/>
      <c r="K39"/>
      <c r="L39"/>
      <c r="M39"/>
      <c r="N39"/>
      <c r="O39"/>
      <c r="P39"/>
      <c r="Q39"/>
      <c r="R39"/>
    </row>
    <row r="40" spans="6:18" x14ac:dyDescent="0.45">
      <c r="F40"/>
      <c r="G40"/>
      <c r="H40"/>
      <c r="I40"/>
      <c r="J40"/>
      <c r="K40"/>
      <c r="L40"/>
      <c r="M40"/>
      <c r="N40"/>
      <c r="O40"/>
      <c r="P40"/>
      <c r="Q40"/>
      <c r="R40"/>
    </row>
  </sheetData>
  <sheetProtection selectLockedCells="1" selectUnlockedCells="1"/>
  <pageMargins left="0.7" right="0.7" top="0.75" bottom="0.75" header="0.3" footer="0.3"/>
  <pageSetup paperSize="9" scale="5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8"/>
  <sheetViews>
    <sheetView topLeftCell="A15" workbookViewId="0">
      <selection activeCell="B28" sqref="B28"/>
    </sheetView>
  </sheetViews>
  <sheetFormatPr defaultColWidth="8.86328125" defaultRowHeight="14.25" x14ac:dyDescent="0.45"/>
  <cols>
    <col min="1" max="1" width="26.1328125" bestFit="1" customWidth="1"/>
    <col min="2" max="2" width="137.86328125" style="105" bestFit="1" customWidth="1"/>
    <col min="3" max="3" width="21.86328125" style="105" customWidth="1"/>
    <col min="4" max="4" width="10.73046875" bestFit="1" customWidth="1"/>
  </cols>
  <sheetData>
    <row r="1" spans="1:4" x14ac:dyDescent="0.45">
      <c r="A1" t="s">
        <v>658</v>
      </c>
    </row>
    <row r="2" spans="1:4" x14ac:dyDescent="0.45">
      <c r="A2" t="s">
        <v>230</v>
      </c>
    </row>
    <row r="4" spans="1:4" x14ac:dyDescent="0.45">
      <c r="A4" t="s">
        <v>229</v>
      </c>
      <c r="B4" s="105" t="s">
        <v>157</v>
      </c>
      <c r="C4" s="105" t="s">
        <v>591</v>
      </c>
      <c r="D4" t="s">
        <v>499</v>
      </c>
    </row>
    <row r="5" spans="1:4" ht="99.75" x14ac:dyDescent="0.45">
      <c r="A5">
        <v>0.1</v>
      </c>
      <c r="B5" s="105" t="s">
        <v>677</v>
      </c>
      <c r="C5" s="105" t="s">
        <v>659</v>
      </c>
      <c r="D5" s="148">
        <v>43607</v>
      </c>
    </row>
    <row r="6" spans="1:4" x14ac:dyDescent="0.45">
      <c r="A6">
        <v>0.2</v>
      </c>
      <c r="B6" s="105" t="s">
        <v>678</v>
      </c>
      <c r="C6" s="105" t="s">
        <v>679</v>
      </c>
      <c r="D6" s="148">
        <v>43607</v>
      </c>
    </row>
    <row r="7" spans="1:4" x14ac:dyDescent="0.45">
      <c r="A7">
        <v>0.2</v>
      </c>
      <c r="B7" s="105" t="s">
        <v>680</v>
      </c>
      <c r="C7" s="105" t="s">
        <v>681</v>
      </c>
      <c r="D7" s="148">
        <v>43979</v>
      </c>
    </row>
    <row r="8" spans="1:4" x14ac:dyDescent="0.45">
      <c r="A8">
        <v>0.2</v>
      </c>
      <c r="B8" s="105" t="s">
        <v>682</v>
      </c>
      <c r="C8" s="105" t="s">
        <v>679</v>
      </c>
      <c r="D8" s="148">
        <v>43980</v>
      </c>
    </row>
    <row r="9" spans="1:4" x14ac:dyDescent="0.45">
      <c r="A9">
        <v>0.2</v>
      </c>
      <c r="B9" s="105" t="s">
        <v>683</v>
      </c>
      <c r="C9" s="105" t="s">
        <v>681</v>
      </c>
      <c r="D9" s="148">
        <v>43984</v>
      </c>
    </row>
    <row r="10" spans="1:4" x14ac:dyDescent="0.45">
      <c r="A10">
        <v>0.2</v>
      </c>
      <c r="B10" s="105" t="s">
        <v>684</v>
      </c>
      <c r="C10" s="105" t="s">
        <v>681</v>
      </c>
      <c r="D10" s="148">
        <v>43984</v>
      </c>
    </row>
    <row r="11" spans="1:4" x14ac:dyDescent="0.45">
      <c r="A11">
        <v>0.3</v>
      </c>
      <c r="B11" s="105" t="s">
        <v>685</v>
      </c>
      <c r="C11" s="105" t="s">
        <v>679</v>
      </c>
      <c r="D11" s="148">
        <v>43984</v>
      </c>
    </row>
    <row r="12" spans="1:4" x14ac:dyDescent="0.45">
      <c r="A12">
        <v>0.3</v>
      </c>
      <c r="B12" s="105" t="s">
        <v>689</v>
      </c>
      <c r="C12" s="105" t="s">
        <v>681</v>
      </c>
      <c r="D12" s="148">
        <v>43985</v>
      </c>
    </row>
    <row r="13" spans="1:4" x14ac:dyDescent="0.45">
      <c r="A13">
        <v>0.4</v>
      </c>
      <c r="B13" s="105" t="s">
        <v>698</v>
      </c>
      <c r="C13" s="105" t="s">
        <v>699</v>
      </c>
      <c r="D13" s="148">
        <v>43985</v>
      </c>
    </row>
    <row r="14" spans="1:4" x14ac:dyDescent="0.45">
      <c r="A14" s="187" t="s">
        <v>700</v>
      </c>
      <c r="B14" s="105" t="s">
        <v>701</v>
      </c>
      <c r="C14" s="105" t="s">
        <v>681</v>
      </c>
      <c r="D14" s="148">
        <v>43985</v>
      </c>
    </row>
    <row r="15" spans="1:4" x14ac:dyDescent="0.45">
      <c r="A15" s="197">
        <v>0.4</v>
      </c>
      <c r="B15" s="105" t="s">
        <v>705</v>
      </c>
      <c r="C15" s="105" t="s">
        <v>681</v>
      </c>
      <c r="D15" s="148">
        <v>43985</v>
      </c>
    </row>
    <row r="16" spans="1:4" x14ac:dyDescent="0.45">
      <c r="A16" s="197">
        <v>0.4</v>
      </c>
      <c r="B16" s="105" t="s">
        <v>702</v>
      </c>
      <c r="C16" s="105" t="s">
        <v>681</v>
      </c>
      <c r="D16" s="148">
        <v>43985</v>
      </c>
    </row>
    <row r="17" spans="1:4" x14ac:dyDescent="0.45">
      <c r="A17" s="187" t="s">
        <v>700</v>
      </c>
      <c r="B17" s="105" t="s">
        <v>703</v>
      </c>
      <c r="C17" s="105" t="s">
        <v>681</v>
      </c>
      <c r="D17" s="148">
        <v>43986</v>
      </c>
    </row>
    <row r="18" spans="1:4" x14ac:dyDescent="0.45">
      <c r="A18" s="197">
        <v>0.4</v>
      </c>
      <c r="B18" s="105" t="s">
        <v>704</v>
      </c>
      <c r="C18" s="105" t="s">
        <v>681</v>
      </c>
      <c r="D18" s="148">
        <v>43987</v>
      </c>
    </row>
    <row r="19" spans="1:4" x14ac:dyDescent="0.45">
      <c r="A19" s="197">
        <v>0.4</v>
      </c>
      <c r="B19" s="105" t="s">
        <v>706</v>
      </c>
      <c r="C19" s="105" t="s">
        <v>699</v>
      </c>
      <c r="D19" s="148">
        <v>43987</v>
      </c>
    </row>
    <row r="20" spans="1:4" x14ac:dyDescent="0.45">
      <c r="A20" s="197">
        <v>0.4</v>
      </c>
      <c r="B20" s="105" t="s">
        <v>707</v>
      </c>
      <c r="C20" s="105" t="s">
        <v>659</v>
      </c>
      <c r="D20" s="148">
        <v>43990</v>
      </c>
    </row>
    <row r="21" spans="1:4" x14ac:dyDescent="0.45">
      <c r="A21" s="197">
        <v>0.6</v>
      </c>
      <c r="B21" s="105" t="s">
        <v>741</v>
      </c>
      <c r="C21" s="105" t="s">
        <v>708</v>
      </c>
      <c r="D21" s="148">
        <v>43990</v>
      </c>
    </row>
    <row r="22" spans="1:4" x14ac:dyDescent="0.45">
      <c r="A22" s="197">
        <v>0.7</v>
      </c>
      <c r="B22" s="105" t="s">
        <v>728</v>
      </c>
      <c r="C22" s="105" t="s">
        <v>659</v>
      </c>
      <c r="D22" s="148">
        <v>43991</v>
      </c>
    </row>
    <row r="23" spans="1:4" x14ac:dyDescent="0.45">
      <c r="A23" s="197">
        <v>0.7</v>
      </c>
      <c r="B23" s="105" t="s">
        <v>733</v>
      </c>
      <c r="C23" s="105" t="s">
        <v>699</v>
      </c>
      <c r="D23" s="148">
        <v>43991</v>
      </c>
    </row>
    <row r="24" spans="1:4" x14ac:dyDescent="0.45">
      <c r="A24" s="197">
        <v>0.7</v>
      </c>
      <c r="B24" s="105" t="s">
        <v>739</v>
      </c>
      <c r="C24" s="105" t="s">
        <v>699</v>
      </c>
      <c r="D24" s="148">
        <v>43991</v>
      </c>
    </row>
    <row r="25" spans="1:4" x14ac:dyDescent="0.45">
      <c r="A25" s="197">
        <v>0.7</v>
      </c>
      <c r="B25" s="105" t="s">
        <v>740</v>
      </c>
      <c r="C25" s="105" t="s">
        <v>708</v>
      </c>
      <c r="D25" s="148">
        <v>43991</v>
      </c>
    </row>
    <row r="26" spans="1:4" x14ac:dyDescent="0.45">
      <c r="A26" s="197">
        <v>0.7</v>
      </c>
      <c r="B26" s="105" t="s">
        <v>742</v>
      </c>
      <c r="C26" s="105" t="s">
        <v>708</v>
      </c>
      <c r="D26" s="148">
        <v>43991</v>
      </c>
    </row>
    <row r="27" spans="1:4" x14ac:dyDescent="0.45">
      <c r="A27" s="197">
        <v>0.7</v>
      </c>
      <c r="B27" s="105" t="s">
        <v>755</v>
      </c>
      <c r="C27" s="105" t="s">
        <v>659</v>
      </c>
      <c r="D27" s="148">
        <v>43997</v>
      </c>
    </row>
    <row r="28" spans="1:4" x14ac:dyDescent="0.45">
      <c r="A28" s="197">
        <v>0.8</v>
      </c>
      <c r="B28" s="105" t="s">
        <v>763</v>
      </c>
    </row>
  </sheetData>
  <phoneticPr fontId="5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F138"/>
  <sheetViews>
    <sheetView workbookViewId="0">
      <selection activeCell="A72" sqref="A72"/>
    </sheetView>
  </sheetViews>
  <sheetFormatPr defaultRowHeight="14.25" x14ac:dyDescent="0.45"/>
  <cols>
    <col min="1" max="1" width="22" bestFit="1" customWidth="1"/>
    <col min="2" max="2" width="63.86328125" bestFit="1" customWidth="1"/>
    <col min="4" max="4" width="35.86328125" bestFit="1" customWidth="1"/>
    <col min="5" max="5" width="22.73046875" bestFit="1" customWidth="1"/>
  </cols>
  <sheetData>
    <row r="1" spans="1:5" x14ac:dyDescent="0.45">
      <c r="A1" t="s">
        <v>211</v>
      </c>
    </row>
    <row r="2" spans="1:5" x14ac:dyDescent="0.45">
      <c r="A2" s="1"/>
      <c r="B2" t="s">
        <v>209</v>
      </c>
    </row>
    <row r="3" spans="1:5" x14ac:dyDescent="0.45">
      <c r="A3" s="2"/>
      <c r="B3" t="s">
        <v>208</v>
      </c>
    </row>
    <row r="4" spans="1:5" x14ac:dyDescent="0.45">
      <c r="A4" s="4"/>
      <c r="B4" t="s">
        <v>251</v>
      </c>
    </row>
    <row r="5" spans="1:5" x14ac:dyDescent="0.45">
      <c r="A5" s="5"/>
      <c r="B5" t="s">
        <v>210</v>
      </c>
    </row>
    <row r="6" spans="1:5" x14ac:dyDescent="0.45">
      <c r="A6" s="118"/>
      <c r="B6" t="s">
        <v>231</v>
      </c>
    </row>
    <row r="7" spans="1:5" x14ac:dyDescent="0.45">
      <c r="A7" s="123"/>
      <c r="B7" t="s">
        <v>250</v>
      </c>
    </row>
    <row r="9" spans="1:5" x14ac:dyDescent="0.45">
      <c r="A9" t="s">
        <v>497</v>
      </c>
      <c r="B9" t="s">
        <v>157</v>
      </c>
      <c r="D9" t="s">
        <v>498</v>
      </c>
      <c r="E9" t="s">
        <v>496</v>
      </c>
    </row>
    <row r="10" spans="1:5" x14ac:dyDescent="0.45">
      <c r="A10" t="s">
        <v>0</v>
      </c>
      <c r="B10" t="s">
        <v>283</v>
      </c>
      <c r="D10" t="s">
        <v>398</v>
      </c>
      <c r="E10" t="s">
        <v>399</v>
      </c>
    </row>
    <row r="11" spans="1:5" x14ac:dyDescent="0.45">
      <c r="A11" s="191" t="s">
        <v>204</v>
      </c>
      <c r="B11" t="s">
        <v>304</v>
      </c>
      <c r="D11" t="s">
        <v>400</v>
      </c>
      <c r="E11" t="s">
        <v>401</v>
      </c>
    </row>
    <row r="12" spans="1:5" x14ac:dyDescent="0.45">
      <c r="A12" s="191" t="s">
        <v>205</v>
      </c>
      <c r="B12" t="s">
        <v>305</v>
      </c>
      <c r="D12" t="s">
        <v>402</v>
      </c>
      <c r="E12" t="s">
        <v>403</v>
      </c>
    </row>
    <row r="13" spans="1:5" x14ac:dyDescent="0.45">
      <c r="A13" s="191" t="s">
        <v>206</v>
      </c>
      <c r="B13" t="s">
        <v>306</v>
      </c>
      <c r="D13" t="s">
        <v>404</v>
      </c>
      <c r="E13" t="s">
        <v>405</v>
      </c>
    </row>
    <row r="14" spans="1:5" x14ac:dyDescent="0.45">
      <c r="A14" s="191" t="s">
        <v>207</v>
      </c>
      <c r="B14" t="s">
        <v>307</v>
      </c>
      <c r="D14" t="s">
        <v>406</v>
      </c>
      <c r="E14" t="s">
        <v>407</v>
      </c>
    </row>
    <row r="15" spans="1:5" x14ac:dyDescent="0.45">
      <c r="A15" s="192" t="s">
        <v>359</v>
      </c>
      <c r="B15" t="s">
        <v>537</v>
      </c>
      <c r="D15" t="s">
        <v>408</v>
      </c>
      <c r="E15" t="s">
        <v>409</v>
      </c>
    </row>
    <row r="16" spans="1:5" x14ac:dyDescent="0.45">
      <c r="A16" s="192" t="s">
        <v>360</v>
      </c>
      <c r="B16" t="s">
        <v>538</v>
      </c>
      <c r="D16" t="s">
        <v>199</v>
      </c>
      <c r="E16" t="s">
        <v>410</v>
      </c>
    </row>
    <row r="17" spans="1:5" x14ac:dyDescent="0.45">
      <c r="A17" s="192" t="s">
        <v>361</v>
      </c>
      <c r="B17" t="s">
        <v>544</v>
      </c>
      <c r="D17" t="s">
        <v>411</v>
      </c>
      <c r="E17" t="s">
        <v>412</v>
      </c>
    </row>
    <row r="18" spans="1:5" x14ac:dyDescent="0.45">
      <c r="A18" s="192" t="s">
        <v>362</v>
      </c>
      <c r="B18" t="s">
        <v>545</v>
      </c>
      <c r="D18" t="s">
        <v>413</v>
      </c>
      <c r="E18" t="s">
        <v>414</v>
      </c>
    </row>
    <row r="19" spans="1:5" x14ac:dyDescent="0.45">
      <c r="A19" s="192" t="s">
        <v>540</v>
      </c>
      <c r="B19" t="s">
        <v>574</v>
      </c>
      <c r="D19" t="s">
        <v>415</v>
      </c>
      <c r="E19" t="s">
        <v>416</v>
      </c>
    </row>
    <row r="20" spans="1:5" x14ac:dyDescent="0.45">
      <c r="A20" s="192" t="s">
        <v>541</v>
      </c>
      <c r="B20" t="s">
        <v>575</v>
      </c>
      <c r="D20" t="s">
        <v>444</v>
      </c>
      <c r="E20" t="s">
        <v>445</v>
      </c>
    </row>
    <row r="21" spans="1:5" x14ac:dyDescent="0.45">
      <c r="A21" s="192" t="s">
        <v>363</v>
      </c>
      <c r="B21" t="s">
        <v>317</v>
      </c>
      <c r="D21" t="s">
        <v>446</v>
      </c>
      <c r="E21" t="s">
        <v>447</v>
      </c>
    </row>
    <row r="22" spans="1:5" x14ac:dyDescent="0.45">
      <c r="A22" s="192" t="s">
        <v>364</v>
      </c>
      <c r="B22" t="s">
        <v>318</v>
      </c>
      <c r="D22" t="s">
        <v>448</v>
      </c>
      <c r="E22" t="s">
        <v>449</v>
      </c>
    </row>
    <row r="23" spans="1:5" x14ac:dyDescent="0.45">
      <c r="A23" s="193" t="s">
        <v>365</v>
      </c>
      <c r="B23" t="s">
        <v>337</v>
      </c>
      <c r="D23" t="s">
        <v>162</v>
      </c>
      <c r="E23" t="s">
        <v>450</v>
      </c>
    </row>
    <row r="24" spans="1:5" x14ac:dyDescent="0.45">
      <c r="A24" s="193" t="s">
        <v>366</v>
      </c>
      <c r="B24" t="s">
        <v>331</v>
      </c>
      <c r="D24" t="s">
        <v>451</v>
      </c>
      <c r="E24" t="s">
        <v>452</v>
      </c>
    </row>
    <row r="25" spans="1:5" x14ac:dyDescent="0.45">
      <c r="A25" s="193" t="s">
        <v>367</v>
      </c>
      <c r="B25" t="s">
        <v>332</v>
      </c>
      <c r="D25" t="s">
        <v>453</v>
      </c>
      <c r="E25" t="s">
        <v>454</v>
      </c>
    </row>
    <row r="26" spans="1:5" x14ac:dyDescent="0.45">
      <c r="A26" s="193" t="s">
        <v>368</v>
      </c>
      <c r="B26" t="s">
        <v>333</v>
      </c>
      <c r="D26" t="s">
        <v>455</v>
      </c>
      <c r="E26" t="s">
        <v>456</v>
      </c>
    </row>
    <row r="27" spans="1:5" x14ac:dyDescent="0.45">
      <c r="A27" s="193" t="s">
        <v>369</v>
      </c>
      <c r="B27" t="s">
        <v>334</v>
      </c>
      <c r="D27" t="s">
        <v>457</v>
      </c>
      <c r="E27" t="s">
        <v>458</v>
      </c>
    </row>
    <row r="28" spans="1:5" x14ac:dyDescent="0.45">
      <c r="A28" s="193" t="s">
        <v>370</v>
      </c>
      <c r="B28" t="s">
        <v>341</v>
      </c>
      <c r="D28" t="s">
        <v>417</v>
      </c>
      <c r="E28" t="s">
        <v>418</v>
      </c>
    </row>
    <row r="29" spans="1:5" x14ac:dyDescent="0.45">
      <c r="A29" s="193" t="s">
        <v>371</v>
      </c>
      <c r="B29" t="s">
        <v>342</v>
      </c>
      <c r="D29" t="s">
        <v>419</v>
      </c>
      <c r="E29" t="s">
        <v>420</v>
      </c>
    </row>
    <row r="30" spans="1:5" x14ac:dyDescent="0.45">
      <c r="A30" s="193" t="s">
        <v>372</v>
      </c>
      <c r="B30" t="s">
        <v>343</v>
      </c>
      <c r="D30" t="s">
        <v>421</v>
      </c>
      <c r="E30" t="s">
        <v>422</v>
      </c>
    </row>
    <row r="31" spans="1:5" x14ac:dyDescent="0.45">
      <c r="A31" s="193" t="s">
        <v>373</v>
      </c>
      <c r="B31" t="s">
        <v>344</v>
      </c>
      <c r="D31" t="s">
        <v>423</v>
      </c>
      <c r="E31" t="s">
        <v>424</v>
      </c>
    </row>
    <row r="32" spans="1:5" x14ac:dyDescent="0.45">
      <c r="A32" s="193" t="s">
        <v>374</v>
      </c>
      <c r="B32" t="s">
        <v>345</v>
      </c>
      <c r="D32" t="s">
        <v>425</v>
      </c>
      <c r="E32" t="s">
        <v>426</v>
      </c>
    </row>
    <row r="33" spans="1:5" x14ac:dyDescent="0.45">
      <c r="A33" s="193" t="s">
        <v>196</v>
      </c>
      <c r="B33" t="s">
        <v>352</v>
      </c>
      <c r="D33" t="s">
        <v>427</v>
      </c>
      <c r="E33" t="s">
        <v>428</v>
      </c>
    </row>
    <row r="34" spans="1:5" x14ac:dyDescent="0.45">
      <c r="A34" s="193" t="s">
        <v>500</v>
      </c>
      <c r="B34" t="s">
        <v>351</v>
      </c>
      <c r="D34" t="s">
        <v>429</v>
      </c>
      <c r="E34" t="s">
        <v>430</v>
      </c>
    </row>
    <row r="35" spans="1:5" x14ac:dyDescent="0.45">
      <c r="A35" s="193" t="s">
        <v>375</v>
      </c>
      <c r="B35" t="s">
        <v>336</v>
      </c>
      <c r="D35" t="s">
        <v>431</v>
      </c>
      <c r="E35" t="s">
        <v>432</v>
      </c>
    </row>
    <row r="36" spans="1:5" x14ac:dyDescent="0.45">
      <c r="A36" s="193" t="s">
        <v>378</v>
      </c>
      <c r="B36" t="s">
        <v>335</v>
      </c>
      <c r="D36" t="s">
        <v>433</v>
      </c>
      <c r="E36" t="s">
        <v>434</v>
      </c>
    </row>
    <row r="37" spans="1:5" x14ac:dyDescent="0.45">
      <c r="A37" s="193" t="s">
        <v>379</v>
      </c>
      <c r="B37" t="s">
        <v>338</v>
      </c>
      <c r="D37" t="s">
        <v>435</v>
      </c>
      <c r="E37" t="s">
        <v>436</v>
      </c>
    </row>
    <row r="38" spans="1:5" x14ac:dyDescent="0.45">
      <c r="A38" s="193" t="s">
        <v>377</v>
      </c>
      <c r="B38" t="s">
        <v>339</v>
      </c>
      <c r="D38" t="s">
        <v>437</v>
      </c>
      <c r="E38" t="s">
        <v>438</v>
      </c>
    </row>
    <row r="39" spans="1:5" x14ac:dyDescent="0.45">
      <c r="A39" s="193" t="s">
        <v>376</v>
      </c>
      <c r="B39" t="s">
        <v>340</v>
      </c>
      <c r="D39" t="s">
        <v>439</v>
      </c>
      <c r="E39" t="s">
        <v>440</v>
      </c>
    </row>
    <row r="40" spans="1:5" x14ac:dyDescent="0.45">
      <c r="A40" s="193" t="s">
        <v>381</v>
      </c>
      <c r="B40" t="s">
        <v>346</v>
      </c>
      <c r="D40" t="s">
        <v>441</v>
      </c>
      <c r="E40" t="s">
        <v>434</v>
      </c>
    </row>
    <row r="41" spans="1:5" x14ac:dyDescent="0.45">
      <c r="A41" s="193" t="s">
        <v>380</v>
      </c>
      <c r="B41" t="s">
        <v>347</v>
      </c>
      <c r="D41" t="s">
        <v>459</v>
      </c>
      <c r="E41" t="s">
        <v>460</v>
      </c>
    </row>
    <row r="42" spans="1:5" x14ac:dyDescent="0.45">
      <c r="A42" s="193" t="s">
        <v>382</v>
      </c>
      <c r="B42" t="s">
        <v>348</v>
      </c>
      <c r="D42" t="s">
        <v>461</v>
      </c>
      <c r="E42" t="s">
        <v>462</v>
      </c>
    </row>
    <row r="43" spans="1:5" x14ac:dyDescent="0.45">
      <c r="A43" s="193" t="s">
        <v>383</v>
      </c>
      <c r="B43" t="s">
        <v>349</v>
      </c>
      <c r="D43" t="s">
        <v>463</v>
      </c>
      <c r="E43" t="s">
        <v>464</v>
      </c>
    </row>
    <row r="44" spans="1:5" x14ac:dyDescent="0.45">
      <c r="A44" s="193" t="s">
        <v>384</v>
      </c>
      <c r="B44" t="s">
        <v>350</v>
      </c>
      <c r="D44" t="s">
        <v>465</v>
      </c>
      <c r="E44" t="s">
        <v>466</v>
      </c>
    </row>
    <row r="45" spans="1:5" x14ac:dyDescent="0.45">
      <c r="A45" s="193" t="s">
        <v>197</v>
      </c>
      <c r="B45" t="s">
        <v>395</v>
      </c>
      <c r="D45" t="s">
        <v>467</v>
      </c>
      <c r="E45" t="s">
        <v>468</v>
      </c>
    </row>
    <row r="46" spans="1:5" x14ac:dyDescent="0.45">
      <c r="A46" s="193" t="s">
        <v>501</v>
      </c>
      <c r="B46" t="s">
        <v>353</v>
      </c>
      <c r="D46" t="s">
        <v>469</v>
      </c>
      <c r="E46" t="s">
        <v>470</v>
      </c>
    </row>
    <row r="47" spans="1:5" x14ac:dyDescent="0.45">
      <c r="A47" s="193" t="s">
        <v>502</v>
      </c>
      <c r="B47" t="s">
        <v>389</v>
      </c>
      <c r="D47" t="s">
        <v>471</v>
      </c>
      <c r="E47" t="s">
        <v>472</v>
      </c>
    </row>
    <row r="48" spans="1:5" x14ac:dyDescent="0.45">
      <c r="A48" s="193" t="s">
        <v>503</v>
      </c>
      <c r="B48" t="s">
        <v>354</v>
      </c>
      <c r="D48" t="s">
        <v>473</v>
      </c>
      <c r="E48" t="s">
        <v>474</v>
      </c>
    </row>
    <row r="49" spans="1:5" x14ac:dyDescent="0.45">
      <c r="A49" s="193" t="s">
        <v>504</v>
      </c>
      <c r="B49" t="s">
        <v>390</v>
      </c>
      <c r="D49" t="s">
        <v>475</v>
      </c>
      <c r="E49" t="s">
        <v>476</v>
      </c>
    </row>
    <row r="50" spans="1:5" x14ac:dyDescent="0.45">
      <c r="A50" s="193" t="s">
        <v>505</v>
      </c>
      <c r="B50" t="s">
        <v>391</v>
      </c>
      <c r="D50" t="s">
        <v>477</v>
      </c>
      <c r="E50" t="s">
        <v>478</v>
      </c>
    </row>
    <row r="51" spans="1:5" x14ac:dyDescent="0.45">
      <c r="A51" s="193" t="s">
        <v>506</v>
      </c>
      <c r="B51" t="s">
        <v>392</v>
      </c>
      <c r="D51" t="s">
        <v>479</v>
      </c>
      <c r="E51" t="s">
        <v>480</v>
      </c>
    </row>
    <row r="52" spans="1:5" x14ac:dyDescent="0.45">
      <c r="A52" s="193" t="s">
        <v>507</v>
      </c>
      <c r="B52" t="s">
        <v>340</v>
      </c>
      <c r="D52" t="s">
        <v>481</v>
      </c>
      <c r="E52" t="s">
        <v>482</v>
      </c>
    </row>
    <row r="53" spans="1:5" x14ac:dyDescent="0.45">
      <c r="A53" s="193" t="s">
        <v>203</v>
      </c>
      <c r="B53" t="s">
        <v>394</v>
      </c>
      <c r="D53" t="s">
        <v>483</v>
      </c>
      <c r="E53" t="s">
        <v>484</v>
      </c>
    </row>
    <row r="54" spans="1:5" x14ac:dyDescent="0.45">
      <c r="A54" s="193" t="s">
        <v>508</v>
      </c>
      <c r="B54" t="s">
        <v>393</v>
      </c>
      <c r="D54" t="s">
        <v>485</v>
      </c>
      <c r="E54" t="s">
        <v>486</v>
      </c>
    </row>
    <row r="55" spans="1:5" x14ac:dyDescent="0.45">
      <c r="A55" s="193" t="s">
        <v>509</v>
      </c>
      <c r="B55" t="s">
        <v>396</v>
      </c>
      <c r="D55" t="s">
        <v>487</v>
      </c>
      <c r="E55" t="s">
        <v>488</v>
      </c>
    </row>
    <row r="56" spans="1:5" x14ac:dyDescent="0.45">
      <c r="A56" s="193" t="s">
        <v>510</v>
      </c>
      <c r="B56" t="s">
        <v>355</v>
      </c>
      <c r="D56" t="s">
        <v>489</v>
      </c>
      <c r="E56" t="s">
        <v>490</v>
      </c>
    </row>
    <row r="57" spans="1:5" x14ac:dyDescent="0.45">
      <c r="A57" s="193" t="s">
        <v>511</v>
      </c>
      <c r="B57" t="s">
        <v>356</v>
      </c>
      <c r="D57" t="s">
        <v>442</v>
      </c>
      <c r="E57" t="s">
        <v>443</v>
      </c>
    </row>
    <row r="58" spans="1:5" x14ac:dyDescent="0.45">
      <c r="A58" s="193" t="s">
        <v>512</v>
      </c>
      <c r="B58" t="s">
        <v>357</v>
      </c>
      <c r="D58" t="s">
        <v>491</v>
      </c>
      <c r="E58" t="s">
        <v>492</v>
      </c>
    </row>
    <row r="59" spans="1:5" x14ac:dyDescent="0.45">
      <c r="A59" s="193" t="s">
        <v>513</v>
      </c>
      <c r="B59" t="s">
        <v>397</v>
      </c>
      <c r="D59" t="s">
        <v>493</v>
      </c>
      <c r="E59" t="s">
        <v>494</v>
      </c>
    </row>
    <row r="60" spans="1:5" x14ac:dyDescent="0.45">
      <c r="A60" s="193" t="s">
        <v>514</v>
      </c>
      <c r="B60" t="s">
        <v>358</v>
      </c>
      <c r="D60" t="s">
        <v>542</v>
      </c>
      <c r="E60" t="s">
        <v>543</v>
      </c>
    </row>
    <row r="61" spans="1:5" x14ac:dyDescent="0.45">
      <c r="A61" s="194" t="s">
        <v>551</v>
      </c>
      <c r="B61" t="s">
        <v>319</v>
      </c>
    </row>
    <row r="62" spans="1:5" x14ac:dyDescent="0.45">
      <c r="A62" s="194" t="s">
        <v>552</v>
      </c>
      <c r="B62" t="s">
        <v>320</v>
      </c>
    </row>
    <row r="63" spans="1:5" x14ac:dyDescent="0.45">
      <c r="A63" s="194" t="s">
        <v>553</v>
      </c>
      <c r="B63" t="s">
        <v>321</v>
      </c>
    </row>
    <row r="64" spans="1:5" x14ac:dyDescent="0.45">
      <c r="A64" s="194" t="s">
        <v>554</v>
      </c>
      <c r="B64" t="s">
        <v>322</v>
      </c>
    </row>
    <row r="65" spans="1:2" x14ac:dyDescent="0.45">
      <c r="A65" s="194" t="s">
        <v>555</v>
      </c>
      <c r="B65" t="s">
        <v>323</v>
      </c>
    </row>
    <row r="66" spans="1:2" x14ac:dyDescent="0.45">
      <c r="A66" s="194" t="s">
        <v>556</v>
      </c>
      <c r="B66" t="s">
        <v>324</v>
      </c>
    </row>
    <row r="67" spans="1:2" x14ac:dyDescent="0.45">
      <c r="A67" s="194" t="s">
        <v>690</v>
      </c>
      <c r="B67" t="s">
        <v>325</v>
      </c>
    </row>
    <row r="68" spans="1:2" x14ac:dyDescent="0.45">
      <c r="A68" s="194" t="s">
        <v>691</v>
      </c>
      <c r="B68" t="s">
        <v>326</v>
      </c>
    </row>
    <row r="69" spans="1:2" x14ac:dyDescent="0.45">
      <c r="A69" s="194" t="s">
        <v>692</v>
      </c>
      <c r="B69" t="s">
        <v>327</v>
      </c>
    </row>
    <row r="70" spans="1:2" x14ac:dyDescent="0.45">
      <c r="A70" s="194" t="s">
        <v>693</v>
      </c>
      <c r="B70" t="s">
        <v>328</v>
      </c>
    </row>
    <row r="71" spans="1:2" x14ac:dyDescent="0.45">
      <c r="A71" s="194" t="s">
        <v>694</v>
      </c>
      <c r="B71" t="s">
        <v>329</v>
      </c>
    </row>
    <row r="72" spans="1:2" x14ac:dyDescent="0.45">
      <c r="A72" s="194" t="s">
        <v>695</v>
      </c>
      <c r="B72" t="s">
        <v>330</v>
      </c>
    </row>
    <row r="73" spans="1:2" x14ac:dyDescent="0.45">
      <c r="A73" s="194" t="s">
        <v>213</v>
      </c>
      <c r="B73" t="s">
        <v>576</v>
      </c>
    </row>
    <row r="74" spans="1:2" x14ac:dyDescent="0.45">
      <c r="A74" s="194" t="s">
        <v>557</v>
      </c>
      <c r="B74" t="s">
        <v>579</v>
      </c>
    </row>
    <row r="75" spans="1:2" x14ac:dyDescent="0.45">
      <c r="A75" s="194" t="s">
        <v>214</v>
      </c>
      <c r="B75" t="s">
        <v>577</v>
      </c>
    </row>
    <row r="76" spans="1:2" x14ac:dyDescent="0.45">
      <c r="A76" s="194" t="s">
        <v>558</v>
      </c>
      <c r="B76" t="s">
        <v>580</v>
      </c>
    </row>
    <row r="77" spans="1:2" x14ac:dyDescent="0.45">
      <c r="A77" s="194" t="s">
        <v>215</v>
      </c>
      <c r="B77" t="s">
        <v>578</v>
      </c>
    </row>
    <row r="78" spans="1:2" x14ac:dyDescent="0.45">
      <c r="A78" s="194" t="s">
        <v>559</v>
      </c>
      <c r="B78" t="s">
        <v>581</v>
      </c>
    </row>
    <row r="79" spans="1:2" x14ac:dyDescent="0.45">
      <c r="A79" s="194" t="s">
        <v>216</v>
      </c>
      <c r="B79" t="s">
        <v>582</v>
      </c>
    </row>
    <row r="80" spans="1:2" x14ac:dyDescent="0.45">
      <c r="A80" s="194" t="s">
        <v>561</v>
      </c>
      <c r="B80" t="s">
        <v>583</v>
      </c>
    </row>
    <row r="81" spans="1:2" x14ac:dyDescent="0.45">
      <c r="A81" s="194" t="s">
        <v>217</v>
      </c>
      <c r="B81" t="s">
        <v>584</v>
      </c>
    </row>
    <row r="82" spans="1:2" x14ac:dyDescent="0.45">
      <c r="A82" s="194" t="s">
        <v>560</v>
      </c>
      <c r="B82" t="s">
        <v>585</v>
      </c>
    </row>
    <row r="83" spans="1:2" x14ac:dyDescent="0.45">
      <c r="A83" s="194" t="s">
        <v>218</v>
      </c>
      <c r="B83" t="s">
        <v>586</v>
      </c>
    </row>
    <row r="84" spans="1:2" x14ac:dyDescent="0.45">
      <c r="A84" s="194" t="s">
        <v>562</v>
      </c>
      <c r="B84" t="s">
        <v>587</v>
      </c>
    </row>
    <row r="85" spans="1:2" x14ac:dyDescent="0.45">
      <c r="A85" s="195" t="s">
        <v>232</v>
      </c>
      <c r="B85" t="s">
        <v>315</v>
      </c>
    </row>
    <row r="86" spans="1:2" x14ac:dyDescent="0.45">
      <c r="A86" s="195" t="s">
        <v>233</v>
      </c>
      <c r="B86" t="s">
        <v>316</v>
      </c>
    </row>
    <row r="87" spans="1:2" x14ac:dyDescent="0.45">
      <c r="A87" s="195" t="s">
        <v>226</v>
      </c>
      <c r="B87" t="s">
        <v>314</v>
      </c>
    </row>
    <row r="88" spans="1:2" x14ac:dyDescent="0.45">
      <c r="A88" s="196" t="s">
        <v>236</v>
      </c>
      <c r="B88" t="s">
        <v>308</v>
      </c>
    </row>
    <row r="89" spans="1:2" x14ac:dyDescent="0.45">
      <c r="A89" s="196" t="s">
        <v>237</v>
      </c>
      <c r="B89" t="s">
        <v>309</v>
      </c>
    </row>
    <row r="90" spans="1:2" x14ac:dyDescent="0.45">
      <c r="A90" s="196" t="s">
        <v>238</v>
      </c>
      <c r="B90" t="s">
        <v>310</v>
      </c>
    </row>
    <row r="91" spans="1:2" x14ac:dyDescent="0.45">
      <c r="A91" s="196" t="s">
        <v>239</v>
      </c>
      <c r="B91" t="s">
        <v>311</v>
      </c>
    </row>
    <row r="92" spans="1:2" x14ac:dyDescent="0.45">
      <c r="A92" s="196" t="s">
        <v>240</v>
      </c>
      <c r="B92" t="s">
        <v>313</v>
      </c>
    </row>
    <row r="93" spans="1:2" x14ac:dyDescent="0.45">
      <c r="A93" s="196" t="s">
        <v>241</v>
      </c>
      <c r="B93" t="s">
        <v>312</v>
      </c>
    </row>
    <row r="94" spans="1:2" x14ac:dyDescent="0.45">
      <c r="A94" s="196" t="s">
        <v>242</v>
      </c>
      <c r="B94" t="s">
        <v>535</v>
      </c>
    </row>
    <row r="95" spans="1:2" x14ac:dyDescent="0.45">
      <c r="A95" s="196" t="s">
        <v>243</v>
      </c>
      <c r="B95" t="s">
        <v>536</v>
      </c>
    </row>
    <row r="96" spans="1:2" x14ac:dyDescent="0.45">
      <c r="A96" s="196" t="s">
        <v>242</v>
      </c>
    </row>
    <row r="97" spans="1:1" x14ac:dyDescent="0.45">
      <c r="A97" s="196" t="s">
        <v>243</v>
      </c>
    </row>
    <row r="138" spans="5:6" x14ac:dyDescent="0.45">
      <c r="E138" t="s">
        <v>165</v>
      </c>
      <c r="F138" t="s">
        <v>495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DJ156"/>
  <sheetViews>
    <sheetView workbookViewId="0">
      <pane xSplit="1" ySplit="1" topLeftCell="CO2" activePane="bottomRight" state="frozen"/>
      <selection pane="topRight" activeCell="C1" sqref="C1"/>
      <selection pane="bottomLeft" activeCell="A2" sqref="A2"/>
      <selection pane="bottomRight"/>
    </sheetView>
  </sheetViews>
  <sheetFormatPr defaultRowHeight="14.25" x14ac:dyDescent="0.45"/>
  <cols>
    <col min="1" max="1" width="13" customWidth="1"/>
    <col min="2" max="3" width="21.73046875" style="1" bestFit="1" customWidth="1"/>
    <col min="4" max="5" width="22.1328125" style="1" bestFit="1" customWidth="1"/>
    <col min="6" max="6" width="22.59765625" style="207" bestFit="1" customWidth="1"/>
    <col min="7" max="7" width="22.86328125" style="207" bestFit="1" customWidth="1"/>
    <col min="8" max="8" width="14.73046875" style="207" bestFit="1" customWidth="1"/>
    <col min="9" max="9" width="14.59765625" style="207" bestFit="1" customWidth="1"/>
    <col min="10" max="11" width="14.59765625" style="2" customWidth="1"/>
    <col min="12" max="12" width="23.1328125" style="207" bestFit="1" customWidth="1"/>
    <col min="13" max="13" width="24" style="207" bestFit="1" customWidth="1"/>
    <col min="14" max="18" width="12.1328125" style="4" bestFit="1" customWidth="1"/>
    <col min="19" max="23" width="12" style="4" bestFit="1" customWidth="1"/>
    <col min="24" max="24" width="13.86328125" style="4" bestFit="1" customWidth="1"/>
    <col min="25" max="25" width="18.73046875" style="4" bestFit="1" customWidth="1"/>
    <col min="26" max="30" width="12.1328125" style="4" bestFit="1" customWidth="1"/>
    <col min="31" max="35" width="11.86328125" style="4" bestFit="1" customWidth="1"/>
    <col min="36" max="36" width="13.73046875" style="4" bestFit="1" customWidth="1"/>
    <col min="37" max="37" width="18.59765625" style="4" bestFit="1" customWidth="1"/>
    <col min="38" max="38" width="15.3984375" style="4" bestFit="1" customWidth="1"/>
    <col min="39" max="39" width="15.3984375" style="4" customWidth="1"/>
    <col min="40" max="40" width="15.1328125" style="4" bestFit="1" customWidth="1"/>
    <col min="41" max="41" width="15.1328125" style="4" customWidth="1"/>
    <col min="42" max="42" width="15.3984375" style="4" bestFit="1" customWidth="1"/>
    <col min="43" max="43" width="14" style="4" customWidth="1"/>
    <col min="44" max="44" width="15.86328125" style="4" bestFit="1" customWidth="1"/>
    <col min="45" max="45" width="20.73046875" style="4" bestFit="1" customWidth="1"/>
    <col min="46" max="46" width="15" style="4" bestFit="1" customWidth="1"/>
    <col min="47" max="47" width="15" style="4" customWidth="1"/>
    <col min="48" max="48" width="14.86328125" style="4" bestFit="1" customWidth="1"/>
    <col min="49" max="49" width="14.86328125" style="4" customWidth="1"/>
    <col min="50" max="50" width="15" style="4" bestFit="1" customWidth="1"/>
    <col min="51" max="51" width="13.86328125" style="4" bestFit="1" customWidth="1"/>
    <col min="52" max="57" width="13.86328125" style="4" customWidth="1"/>
    <col min="58" max="58" width="20" style="4" customWidth="1"/>
    <col min="59" max="59" width="25" style="4" customWidth="1"/>
    <col min="60" max="73" width="13.86328125" style="4" customWidth="1"/>
    <col min="74" max="79" width="19.1328125" style="4" customWidth="1"/>
    <col min="80" max="80" width="11.73046875" style="5" bestFit="1" customWidth="1"/>
    <col min="81" max="81" width="12" style="5" bestFit="1" customWidth="1"/>
    <col min="82" max="82" width="12.1328125" style="5" bestFit="1" customWidth="1"/>
    <col min="83" max="85" width="12" style="5" bestFit="1" customWidth="1"/>
    <col min="86" max="87" width="12.86328125" style="5" bestFit="1" customWidth="1"/>
    <col min="88" max="88" width="13.1328125" style="5" bestFit="1" customWidth="1"/>
    <col min="89" max="90" width="12.86328125" style="5" bestFit="1" customWidth="1"/>
    <col min="91" max="91" width="13" style="5" bestFit="1" customWidth="1"/>
    <col min="92" max="92" width="15.73046875" style="5" bestFit="1" customWidth="1"/>
    <col min="93" max="93" width="14.1328125" style="5" customWidth="1"/>
    <col min="94" max="94" width="13" style="5" customWidth="1"/>
    <col min="95" max="95" width="14.1328125" style="5" customWidth="1"/>
    <col min="96" max="100" width="13" style="5" customWidth="1"/>
    <col min="101" max="101" width="14" style="5" customWidth="1"/>
    <col min="102" max="103" width="13" style="5" customWidth="1"/>
    <col min="104" max="104" width="9.86328125" style="118" bestFit="1" customWidth="1"/>
    <col min="105" max="105" width="9.73046875" style="118" bestFit="1" customWidth="1"/>
    <col min="106" max="106" width="13.1328125" style="123" customWidth="1"/>
    <col min="107" max="107" width="11.73046875" style="123" customWidth="1"/>
    <col min="108" max="108" width="12" style="123" customWidth="1"/>
    <col min="109" max="109" width="11.265625" style="123" customWidth="1"/>
    <col min="110" max="110" width="11" style="123" customWidth="1"/>
    <col min="111" max="111" width="10.73046875" style="123" customWidth="1"/>
    <col min="112" max="112" width="11.59765625" style="123" customWidth="1"/>
    <col min="113" max="113" width="11.73046875" style="123" customWidth="1"/>
    <col min="114" max="114" width="11.59765625" style="123" customWidth="1"/>
  </cols>
  <sheetData>
    <row r="1" spans="1:114" x14ac:dyDescent="0.45">
      <c r="A1" t="s">
        <v>0</v>
      </c>
      <c r="B1" s="144" t="s">
        <v>204</v>
      </c>
      <c r="C1" s="144" t="s">
        <v>205</v>
      </c>
      <c r="D1" s="144" t="s">
        <v>206</v>
      </c>
      <c r="E1" s="144" t="s">
        <v>207</v>
      </c>
      <c r="F1" s="205" t="s">
        <v>359</v>
      </c>
      <c r="G1" s="205" t="s">
        <v>360</v>
      </c>
      <c r="H1" s="205" t="s">
        <v>361</v>
      </c>
      <c r="I1" s="205" t="s">
        <v>362</v>
      </c>
      <c r="J1" s="146" t="s">
        <v>540</v>
      </c>
      <c r="K1" s="146" t="s">
        <v>541</v>
      </c>
      <c r="L1" s="205" t="s">
        <v>363</v>
      </c>
      <c r="M1" s="205" t="s">
        <v>364</v>
      </c>
      <c r="N1" s="145" t="s">
        <v>365</v>
      </c>
      <c r="O1" s="145" t="s">
        <v>366</v>
      </c>
      <c r="P1" s="145" t="s">
        <v>367</v>
      </c>
      <c r="Q1" s="145" t="s">
        <v>368</v>
      </c>
      <c r="R1" s="145" t="s">
        <v>369</v>
      </c>
      <c r="S1" s="145" t="s">
        <v>370</v>
      </c>
      <c r="T1" s="145" t="s">
        <v>371</v>
      </c>
      <c r="U1" s="145" t="s">
        <v>372</v>
      </c>
      <c r="V1" s="145" t="s">
        <v>373</v>
      </c>
      <c r="W1" s="145" t="s">
        <v>374</v>
      </c>
      <c r="X1" s="145" t="s">
        <v>196</v>
      </c>
      <c r="Y1" s="145" t="s">
        <v>500</v>
      </c>
      <c r="Z1" s="145" t="s">
        <v>375</v>
      </c>
      <c r="AA1" s="145" t="s">
        <v>378</v>
      </c>
      <c r="AB1" s="145" t="s">
        <v>379</v>
      </c>
      <c r="AC1" s="145" t="s">
        <v>377</v>
      </c>
      <c r="AD1" s="145" t="s">
        <v>376</v>
      </c>
      <c r="AE1" s="145" t="s">
        <v>381</v>
      </c>
      <c r="AF1" s="145" t="s">
        <v>380</v>
      </c>
      <c r="AG1" s="145" t="s">
        <v>382</v>
      </c>
      <c r="AH1" s="145" t="s">
        <v>383</v>
      </c>
      <c r="AI1" s="145" t="s">
        <v>384</v>
      </c>
      <c r="AJ1" s="145" t="s">
        <v>197</v>
      </c>
      <c r="AK1" s="145" t="s">
        <v>501</v>
      </c>
      <c r="AL1" s="145" t="s">
        <v>502</v>
      </c>
      <c r="AM1" s="145" t="s">
        <v>503</v>
      </c>
      <c r="AN1" s="145" t="s">
        <v>504</v>
      </c>
      <c r="AO1" s="145" t="s">
        <v>505</v>
      </c>
      <c r="AP1" s="145" t="s">
        <v>506</v>
      </c>
      <c r="AQ1" s="145" t="s">
        <v>507</v>
      </c>
      <c r="AR1" s="145" t="s">
        <v>203</v>
      </c>
      <c r="AS1" s="145" t="s">
        <v>508</v>
      </c>
      <c r="AT1" s="145" t="s">
        <v>509</v>
      </c>
      <c r="AU1" s="145" t="s">
        <v>510</v>
      </c>
      <c r="AV1" s="145" t="s">
        <v>511</v>
      </c>
      <c r="AW1" s="145" t="s">
        <v>512</v>
      </c>
      <c r="AX1" s="145" t="s">
        <v>513</v>
      </c>
      <c r="AY1" s="145" t="s">
        <v>514</v>
      </c>
      <c r="AZ1" s="145" t="s">
        <v>594</v>
      </c>
      <c r="BA1" s="145" t="s">
        <v>595</v>
      </c>
      <c r="BB1" s="145" t="s">
        <v>596</v>
      </c>
      <c r="BC1" s="145" t="s">
        <v>597</v>
      </c>
      <c r="BD1" s="145" t="s">
        <v>598</v>
      </c>
      <c r="BE1" s="145" t="s">
        <v>599</v>
      </c>
      <c r="BF1" s="145" t="s">
        <v>600</v>
      </c>
      <c r="BG1" s="145" t="s">
        <v>601</v>
      </c>
      <c r="BH1" s="145" t="s">
        <v>602</v>
      </c>
      <c r="BI1" s="145" t="s">
        <v>603</v>
      </c>
      <c r="BJ1" s="145" t="s">
        <v>604</v>
      </c>
      <c r="BK1" s="145" t="s">
        <v>605</v>
      </c>
      <c r="BL1" s="145" t="s">
        <v>606</v>
      </c>
      <c r="BM1" s="145" t="s">
        <v>607</v>
      </c>
      <c r="BN1" s="145" t="s">
        <v>608</v>
      </c>
      <c r="BO1" s="145" t="s">
        <v>609</v>
      </c>
      <c r="BP1" s="145" t="s">
        <v>610</v>
      </c>
      <c r="BQ1" s="145" t="s">
        <v>611</v>
      </c>
      <c r="BR1" s="145" t="s">
        <v>612</v>
      </c>
      <c r="BS1" s="145" t="s">
        <v>613</v>
      </c>
      <c r="BT1" s="145" t="s">
        <v>614</v>
      </c>
      <c r="BU1" s="145" t="s">
        <v>615</v>
      </c>
      <c r="BV1" s="145" t="s">
        <v>616</v>
      </c>
      <c r="BW1" s="145" t="s">
        <v>617</v>
      </c>
      <c r="BX1" s="145" t="s">
        <v>618</v>
      </c>
      <c r="BY1" s="145" t="s">
        <v>619</v>
      </c>
      <c r="BZ1" s="145" t="s">
        <v>620</v>
      </c>
      <c r="CA1" s="145" t="s">
        <v>621</v>
      </c>
      <c r="CB1" s="147" t="s">
        <v>551</v>
      </c>
      <c r="CC1" s="147" t="s">
        <v>552</v>
      </c>
      <c r="CD1" s="147" t="s">
        <v>553</v>
      </c>
      <c r="CE1" s="147" t="s">
        <v>554</v>
      </c>
      <c r="CF1" s="147" t="s">
        <v>555</v>
      </c>
      <c r="CG1" s="147" t="s">
        <v>556</v>
      </c>
      <c r="CH1" s="147" t="s">
        <v>690</v>
      </c>
      <c r="CI1" s="147" t="s">
        <v>696</v>
      </c>
      <c r="CJ1" s="147" t="s">
        <v>697</v>
      </c>
      <c r="CK1" s="147" t="s">
        <v>693</v>
      </c>
      <c r="CL1" s="147" t="s">
        <v>694</v>
      </c>
      <c r="CM1" s="147" t="s">
        <v>695</v>
      </c>
      <c r="CN1" s="147" t="s">
        <v>213</v>
      </c>
      <c r="CO1" s="147" t="s">
        <v>557</v>
      </c>
      <c r="CP1" s="147" t="s">
        <v>214</v>
      </c>
      <c r="CQ1" s="147" t="s">
        <v>558</v>
      </c>
      <c r="CR1" s="147" t="s">
        <v>215</v>
      </c>
      <c r="CS1" s="147" t="s">
        <v>559</v>
      </c>
      <c r="CT1" s="147" t="s">
        <v>216</v>
      </c>
      <c r="CU1" s="147" t="s">
        <v>561</v>
      </c>
      <c r="CV1" s="147" t="s">
        <v>217</v>
      </c>
      <c r="CW1" s="147" t="s">
        <v>560</v>
      </c>
      <c r="CX1" s="147" t="s">
        <v>218</v>
      </c>
      <c r="CY1" s="147" t="s">
        <v>562</v>
      </c>
      <c r="CZ1" s="143" t="s">
        <v>232</v>
      </c>
      <c r="DA1" s="143" t="s">
        <v>233</v>
      </c>
      <c r="DB1" s="142" t="s">
        <v>226</v>
      </c>
      <c r="DC1" s="142" t="s">
        <v>236</v>
      </c>
      <c r="DD1" s="142" t="s">
        <v>237</v>
      </c>
      <c r="DE1" s="142" t="s">
        <v>238</v>
      </c>
      <c r="DF1" s="142" t="s">
        <v>239</v>
      </c>
      <c r="DG1" s="142" t="s">
        <v>240</v>
      </c>
      <c r="DH1" s="142" t="s">
        <v>241</v>
      </c>
      <c r="DI1" s="142" t="s">
        <v>242</v>
      </c>
      <c r="DJ1" s="142" t="s">
        <v>243</v>
      </c>
    </row>
    <row r="2" spans="1:114" s="211" customFormat="1" x14ac:dyDescent="0.45">
      <c r="A2" s="211">
        <v>0</v>
      </c>
      <c r="B2" s="245">
        <v>2.6635962123881893E-2</v>
      </c>
      <c r="C2" s="245">
        <v>9.7599006876424466E-3</v>
      </c>
      <c r="D2" s="245">
        <v>3.2301966731798318E-2</v>
      </c>
      <c r="E2" s="245">
        <v>1.4273797320951629E-2</v>
      </c>
      <c r="F2" s="211">
        <v>668942</v>
      </c>
      <c r="G2" s="211">
        <v>334394</v>
      </c>
      <c r="H2" s="211">
        <v>40970</v>
      </c>
      <c r="I2" s="211">
        <v>37480</v>
      </c>
      <c r="J2" s="212">
        <v>0.101737615734069</v>
      </c>
      <c r="K2" s="212">
        <v>0.103878307348459</v>
      </c>
      <c r="L2" s="211">
        <v>66227</v>
      </c>
      <c r="M2" s="211">
        <v>74393</v>
      </c>
      <c r="N2" s="213"/>
      <c r="CH2" s="202">
        <v>1204</v>
      </c>
      <c r="CI2" s="202">
        <v>616</v>
      </c>
      <c r="CJ2" s="202">
        <v>70</v>
      </c>
      <c r="CK2" s="202">
        <v>144</v>
      </c>
      <c r="CL2" s="202">
        <v>41</v>
      </c>
      <c r="CM2" s="202">
        <v>12</v>
      </c>
      <c r="CZ2" s="245">
        <v>0.19138928194430971</v>
      </c>
      <c r="DA2" s="245">
        <v>0.17993829979476039</v>
      </c>
      <c r="DB2">
        <v>12304980119.809992</v>
      </c>
      <c r="DC2" s="211">
        <v>90.6</v>
      </c>
      <c r="DD2" s="211">
        <v>5.4</v>
      </c>
      <c r="DE2" s="211">
        <v>1.5</v>
      </c>
      <c r="DF2" s="211">
        <v>80.900000000000006</v>
      </c>
      <c r="DG2" s="248">
        <v>9</v>
      </c>
      <c r="DH2" s="211">
        <v>3.2</v>
      </c>
      <c r="DI2" s="211">
        <v>97.5</v>
      </c>
      <c r="DJ2" s="248">
        <v>93</v>
      </c>
    </row>
    <row r="3" spans="1:114" x14ac:dyDescent="0.45">
      <c r="A3">
        <v>201</v>
      </c>
      <c r="B3" s="247" t="s">
        <v>154</v>
      </c>
      <c r="C3" s="169" t="s">
        <v>154</v>
      </c>
      <c r="D3" s="169" t="s">
        <v>154</v>
      </c>
      <c r="E3" s="169" t="s">
        <v>154</v>
      </c>
      <c r="F3" s="206">
        <v>30</v>
      </c>
      <c r="G3" s="206">
        <v>0</v>
      </c>
      <c r="H3" s="206">
        <v>30</v>
      </c>
      <c r="I3" s="206">
        <v>0</v>
      </c>
      <c r="J3" s="189">
        <v>0.125</v>
      </c>
      <c r="K3" s="204" t="s">
        <v>154</v>
      </c>
      <c r="L3" s="206">
        <v>0</v>
      </c>
      <c r="M3" s="206">
        <v>0</v>
      </c>
      <c r="N3" s="4">
        <v>30</v>
      </c>
      <c r="O3" s="4">
        <v>0</v>
      </c>
      <c r="P3" s="4">
        <v>0</v>
      </c>
      <c r="Q3" s="4">
        <v>0</v>
      </c>
      <c r="R3" s="4">
        <v>0</v>
      </c>
      <c r="S3" s="4">
        <v>210</v>
      </c>
      <c r="T3" s="4">
        <v>0</v>
      </c>
      <c r="U3" s="4">
        <v>0</v>
      </c>
      <c r="V3" s="4">
        <v>0</v>
      </c>
      <c r="W3" s="4">
        <v>0</v>
      </c>
      <c r="X3" s="4">
        <v>1</v>
      </c>
      <c r="Y3" s="4">
        <v>1</v>
      </c>
      <c r="Z3" s="4">
        <v>0</v>
      </c>
      <c r="AA3" s="4">
        <v>0</v>
      </c>
      <c r="AB3" s="4">
        <v>0</v>
      </c>
      <c r="AC3" s="4">
        <v>0</v>
      </c>
      <c r="AD3" s="4">
        <v>0</v>
      </c>
      <c r="AE3" s="4">
        <v>0</v>
      </c>
      <c r="AF3" s="4">
        <v>0</v>
      </c>
      <c r="AG3" s="4">
        <v>0</v>
      </c>
      <c r="AH3" s="4">
        <v>0</v>
      </c>
      <c r="AI3" s="4">
        <v>0</v>
      </c>
      <c r="AJ3" s="4" t="s">
        <v>709</v>
      </c>
      <c r="AK3" s="4" t="s">
        <v>709</v>
      </c>
      <c r="AL3" s="4">
        <v>0</v>
      </c>
      <c r="AM3" s="4">
        <v>0</v>
      </c>
      <c r="AN3" s="4">
        <v>0</v>
      </c>
      <c r="AO3" s="4">
        <v>0</v>
      </c>
      <c r="AP3" s="4">
        <v>0</v>
      </c>
      <c r="AQ3" s="4">
        <v>0</v>
      </c>
      <c r="AR3" s="4" t="s">
        <v>709</v>
      </c>
      <c r="AS3" s="4" t="s">
        <v>709</v>
      </c>
      <c r="AT3" s="4">
        <v>0</v>
      </c>
      <c r="AU3" s="4">
        <v>0</v>
      </c>
      <c r="AV3" s="4">
        <v>0</v>
      </c>
      <c r="AW3" s="4">
        <v>0</v>
      </c>
      <c r="AX3" s="4">
        <v>0</v>
      </c>
      <c r="AY3" s="4">
        <v>0</v>
      </c>
      <c r="AZ3" s="4">
        <v>30</v>
      </c>
      <c r="BA3" s="4">
        <v>0</v>
      </c>
      <c r="BB3" s="4">
        <v>0</v>
      </c>
      <c r="BC3" s="4">
        <v>0</v>
      </c>
      <c r="BD3" s="4">
        <v>0</v>
      </c>
      <c r="BE3" s="4">
        <v>0</v>
      </c>
      <c r="BF3" s="4">
        <v>1</v>
      </c>
      <c r="BG3" s="4">
        <v>1</v>
      </c>
      <c r="BH3" s="4">
        <v>210</v>
      </c>
      <c r="BI3" s="4">
        <v>0</v>
      </c>
      <c r="BJ3" s="4">
        <v>0</v>
      </c>
      <c r="BK3" s="4">
        <v>0</v>
      </c>
      <c r="BL3" s="4">
        <v>0</v>
      </c>
      <c r="BM3" s="4">
        <v>0</v>
      </c>
      <c r="BN3" s="4">
        <v>30</v>
      </c>
      <c r="BO3" s="4">
        <v>0</v>
      </c>
      <c r="BP3" s="4">
        <v>0</v>
      </c>
      <c r="BQ3" s="4">
        <v>0</v>
      </c>
      <c r="BR3" s="4">
        <v>0</v>
      </c>
      <c r="BS3" s="4">
        <v>0</v>
      </c>
      <c r="BT3" s="4">
        <v>1</v>
      </c>
      <c r="BU3" s="4">
        <v>1</v>
      </c>
      <c r="BV3" s="4">
        <v>210</v>
      </c>
      <c r="BW3" s="4">
        <v>0</v>
      </c>
      <c r="BX3" s="4">
        <v>0</v>
      </c>
      <c r="BY3" s="4">
        <v>0</v>
      </c>
      <c r="BZ3" s="4">
        <v>0</v>
      </c>
      <c r="CA3" s="4">
        <v>0</v>
      </c>
      <c r="CB3" t="s">
        <v>687</v>
      </c>
      <c r="CC3" t="s">
        <v>687</v>
      </c>
      <c r="CD3" t="s">
        <v>687</v>
      </c>
      <c r="CE3" t="s">
        <v>687</v>
      </c>
      <c r="CF3" t="s">
        <v>687</v>
      </c>
      <c r="CG3" t="s">
        <v>687</v>
      </c>
      <c r="CH3">
        <v>0</v>
      </c>
      <c r="CI3">
        <v>0</v>
      </c>
      <c r="CJ3">
        <v>0</v>
      </c>
      <c r="CK3">
        <v>0</v>
      </c>
      <c r="CL3">
        <v>0</v>
      </c>
      <c r="CM3">
        <v>0</v>
      </c>
      <c r="CN3">
        <v>0</v>
      </c>
      <c r="CO3">
        <v>0</v>
      </c>
      <c r="CP3">
        <v>0</v>
      </c>
      <c r="CQ3">
        <v>0</v>
      </c>
      <c r="CR3">
        <v>0</v>
      </c>
      <c r="CS3">
        <v>0</v>
      </c>
      <c r="CT3">
        <v>0</v>
      </c>
      <c r="CU3">
        <v>0</v>
      </c>
      <c r="CV3">
        <v>0</v>
      </c>
      <c r="CW3">
        <v>0</v>
      </c>
      <c r="CX3">
        <v>0</v>
      </c>
      <c r="CY3">
        <v>0</v>
      </c>
      <c r="CZ3" s="246">
        <v>0.17073170731707318</v>
      </c>
      <c r="DA3" s="246" t="s">
        <v>154</v>
      </c>
      <c r="DB3" s="123">
        <v>3300942.14</v>
      </c>
      <c r="DC3" s="174">
        <v>87.5</v>
      </c>
      <c r="DD3" s="174">
        <v>4.2</v>
      </c>
      <c r="DE3" s="174">
        <v>4.2</v>
      </c>
      <c r="DF3" s="174">
        <v>54.2</v>
      </c>
      <c r="DG3" s="174">
        <v>20.8</v>
      </c>
      <c r="DH3" s="174">
        <v>4.2</v>
      </c>
      <c r="DI3" s="174">
        <v>95.8</v>
      </c>
      <c r="DJ3" s="174">
        <v>79.2</v>
      </c>
    </row>
    <row r="4" spans="1:114" x14ac:dyDescent="0.45">
      <c r="A4">
        <v>202</v>
      </c>
      <c r="B4" s="247">
        <v>6.48406931246506E-2</v>
      </c>
      <c r="C4" s="169">
        <v>2.57126886528787E-2</v>
      </c>
      <c r="D4" s="169">
        <v>2.2255752546208998E-2</v>
      </c>
      <c r="E4" s="169">
        <v>1.97409782472023E-2</v>
      </c>
      <c r="F4" s="206">
        <v>1419</v>
      </c>
      <c r="G4" s="206">
        <v>1959</v>
      </c>
      <c r="H4" s="206">
        <v>0</v>
      </c>
      <c r="I4" s="206">
        <v>0</v>
      </c>
      <c r="J4" s="189">
        <v>0.16045822150215899</v>
      </c>
      <c r="K4" s="189">
        <v>0.14314552859593099</v>
      </c>
      <c r="L4" s="206">
        <v>60</v>
      </c>
      <c r="M4" s="206">
        <v>0</v>
      </c>
      <c r="N4" s="4">
        <v>62</v>
      </c>
      <c r="O4" s="4">
        <v>0</v>
      </c>
      <c r="P4" s="4">
        <v>0</v>
      </c>
      <c r="Q4" s="4">
        <v>0</v>
      </c>
      <c r="R4" s="4">
        <v>0</v>
      </c>
      <c r="S4" s="4">
        <v>4149</v>
      </c>
      <c r="T4" s="4">
        <v>7784</v>
      </c>
      <c r="U4" s="4">
        <v>428</v>
      </c>
      <c r="V4" s="4">
        <v>0</v>
      </c>
      <c r="W4" s="4">
        <v>0</v>
      </c>
      <c r="X4" s="4">
        <v>1</v>
      </c>
      <c r="Y4" s="4">
        <v>1</v>
      </c>
      <c r="Z4" s="4">
        <v>0</v>
      </c>
      <c r="AA4" s="4">
        <v>216</v>
      </c>
      <c r="AB4" s="4">
        <v>0</v>
      </c>
      <c r="AC4" s="4">
        <v>0</v>
      </c>
      <c r="AD4" s="4">
        <v>0</v>
      </c>
      <c r="AE4" s="4">
        <v>1134</v>
      </c>
      <c r="AF4" s="4">
        <v>10746</v>
      </c>
      <c r="AG4" s="4">
        <v>0</v>
      </c>
      <c r="AH4" s="4">
        <v>0</v>
      </c>
      <c r="AI4" s="4">
        <v>0</v>
      </c>
      <c r="AJ4" s="4">
        <v>1</v>
      </c>
      <c r="AK4" s="4">
        <v>1</v>
      </c>
      <c r="AL4" s="4">
        <v>0</v>
      </c>
      <c r="AM4" s="4">
        <v>0</v>
      </c>
      <c r="AN4" s="4">
        <v>172</v>
      </c>
      <c r="AO4" s="4">
        <v>44</v>
      </c>
      <c r="AP4" s="4">
        <v>0</v>
      </c>
      <c r="AQ4" s="4">
        <v>0</v>
      </c>
      <c r="AR4" s="4">
        <v>0</v>
      </c>
      <c r="AS4" s="4">
        <v>74</v>
      </c>
      <c r="AT4" s="4">
        <v>3579</v>
      </c>
      <c r="AU4" s="4">
        <v>0</v>
      </c>
      <c r="AV4" s="4">
        <v>7462</v>
      </c>
      <c r="AW4" s="4">
        <v>839</v>
      </c>
      <c r="AX4" s="4">
        <v>0</v>
      </c>
      <c r="AY4" s="4">
        <v>0</v>
      </c>
      <c r="AZ4" s="4">
        <v>0</v>
      </c>
      <c r="BA4" s="4">
        <v>62</v>
      </c>
      <c r="BB4" s="4">
        <v>0</v>
      </c>
      <c r="BC4" s="4">
        <v>0</v>
      </c>
      <c r="BD4" s="4">
        <v>0</v>
      </c>
      <c r="BE4" s="4">
        <v>0</v>
      </c>
      <c r="BF4" s="4">
        <v>1</v>
      </c>
      <c r="BG4" s="4">
        <v>1</v>
      </c>
      <c r="BH4" s="4">
        <v>3945</v>
      </c>
      <c r="BI4" s="4">
        <v>4027</v>
      </c>
      <c r="BJ4" s="4">
        <v>3549</v>
      </c>
      <c r="BK4" s="4">
        <v>0</v>
      </c>
      <c r="BL4" s="4">
        <v>0</v>
      </c>
      <c r="BM4" s="4">
        <v>840</v>
      </c>
      <c r="BN4" s="4">
        <v>0</v>
      </c>
      <c r="BO4" s="4">
        <v>62</v>
      </c>
      <c r="BP4" s="4">
        <v>0</v>
      </c>
      <c r="BQ4" s="4">
        <v>0</v>
      </c>
      <c r="BR4" s="4">
        <v>0</v>
      </c>
      <c r="BS4" s="4">
        <v>0</v>
      </c>
      <c r="BT4" s="4">
        <v>1</v>
      </c>
      <c r="BU4" s="4">
        <v>1</v>
      </c>
      <c r="BV4" s="4">
        <v>3946</v>
      </c>
      <c r="BW4" s="4">
        <v>3407</v>
      </c>
      <c r="BX4" s="4">
        <v>4168</v>
      </c>
      <c r="BY4" s="4">
        <v>0</v>
      </c>
      <c r="BZ4" s="4">
        <v>0</v>
      </c>
      <c r="CA4" s="4">
        <v>840</v>
      </c>
      <c r="CB4">
        <v>33892.99876566766</v>
      </c>
      <c r="CC4" t="s">
        <v>687</v>
      </c>
      <c r="CD4">
        <v>29375.73484495181</v>
      </c>
      <c r="CE4" t="s">
        <v>687</v>
      </c>
      <c r="CF4" t="s">
        <v>687</v>
      </c>
      <c r="CG4" t="s">
        <v>687</v>
      </c>
      <c r="CH4">
        <v>2</v>
      </c>
      <c r="CI4">
        <v>0</v>
      </c>
      <c r="CJ4">
        <v>1</v>
      </c>
      <c r="CK4">
        <v>0</v>
      </c>
      <c r="CL4">
        <v>0</v>
      </c>
      <c r="CM4">
        <v>0</v>
      </c>
      <c r="CN4">
        <v>18641149.321117215</v>
      </c>
      <c r="CO4">
        <v>550</v>
      </c>
      <c r="CP4">
        <v>0</v>
      </c>
      <c r="CQ4">
        <v>0</v>
      </c>
      <c r="CR4">
        <v>14394110.074026387</v>
      </c>
      <c r="CS4">
        <v>490</v>
      </c>
      <c r="CT4">
        <v>0</v>
      </c>
      <c r="CU4">
        <v>0</v>
      </c>
      <c r="CV4">
        <v>0</v>
      </c>
      <c r="CW4">
        <v>0</v>
      </c>
      <c r="CX4">
        <v>0</v>
      </c>
      <c r="CY4">
        <v>0</v>
      </c>
      <c r="CZ4" s="246">
        <v>1.1387762980119669E-2</v>
      </c>
      <c r="DA4" s="246">
        <v>7.6342055570542217E-2</v>
      </c>
      <c r="DB4" s="123">
        <v>18217771.499999996</v>
      </c>
      <c r="DC4" s="174">
        <v>78.3</v>
      </c>
      <c r="DD4" s="174">
        <v>7.6</v>
      </c>
      <c r="DE4" s="174">
        <v>4.5999999999999996</v>
      </c>
      <c r="DF4" s="174">
        <v>64.2</v>
      </c>
      <c r="DG4" s="174">
        <v>15.7</v>
      </c>
      <c r="DH4" s="174">
        <v>8</v>
      </c>
      <c r="DI4" s="174">
        <v>90.5</v>
      </c>
      <c r="DJ4" s="174">
        <v>88</v>
      </c>
    </row>
    <row r="5" spans="1:114" x14ac:dyDescent="0.45">
      <c r="A5">
        <v>203</v>
      </c>
      <c r="B5" s="247">
        <v>4.4258957654723097E-2</v>
      </c>
      <c r="C5" s="169">
        <v>1.5390879478827399E-2</v>
      </c>
      <c r="D5" s="169">
        <v>3.4656822120093397E-2</v>
      </c>
      <c r="E5" s="169">
        <v>1.3561365177427899E-2</v>
      </c>
      <c r="F5" s="206">
        <v>6192</v>
      </c>
      <c r="G5" s="206">
        <v>3836</v>
      </c>
      <c r="H5" s="206">
        <v>420</v>
      </c>
      <c r="I5" s="206">
        <v>0</v>
      </c>
      <c r="J5" s="189">
        <v>0.11339177286785</v>
      </c>
      <c r="K5" s="189">
        <v>0.1057269264247</v>
      </c>
      <c r="L5" s="206">
        <v>120</v>
      </c>
      <c r="M5" s="206">
        <v>555</v>
      </c>
      <c r="N5" s="4">
        <v>0</v>
      </c>
      <c r="O5" s="4">
        <v>540</v>
      </c>
      <c r="P5" s="4">
        <v>0</v>
      </c>
      <c r="Q5" s="4">
        <v>0</v>
      </c>
      <c r="R5" s="4">
        <v>0</v>
      </c>
      <c r="S5" s="4">
        <v>7281</v>
      </c>
      <c r="T5" s="4">
        <v>18966</v>
      </c>
      <c r="U5" s="4">
        <v>240</v>
      </c>
      <c r="V5" s="4">
        <v>636</v>
      </c>
      <c r="W5" s="4">
        <v>0</v>
      </c>
      <c r="X5" s="4">
        <v>1</v>
      </c>
      <c r="Y5" s="4">
        <v>1</v>
      </c>
      <c r="Z5" s="4">
        <v>0</v>
      </c>
      <c r="AA5" s="4">
        <v>840</v>
      </c>
      <c r="AB5" s="4">
        <v>0</v>
      </c>
      <c r="AC5" s="4">
        <v>0</v>
      </c>
      <c r="AD5" s="4">
        <v>1150</v>
      </c>
      <c r="AE5" s="4">
        <v>2453</v>
      </c>
      <c r="AF5" s="4">
        <v>10149</v>
      </c>
      <c r="AG5" s="4">
        <v>1365</v>
      </c>
      <c r="AH5" s="4">
        <v>1352</v>
      </c>
      <c r="AI5" s="4">
        <v>0</v>
      </c>
      <c r="AJ5" s="4">
        <v>1</v>
      </c>
      <c r="AK5" s="4">
        <v>1</v>
      </c>
      <c r="AL5" s="4">
        <v>0</v>
      </c>
      <c r="AM5" s="4">
        <v>0</v>
      </c>
      <c r="AN5" s="4">
        <v>0</v>
      </c>
      <c r="AO5" s="4">
        <v>0</v>
      </c>
      <c r="AP5" s="4">
        <v>0</v>
      </c>
      <c r="AQ5" s="4">
        <v>1990</v>
      </c>
      <c r="AR5" s="4" t="s">
        <v>709</v>
      </c>
      <c r="AS5" s="4" t="s">
        <v>709</v>
      </c>
      <c r="AT5" s="4">
        <v>2453</v>
      </c>
      <c r="AU5" s="4">
        <v>0</v>
      </c>
      <c r="AV5" s="4">
        <v>4449</v>
      </c>
      <c r="AW5" s="4">
        <v>3540</v>
      </c>
      <c r="AX5" s="4">
        <v>3152</v>
      </c>
      <c r="AY5" s="4">
        <v>1725</v>
      </c>
      <c r="AZ5" s="4">
        <v>0</v>
      </c>
      <c r="BA5" s="4">
        <v>0</v>
      </c>
      <c r="BB5" s="4">
        <v>540</v>
      </c>
      <c r="BC5" s="4">
        <v>0</v>
      </c>
      <c r="BD5" s="4">
        <v>0</v>
      </c>
      <c r="BE5" s="4">
        <v>0</v>
      </c>
      <c r="BF5" s="4">
        <v>0</v>
      </c>
      <c r="BG5" s="4">
        <v>68</v>
      </c>
      <c r="BH5" s="4">
        <v>3780</v>
      </c>
      <c r="BI5" s="4">
        <v>4929</v>
      </c>
      <c r="BJ5" s="4">
        <v>14212</v>
      </c>
      <c r="BK5" s="4">
        <v>3362</v>
      </c>
      <c r="BL5" s="4">
        <v>840</v>
      </c>
      <c r="BM5" s="4">
        <v>0</v>
      </c>
      <c r="BN5" s="4">
        <v>0</v>
      </c>
      <c r="BO5" s="4">
        <v>0</v>
      </c>
      <c r="BP5" s="4">
        <v>360</v>
      </c>
      <c r="BQ5" s="4">
        <v>180</v>
      </c>
      <c r="BR5" s="4">
        <v>0</v>
      </c>
      <c r="BS5" s="4">
        <v>0</v>
      </c>
      <c r="BT5" s="4">
        <v>0</v>
      </c>
      <c r="BU5" s="4">
        <v>69</v>
      </c>
      <c r="BV5" s="4">
        <v>840</v>
      </c>
      <c r="BW5" s="4">
        <v>4713</v>
      </c>
      <c r="BX5" s="4">
        <v>15489</v>
      </c>
      <c r="BY5" s="4">
        <v>3981</v>
      </c>
      <c r="BZ5" s="4">
        <v>2100</v>
      </c>
      <c r="CA5" s="4">
        <v>0</v>
      </c>
      <c r="CB5">
        <v>18446.095830036164</v>
      </c>
      <c r="CC5">
        <v>14654.309026075436</v>
      </c>
      <c r="CD5" t="s">
        <v>687</v>
      </c>
      <c r="CE5" t="s">
        <v>687</v>
      </c>
      <c r="CF5">
        <v>10337.202726360007</v>
      </c>
      <c r="CG5" t="s">
        <v>687</v>
      </c>
      <c r="CH5">
        <v>3</v>
      </c>
      <c r="CI5">
        <v>3</v>
      </c>
      <c r="CJ5">
        <v>0</v>
      </c>
      <c r="CK5">
        <v>0</v>
      </c>
      <c r="CL5">
        <v>2</v>
      </c>
      <c r="CM5">
        <v>0</v>
      </c>
      <c r="CN5">
        <v>4795984.9158094022</v>
      </c>
      <c r="CO5">
        <v>260</v>
      </c>
      <c r="CP5">
        <v>1318887.8123467893</v>
      </c>
      <c r="CQ5">
        <v>90</v>
      </c>
      <c r="CR5">
        <v>0</v>
      </c>
      <c r="CS5">
        <v>0</v>
      </c>
      <c r="CT5">
        <v>0</v>
      </c>
      <c r="CU5">
        <v>0</v>
      </c>
      <c r="CV5">
        <v>4031509.0632804027</v>
      </c>
      <c r="CW5">
        <v>390</v>
      </c>
      <c r="CX5">
        <v>0</v>
      </c>
      <c r="CY5">
        <v>0</v>
      </c>
      <c r="CZ5" s="246">
        <v>0.33455862767034256</v>
      </c>
      <c r="DA5" s="246">
        <v>0.41530106707317072</v>
      </c>
      <c r="DB5" s="123">
        <v>155796069.06</v>
      </c>
      <c r="DC5" s="174">
        <v>86.1</v>
      </c>
      <c r="DD5" s="174">
        <v>6.4</v>
      </c>
      <c r="DE5" s="174">
        <v>2.6</v>
      </c>
      <c r="DF5" s="174">
        <v>64.7</v>
      </c>
      <c r="DG5" s="174">
        <v>13.4</v>
      </c>
      <c r="DH5" s="174">
        <v>6</v>
      </c>
      <c r="DI5" s="174">
        <v>95.2</v>
      </c>
      <c r="DJ5" s="174">
        <v>84.1</v>
      </c>
    </row>
    <row r="6" spans="1:114" x14ac:dyDescent="0.45">
      <c r="A6">
        <v>204</v>
      </c>
      <c r="B6" s="247">
        <v>4.2811954624781899E-2</v>
      </c>
      <c r="C6" s="169">
        <v>1.8542757417103E-3</v>
      </c>
      <c r="D6" s="169">
        <v>3.20778671180703E-2</v>
      </c>
      <c r="E6" s="169">
        <v>-1.8197206940330099E-2</v>
      </c>
      <c r="F6" s="206">
        <v>4342</v>
      </c>
      <c r="G6" s="206">
        <v>7110</v>
      </c>
      <c r="H6" s="206">
        <v>0</v>
      </c>
      <c r="I6" s="206">
        <v>0</v>
      </c>
      <c r="J6" s="189">
        <v>0.20448905228504499</v>
      </c>
      <c r="K6" s="189">
        <v>7.9460932998906705E-2</v>
      </c>
      <c r="L6" s="206">
        <v>0</v>
      </c>
      <c r="M6" s="206">
        <v>0</v>
      </c>
      <c r="N6" s="4">
        <v>43</v>
      </c>
      <c r="O6" s="4">
        <v>24</v>
      </c>
      <c r="P6" s="4">
        <v>0</v>
      </c>
      <c r="Q6" s="4">
        <v>0</v>
      </c>
      <c r="R6" s="4">
        <v>0</v>
      </c>
      <c r="S6" s="4">
        <v>8816</v>
      </c>
      <c r="T6" s="4">
        <v>11698</v>
      </c>
      <c r="U6" s="4">
        <v>1260</v>
      </c>
      <c r="V6" s="4">
        <v>0</v>
      </c>
      <c r="W6" s="4">
        <v>0</v>
      </c>
      <c r="X6" s="4">
        <v>1</v>
      </c>
      <c r="Y6" s="4">
        <v>1</v>
      </c>
      <c r="Z6" s="4">
        <v>0</v>
      </c>
      <c r="AA6" s="4">
        <v>0</v>
      </c>
      <c r="AB6" s="4">
        <v>0</v>
      </c>
      <c r="AC6" s="4">
        <v>0</v>
      </c>
      <c r="AD6" s="4">
        <v>0</v>
      </c>
      <c r="AE6" s="4">
        <v>3755</v>
      </c>
      <c r="AF6" s="4">
        <v>9962</v>
      </c>
      <c r="AG6" s="4">
        <v>0</v>
      </c>
      <c r="AH6" s="4">
        <v>1226</v>
      </c>
      <c r="AI6" s="4">
        <v>1140</v>
      </c>
      <c r="AJ6" s="4" t="s">
        <v>709</v>
      </c>
      <c r="AK6" s="4" t="s">
        <v>709</v>
      </c>
      <c r="AL6" s="4">
        <v>0</v>
      </c>
      <c r="AM6" s="4">
        <v>0</v>
      </c>
      <c r="AN6" s="4">
        <v>0</v>
      </c>
      <c r="AO6" s="4">
        <v>0</v>
      </c>
      <c r="AP6" s="4">
        <v>0</v>
      </c>
      <c r="AQ6" s="4">
        <v>0</v>
      </c>
      <c r="AR6" s="4" t="s">
        <v>709</v>
      </c>
      <c r="AS6" s="4" t="s">
        <v>709</v>
      </c>
      <c r="AT6" s="4">
        <v>3951</v>
      </c>
      <c r="AU6" s="4">
        <v>4644</v>
      </c>
      <c r="AV6" s="4">
        <v>5118</v>
      </c>
      <c r="AW6" s="4">
        <v>1230</v>
      </c>
      <c r="AX6" s="4">
        <v>0</v>
      </c>
      <c r="AY6" s="4">
        <v>1140</v>
      </c>
      <c r="AZ6" s="4">
        <v>24</v>
      </c>
      <c r="BA6" s="4">
        <v>0</v>
      </c>
      <c r="BB6" s="4">
        <v>0</v>
      </c>
      <c r="BC6" s="4">
        <v>43</v>
      </c>
      <c r="BD6" s="4">
        <v>0</v>
      </c>
      <c r="BE6" s="4">
        <v>0</v>
      </c>
      <c r="BF6" s="4">
        <v>0.35820895522388102</v>
      </c>
      <c r="BG6" s="4">
        <v>37</v>
      </c>
      <c r="BH6" s="4">
        <v>1161</v>
      </c>
      <c r="BI6" s="4">
        <v>1807</v>
      </c>
      <c r="BJ6" s="4">
        <v>11392</v>
      </c>
      <c r="BK6" s="4">
        <v>3422</v>
      </c>
      <c r="BL6" s="4">
        <v>1962</v>
      </c>
      <c r="BM6" s="4">
        <v>2030</v>
      </c>
      <c r="BN6" s="4">
        <v>24</v>
      </c>
      <c r="BO6" s="4">
        <v>0</v>
      </c>
      <c r="BP6" s="4">
        <v>0</v>
      </c>
      <c r="BQ6" s="4">
        <v>43</v>
      </c>
      <c r="BR6" s="4">
        <v>0</v>
      </c>
      <c r="BS6" s="4">
        <v>0</v>
      </c>
      <c r="BT6" s="4">
        <v>0.35820895522388102</v>
      </c>
      <c r="BU6" s="4">
        <v>31</v>
      </c>
      <c r="BV6" s="4">
        <v>1781</v>
      </c>
      <c r="BW6" s="4">
        <v>2939</v>
      </c>
      <c r="BX6" s="4">
        <v>8800</v>
      </c>
      <c r="BY6" s="4">
        <v>3131</v>
      </c>
      <c r="BZ6" s="4">
        <v>3093</v>
      </c>
      <c r="CA6" s="4">
        <v>2030</v>
      </c>
      <c r="CB6">
        <v>13634.513634513631</v>
      </c>
      <c r="CC6" t="s">
        <v>687</v>
      </c>
      <c r="CD6">
        <v>19440.325871659199</v>
      </c>
      <c r="CE6" t="s">
        <v>687</v>
      </c>
      <c r="CF6" t="s">
        <v>687</v>
      </c>
      <c r="CG6" t="s">
        <v>687</v>
      </c>
      <c r="CH6">
        <v>1</v>
      </c>
      <c r="CI6">
        <v>0</v>
      </c>
      <c r="CJ6">
        <v>1</v>
      </c>
      <c r="CK6">
        <v>0</v>
      </c>
      <c r="CL6">
        <v>0</v>
      </c>
      <c r="CM6">
        <v>0</v>
      </c>
      <c r="CN6">
        <v>2863247.8632478626</v>
      </c>
      <c r="CO6">
        <v>210</v>
      </c>
      <c r="CP6">
        <v>0</v>
      </c>
      <c r="CQ6">
        <v>0</v>
      </c>
      <c r="CR6">
        <v>12247405.299145296</v>
      </c>
      <c r="CS6">
        <v>630</v>
      </c>
      <c r="CT6">
        <v>0</v>
      </c>
      <c r="CU6">
        <v>0</v>
      </c>
      <c r="CV6">
        <v>0</v>
      </c>
      <c r="CW6">
        <v>0</v>
      </c>
      <c r="CX6">
        <v>0</v>
      </c>
      <c r="CY6">
        <v>0</v>
      </c>
      <c r="CZ6" s="246">
        <v>0.10267238119248707</v>
      </c>
      <c r="DA6" s="246">
        <v>1.3354477611940299</v>
      </c>
      <c r="DB6" s="123">
        <v>47590725.320000008</v>
      </c>
      <c r="DC6" s="174">
        <v>86.8</v>
      </c>
      <c r="DD6" s="174">
        <v>7.3</v>
      </c>
      <c r="DE6" s="174">
        <v>2.2999999999999998</v>
      </c>
      <c r="DF6" s="174">
        <v>63.7</v>
      </c>
      <c r="DG6" s="174">
        <v>14.6</v>
      </c>
      <c r="DH6" s="174">
        <v>8.5</v>
      </c>
      <c r="DI6" s="174">
        <v>96.5</v>
      </c>
      <c r="DJ6" s="174">
        <v>86.8</v>
      </c>
    </row>
    <row r="7" spans="1:114" x14ac:dyDescent="0.45">
      <c r="A7">
        <v>205</v>
      </c>
      <c r="B7" s="247">
        <v>1.18757612667479E-2</v>
      </c>
      <c r="C7" s="169">
        <v>-1.06577344701583E-2</v>
      </c>
      <c r="D7" s="169">
        <v>-7.7437722419928801E-2</v>
      </c>
      <c r="E7" s="169">
        <v>2.9893238434163701E-3</v>
      </c>
      <c r="F7" s="206">
        <v>2438</v>
      </c>
      <c r="G7" s="206">
        <v>2622</v>
      </c>
      <c r="H7" s="206">
        <v>0</v>
      </c>
      <c r="I7" s="206">
        <v>0</v>
      </c>
      <c r="J7" s="189">
        <v>0.236317254174397</v>
      </c>
      <c r="K7" s="189">
        <v>0.117287709105783</v>
      </c>
      <c r="L7" s="206">
        <v>840</v>
      </c>
      <c r="M7" s="206">
        <v>0</v>
      </c>
      <c r="N7" s="4">
        <v>46</v>
      </c>
      <c r="O7" s="4">
        <v>0</v>
      </c>
      <c r="P7" s="4">
        <v>0</v>
      </c>
      <c r="Q7" s="4">
        <v>0</v>
      </c>
      <c r="R7" s="4">
        <v>0</v>
      </c>
      <c r="S7" s="4">
        <v>4610</v>
      </c>
      <c r="T7" s="4">
        <v>7020</v>
      </c>
      <c r="U7" s="4">
        <v>420</v>
      </c>
      <c r="V7" s="4">
        <v>0</v>
      </c>
      <c r="W7" s="4">
        <v>0</v>
      </c>
      <c r="X7" s="4">
        <v>1</v>
      </c>
      <c r="Y7" s="4">
        <v>1</v>
      </c>
      <c r="Z7" s="4">
        <v>94</v>
      </c>
      <c r="AA7" s="4">
        <v>0</v>
      </c>
      <c r="AB7" s="4">
        <v>0</v>
      </c>
      <c r="AC7" s="4">
        <v>0</v>
      </c>
      <c r="AD7" s="4">
        <v>0</v>
      </c>
      <c r="AE7" s="4">
        <v>3415</v>
      </c>
      <c r="AF7" s="4">
        <v>5025</v>
      </c>
      <c r="AG7" s="4">
        <v>1200</v>
      </c>
      <c r="AH7" s="4">
        <v>0</v>
      </c>
      <c r="AI7" s="4">
        <v>0</v>
      </c>
      <c r="AJ7" s="4">
        <v>1</v>
      </c>
      <c r="AK7" s="4">
        <v>1</v>
      </c>
      <c r="AL7" s="4">
        <v>94</v>
      </c>
      <c r="AM7" s="4">
        <v>0</v>
      </c>
      <c r="AN7" s="4">
        <v>0</v>
      </c>
      <c r="AO7" s="4">
        <v>0</v>
      </c>
      <c r="AP7" s="4">
        <v>0</v>
      </c>
      <c r="AQ7" s="4">
        <v>0</v>
      </c>
      <c r="AR7" s="4">
        <v>1</v>
      </c>
      <c r="AS7" s="4">
        <v>1</v>
      </c>
      <c r="AT7" s="4">
        <v>5005</v>
      </c>
      <c r="AU7" s="4">
        <v>0</v>
      </c>
      <c r="AV7" s="4">
        <v>3780</v>
      </c>
      <c r="AW7" s="4">
        <v>0</v>
      </c>
      <c r="AX7" s="4">
        <v>855</v>
      </c>
      <c r="AY7" s="4">
        <v>0</v>
      </c>
      <c r="AZ7" s="4">
        <v>46</v>
      </c>
      <c r="BA7" s="4">
        <v>0</v>
      </c>
      <c r="BB7" s="4">
        <v>0</v>
      </c>
      <c r="BC7" s="4">
        <v>0</v>
      </c>
      <c r="BD7" s="4">
        <v>0</v>
      </c>
      <c r="BE7" s="4">
        <v>0</v>
      </c>
      <c r="BF7" s="4">
        <v>1</v>
      </c>
      <c r="BG7" s="4">
        <v>1</v>
      </c>
      <c r="BH7" s="4">
        <v>2789</v>
      </c>
      <c r="BI7" s="4">
        <v>2745</v>
      </c>
      <c r="BJ7" s="4">
        <v>4545</v>
      </c>
      <c r="BK7" s="4">
        <v>291</v>
      </c>
      <c r="BL7" s="4">
        <v>0</v>
      </c>
      <c r="BM7" s="4">
        <v>1680</v>
      </c>
      <c r="BN7" s="4">
        <v>20</v>
      </c>
      <c r="BO7" s="4">
        <v>0</v>
      </c>
      <c r="BP7" s="4">
        <v>26</v>
      </c>
      <c r="BQ7" s="4">
        <v>0</v>
      </c>
      <c r="BR7" s="4">
        <v>0</v>
      </c>
      <c r="BS7" s="4">
        <v>0</v>
      </c>
      <c r="BT7" s="4">
        <v>0.434782608695652</v>
      </c>
      <c r="BU7" s="4">
        <v>25</v>
      </c>
      <c r="BV7" s="4">
        <v>3130</v>
      </c>
      <c r="BW7" s="4">
        <v>1710</v>
      </c>
      <c r="BX7" s="4">
        <v>5530</v>
      </c>
      <c r="BY7" s="4">
        <v>0</v>
      </c>
      <c r="BZ7" s="4">
        <v>0</v>
      </c>
      <c r="CA7" s="4">
        <v>1680</v>
      </c>
      <c r="CB7">
        <v>20527.799338208253</v>
      </c>
      <c r="CC7" t="s">
        <v>687</v>
      </c>
      <c r="CD7" t="s">
        <v>687</v>
      </c>
      <c r="CE7" t="s">
        <v>687</v>
      </c>
      <c r="CF7" t="s">
        <v>687</v>
      </c>
      <c r="CG7" t="s">
        <v>687</v>
      </c>
      <c r="CH7">
        <v>1</v>
      </c>
      <c r="CI7">
        <v>0</v>
      </c>
      <c r="CJ7">
        <v>0</v>
      </c>
      <c r="CK7">
        <v>0</v>
      </c>
      <c r="CL7">
        <v>0</v>
      </c>
      <c r="CM7">
        <v>0</v>
      </c>
      <c r="CN7">
        <v>4310837.8610237334</v>
      </c>
      <c r="CO7">
        <v>210</v>
      </c>
      <c r="CP7">
        <v>0</v>
      </c>
      <c r="CQ7">
        <v>0</v>
      </c>
      <c r="CR7">
        <v>0</v>
      </c>
      <c r="CS7">
        <v>0</v>
      </c>
      <c r="CT7">
        <v>0</v>
      </c>
      <c r="CU7">
        <v>0</v>
      </c>
      <c r="CV7">
        <v>0</v>
      </c>
      <c r="CW7">
        <v>0</v>
      </c>
      <c r="CX7">
        <v>0</v>
      </c>
      <c r="CY7">
        <v>0</v>
      </c>
      <c r="CZ7" s="246">
        <v>0.12504270584215921</v>
      </c>
      <c r="DA7" s="246">
        <v>0.55299055613851</v>
      </c>
      <c r="DB7" s="123">
        <v>65121935.779999986</v>
      </c>
      <c r="DC7" s="174">
        <v>75.2</v>
      </c>
      <c r="DD7" s="174">
        <v>11.1</v>
      </c>
      <c r="DE7" s="174">
        <v>4.9000000000000004</v>
      </c>
      <c r="DF7" s="174">
        <v>57.3</v>
      </c>
      <c r="DG7" s="174">
        <v>15.4</v>
      </c>
      <c r="DH7" s="174">
        <v>8</v>
      </c>
      <c r="DI7" s="174">
        <v>91.2</v>
      </c>
      <c r="DJ7" s="174">
        <v>80.7</v>
      </c>
    </row>
    <row r="8" spans="1:114" x14ac:dyDescent="0.45">
      <c r="A8">
        <v>206</v>
      </c>
      <c r="B8" s="247">
        <v>5.5958549222797901E-2</v>
      </c>
      <c r="C8" s="169">
        <v>1.0066617320503299E-2</v>
      </c>
      <c r="D8" s="169">
        <v>6.3517915309446296E-2</v>
      </c>
      <c r="E8" s="169">
        <v>1.85939196525516E-2</v>
      </c>
      <c r="F8" s="206">
        <v>1236</v>
      </c>
      <c r="G8" s="206">
        <v>541</v>
      </c>
      <c r="H8" s="206">
        <v>0</v>
      </c>
      <c r="I8" s="206">
        <v>0</v>
      </c>
      <c r="J8" s="189">
        <v>0.178888194673051</v>
      </c>
      <c r="K8" s="189">
        <v>0.15305651011714899</v>
      </c>
      <c r="L8" s="206">
        <v>315</v>
      </c>
      <c r="M8" s="206">
        <v>0</v>
      </c>
      <c r="N8" s="4">
        <v>0</v>
      </c>
      <c r="O8" s="4">
        <v>105</v>
      </c>
      <c r="P8" s="4">
        <v>0</v>
      </c>
      <c r="Q8" s="4">
        <v>0</v>
      </c>
      <c r="R8" s="4">
        <v>0</v>
      </c>
      <c r="S8" s="4">
        <v>2970</v>
      </c>
      <c r="T8" s="4">
        <v>11240</v>
      </c>
      <c r="U8" s="4">
        <v>420</v>
      </c>
      <c r="V8" s="4">
        <v>0</v>
      </c>
      <c r="W8" s="4">
        <v>90</v>
      </c>
      <c r="X8" s="4">
        <v>1</v>
      </c>
      <c r="Y8" s="4">
        <v>1</v>
      </c>
      <c r="Z8" s="4">
        <v>250</v>
      </c>
      <c r="AA8" s="4">
        <v>72</v>
      </c>
      <c r="AB8" s="4">
        <v>0</v>
      </c>
      <c r="AC8" s="4">
        <v>0</v>
      </c>
      <c r="AD8" s="4">
        <v>0</v>
      </c>
      <c r="AE8" s="4">
        <v>3455</v>
      </c>
      <c r="AF8" s="4">
        <v>2580</v>
      </c>
      <c r="AG8" s="4">
        <v>2050</v>
      </c>
      <c r="AH8" s="4">
        <v>0</v>
      </c>
      <c r="AI8" s="4">
        <v>0</v>
      </c>
      <c r="AJ8" s="4">
        <v>1</v>
      </c>
      <c r="AK8" s="4">
        <v>1</v>
      </c>
      <c r="AL8" s="4">
        <v>0</v>
      </c>
      <c r="AM8" s="4">
        <v>192</v>
      </c>
      <c r="AN8" s="4">
        <v>100</v>
      </c>
      <c r="AO8" s="4">
        <v>30</v>
      </c>
      <c r="AP8" s="4">
        <v>0</v>
      </c>
      <c r="AQ8" s="4">
        <v>0</v>
      </c>
      <c r="AR8" s="4">
        <v>0.59627329192546596</v>
      </c>
      <c r="AS8" s="4">
        <v>41</v>
      </c>
      <c r="AT8" s="4">
        <v>750</v>
      </c>
      <c r="AU8" s="4">
        <v>4150</v>
      </c>
      <c r="AV8" s="4">
        <v>1505</v>
      </c>
      <c r="AW8" s="4">
        <v>780</v>
      </c>
      <c r="AX8" s="4">
        <v>900</v>
      </c>
      <c r="AY8" s="4">
        <v>0</v>
      </c>
      <c r="AZ8" s="4">
        <v>30</v>
      </c>
      <c r="BA8" s="4">
        <v>0</v>
      </c>
      <c r="BB8" s="4">
        <v>75</v>
      </c>
      <c r="BC8" s="4">
        <v>0</v>
      </c>
      <c r="BD8" s="4">
        <v>0</v>
      </c>
      <c r="BE8" s="4">
        <v>0</v>
      </c>
      <c r="BF8" s="4">
        <v>0.28571428571428598</v>
      </c>
      <c r="BG8" s="4">
        <v>41</v>
      </c>
      <c r="BH8" s="4">
        <v>4480</v>
      </c>
      <c r="BI8" s="4">
        <v>1790</v>
      </c>
      <c r="BJ8" s="4">
        <v>6020</v>
      </c>
      <c r="BK8" s="4">
        <v>1500</v>
      </c>
      <c r="BL8" s="4">
        <v>420</v>
      </c>
      <c r="BM8" s="4">
        <v>510</v>
      </c>
      <c r="BN8" s="4">
        <v>0</v>
      </c>
      <c r="BO8" s="4">
        <v>30</v>
      </c>
      <c r="BP8" s="4">
        <v>15</v>
      </c>
      <c r="BQ8" s="4">
        <v>60</v>
      </c>
      <c r="BR8" s="4">
        <v>0</v>
      </c>
      <c r="BS8" s="4">
        <v>0</v>
      </c>
      <c r="BT8" s="4">
        <v>0.28571428571428598</v>
      </c>
      <c r="BU8" s="4">
        <v>38</v>
      </c>
      <c r="BV8" s="4">
        <v>3435</v>
      </c>
      <c r="BW8" s="4">
        <v>4085</v>
      </c>
      <c r="BX8" s="4">
        <v>4755</v>
      </c>
      <c r="BY8" s="4">
        <v>1095</v>
      </c>
      <c r="BZ8" s="4">
        <v>840</v>
      </c>
      <c r="CA8" s="4">
        <v>510</v>
      </c>
      <c r="CB8">
        <v>26285.580370758962</v>
      </c>
      <c r="CC8" t="s">
        <v>687</v>
      </c>
      <c r="CD8">
        <v>12140.980338860194</v>
      </c>
      <c r="CE8" t="s">
        <v>687</v>
      </c>
      <c r="CF8" t="s">
        <v>687</v>
      </c>
      <c r="CG8" t="s">
        <v>687</v>
      </c>
      <c r="CH8">
        <v>2</v>
      </c>
      <c r="CI8">
        <v>0</v>
      </c>
      <c r="CJ8">
        <v>1</v>
      </c>
      <c r="CK8">
        <v>0</v>
      </c>
      <c r="CL8">
        <v>0</v>
      </c>
      <c r="CM8">
        <v>0</v>
      </c>
      <c r="CN8">
        <v>7254820.182329474</v>
      </c>
      <c r="CO8">
        <v>276</v>
      </c>
      <c r="CP8">
        <v>0</v>
      </c>
      <c r="CQ8">
        <v>0</v>
      </c>
      <c r="CR8">
        <v>728458.82033161167</v>
      </c>
      <c r="CS8">
        <v>60</v>
      </c>
      <c r="CT8">
        <v>0</v>
      </c>
      <c r="CU8">
        <v>0</v>
      </c>
      <c r="CV8">
        <v>0</v>
      </c>
      <c r="CW8">
        <v>0</v>
      </c>
      <c r="CX8">
        <v>0</v>
      </c>
      <c r="CY8">
        <v>0</v>
      </c>
      <c r="CZ8" s="246">
        <v>7.2442486539402842E-2</v>
      </c>
      <c r="DA8" s="246">
        <v>0.1973537382432648</v>
      </c>
      <c r="DB8" s="123">
        <v>27581656.440000001</v>
      </c>
      <c r="DC8" s="174">
        <v>78.599999999999994</v>
      </c>
      <c r="DD8" s="174">
        <v>9.6999999999999993</v>
      </c>
      <c r="DE8" s="174">
        <v>3.7</v>
      </c>
      <c r="DF8" s="174">
        <v>66.599999999999994</v>
      </c>
      <c r="DG8" s="174">
        <v>14.7</v>
      </c>
      <c r="DH8" s="174">
        <v>6.7</v>
      </c>
      <c r="DI8" s="174">
        <v>91.9</v>
      </c>
      <c r="DJ8" s="174">
        <v>88</v>
      </c>
    </row>
    <row r="9" spans="1:114" x14ac:dyDescent="0.45">
      <c r="A9">
        <v>207</v>
      </c>
      <c r="B9" s="247">
        <v>-3.5046384921219302E-2</v>
      </c>
      <c r="C9" s="169">
        <v>-6.9209247533500197E-3</v>
      </c>
      <c r="D9" s="169">
        <v>1.6803102111158999E-2</v>
      </c>
      <c r="E9" s="169">
        <v>8.4015510555794908E-3</v>
      </c>
      <c r="F9" s="206">
        <v>827</v>
      </c>
      <c r="G9" s="206">
        <v>1298</v>
      </c>
      <c r="H9" s="206">
        <v>0</v>
      </c>
      <c r="I9" s="206">
        <v>30</v>
      </c>
      <c r="J9" s="189">
        <v>0.178347212587884</v>
      </c>
      <c r="K9" s="189">
        <v>2.1529298644587701E-2</v>
      </c>
      <c r="L9" s="206">
        <v>80</v>
      </c>
      <c r="M9" s="206">
        <v>60</v>
      </c>
      <c r="N9" s="4">
        <v>0</v>
      </c>
      <c r="O9" s="4">
        <v>0</v>
      </c>
      <c r="P9" s="4">
        <v>0</v>
      </c>
      <c r="Q9" s="4">
        <v>0</v>
      </c>
      <c r="R9" s="4">
        <v>0</v>
      </c>
      <c r="S9" s="4">
        <v>4365</v>
      </c>
      <c r="T9" s="4">
        <v>3360</v>
      </c>
      <c r="U9" s="4">
        <v>0</v>
      </c>
      <c r="V9" s="4">
        <v>0</v>
      </c>
      <c r="W9" s="4">
        <v>0</v>
      </c>
      <c r="X9" s="4" t="s">
        <v>709</v>
      </c>
      <c r="Y9" s="4" t="s">
        <v>709</v>
      </c>
      <c r="Z9" s="4">
        <v>190</v>
      </c>
      <c r="AA9" s="4">
        <v>0</v>
      </c>
      <c r="AB9" s="4">
        <v>0</v>
      </c>
      <c r="AC9" s="4">
        <v>0</v>
      </c>
      <c r="AD9" s="4">
        <v>0</v>
      </c>
      <c r="AE9" s="4">
        <v>5211</v>
      </c>
      <c r="AF9" s="4">
        <v>628</v>
      </c>
      <c r="AG9" s="4">
        <v>0</v>
      </c>
      <c r="AH9" s="4">
        <v>0</v>
      </c>
      <c r="AI9" s="4">
        <v>0</v>
      </c>
      <c r="AJ9" s="4">
        <v>1</v>
      </c>
      <c r="AK9" s="4">
        <v>1</v>
      </c>
      <c r="AL9" s="4">
        <v>0</v>
      </c>
      <c r="AM9" s="4">
        <v>190</v>
      </c>
      <c r="AN9" s="4">
        <v>0</v>
      </c>
      <c r="AO9" s="4">
        <v>0</v>
      </c>
      <c r="AP9" s="4">
        <v>0</v>
      </c>
      <c r="AQ9" s="4">
        <v>0</v>
      </c>
      <c r="AR9" s="4">
        <v>1</v>
      </c>
      <c r="AS9" s="4">
        <v>1</v>
      </c>
      <c r="AT9" s="4">
        <v>2411</v>
      </c>
      <c r="AU9" s="4">
        <v>1060</v>
      </c>
      <c r="AV9" s="4">
        <v>2368</v>
      </c>
      <c r="AW9" s="4">
        <v>0</v>
      </c>
      <c r="AX9" s="4">
        <v>0</v>
      </c>
      <c r="AY9" s="4">
        <v>0</v>
      </c>
      <c r="AZ9" s="4">
        <v>0</v>
      </c>
      <c r="BA9" s="4">
        <v>0</v>
      </c>
      <c r="BB9" s="4">
        <v>0</v>
      </c>
      <c r="BC9" s="4">
        <v>0</v>
      </c>
      <c r="BD9" s="4">
        <v>0</v>
      </c>
      <c r="BE9" s="4">
        <v>0</v>
      </c>
      <c r="BF9" s="4" t="s">
        <v>709</v>
      </c>
      <c r="BG9" s="4" t="s">
        <v>709</v>
      </c>
      <c r="BH9" s="4">
        <v>2965</v>
      </c>
      <c r="BI9" s="4">
        <v>840</v>
      </c>
      <c r="BJ9" s="4">
        <v>2450</v>
      </c>
      <c r="BK9" s="4">
        <v>840</v>
      </c>
      <c r="BL9" s="4">
        <v>420</v>
      </c>
      <c r="BM9" s="4">
        <v>210</v>
      </c>
      <c r="BN9" s="4">
        <v>0</v>
      </c>
      <c r="BO9" s="4">
        <v>0</v>
      </c>
      <c r="BP9" s="4">
        <v>0</v>
      </c>
      <c r="BQ9" s="4">
        <v>0</v>
      </c>
      <c r="BR9" s="4">
        <v>0</v>
      </c>
      <c r="BS9" s="4">
        <v>0</v>
      </c>
      <c r="BT9" s="4" t="s">
        <v>709</v>
      </c>
      <c r="BU9" s="4" t="s">
        <v>709</v>
      </c>
      <c r="BV9" s="4">
        <v>4015</v>
      </c>
      <c r="BW9" s="4">
        <v>560</v>
      </c>
      <c r="BX9" s="4">
        <v>2520</v>
      </c>
      <c r="BY9" s="4">
        <v>0</v>
      </c>
      <c r="BZ9" s="4">
        <v>420</v>
      </c>
      <c r="CA9" s="4">
        <v>210</v>
      </c>
      <c r="CB9">
        <v>30389.995535328861</v>
      </c>
      <c r="CC9" t="s">
        <v>687</v>
      </c>
      <c r="CD9">
        <v>76395.718419064709</v>
      </c>
      <c r="CE9" t="s">
        <v>687</v>
      </c>
      <c r="CF9" t="s">
        <v>687</v>
      </c>
      <c r="CG9" t="s">
        <v>687</v>
      </c>
      <c r="CH9">
        <v>2</v>
      </c>
      <c r="CI9">
        <v>0</v>
      </c>
      <c r="CJ9">
        <v>1</v>
      </c>
      <c r="CK9">
        <v>0</v>
      </c>
      <c r="CL9">
        <v>0</v>
      </c>
      <c r="CM9">
        <v>0</v>
      </c>
      <c r="CN9">
        <v>6381899.0624190606</v>
      </c>
      <c r="CO9">
        <v>210</v>
      </c>
      <c r="CP9">
        <v>0</v>
      </c>
      <c r="CQ9">
        <v>0</v>
      </c>
      <c r="CR9">
        <v>16043100.868003588</v>
      </c>
      <c r="CS9">
        <v>210</v>
      </c>
      <c r="CT9">
        <v>0</v>
      </c>
      <c r="CU9">
        <v>0</v>
      </c>
      <c r="CV9">
        <v>0</v>
      </c>
      <c r="CW9">
        <v>0</v>
      </c>
      <c r="CX9">
        <v>0</v>
      </c>
      <c r="CY9">
        <v>0</v>
      </c>
      <c r="CZ9" s="246">
        <v>5.1724137931034482E-3</v>
      </c>
      <c r="DA9" s="246">
        <v>0.6828687967369137</v>
      </c>
      <c r="DB9" s="123">
        <v>9657698.9999999981</v>
      </c>
      <c r="DC9" s="174">
        <v>65.7</v>
      </c>
      <c r="DD9" s="174">
        <v>13.1</v>
      </c>
      <c r="DE9" s="174">
        <v>5.4</v>
      </c>
      <c r="DF9" s="174">
        <v>62.2</v>
      </c>
      <c r="DG9" s="174">
        <v>15.7</v>
      </c>
      <c r="DH9" s="174">
        <v>6.5</v>
      </c>
      <c r="DI9" s="174">
        <v>84.3</v>
      </c>
      <c r="DJ9" s="174">
        <v>84.3</v>
      </c>
    </row>
    <row r="10" spans="1:114" x14ac:dyDescent="0.45">
      <c r="A10">
        <v>208</v>
      </c>
      <c r="B10" s="247">
        <v>0.108788953162904</v>
      </c>
      <c r="C10" s="169">
        <v>7.4967344653853296E-2</v>
      </c>
      <c r="D10" s="169">
        <v>2.8814899411403E-2</v>
      </c>
      <c r="E10" s="169">
        <v>5.3852235790213497E-2</v>
      </c>
      <c r="F10" s="206">
        <v>4880</v>
      </c>
      <c r="G10" s="206">
        <v>6957</v>
      </c>
      <c r="H10" s="206">
        <v>20</v>
      </c>
      <c r="I10" s="206">
        <v>0</v>
      </c>
      <c r="J10" s="189">
        <v>0.205989444239561</v>
      </c>
      <c r="K10" s="189">
        <v>0.171500797832977</v>
      </c>
      <c r="L10" s="206">
        <v>821</v>
      </c>
      <c r="M10" s="206">
        <v>460</v>
      </c>
      <c r="N10" s="4">
        <v>0</v>
      </c>
      <c r="O10" s="4">
        <v>36</v>
      </c>
      <c r="P10" s="4">
        <v>0</v>
      </c>
      <c r="Q10" s="4">
        <v>0</v>
      </c>
      <c r="R10" s="4">
        <v>0</v>
      </c>
      <c r="S10" s="4">
        <v>9958</v>
      </c>
      <c r="T10" s="4">
        <v>13791</v>
      </c>
      <c r="U10" s="4">
        <v>1050</v>
      </c>
      <c r="V10" s="4">
        <v>875</v>
      </c>
      <c r="W10" s="4">
        <v>0</v>
      </c>
      <c r="X10" s="4">
        <v>1</v>
      </c>
      <c r="Y10" s="4">
        <v>1</v>
      </c>
      <c r="Z10" s="4">
        <v>538</v>
      </c>
      <c r="AA10" s="4">
        <v>829</v>
      </c>
      <c r="AB10" s="4">
        <v>0</v>
      </c>
      <c r="AC10" s="4">
        <v>0</v>
      </c>
      <c r="AD10" s="4">
        <v>0</v>
      </c>
      <c r="AE10" s="4">
        <v>5862</v>
      </c>
      <c r="AF10" s="4">
        <v>7134</v>
      </c>
      <c r="AG10" s="4">
        <v>2615</v>
      </c>
      <c r="AH10" s="4">
        <v>0</v>
      </c>
      <c r="AI10" s="4">
        <v>0</v>
      </c>
      <c r="AJ10" s="4">
        <v>1</v>
      </c>
      <c r="AK10" s="4">
        <v>1</v>
      </c>
      <c r="AL10" s="4">
        <v>538</v>
      </c>
      <c r="AM10" s="4">
        <v>15</v>
      </c>
      <c r="AN10" s="4">
        <v>0</v>
      </c>
      <c r="AO10" s="4">
        <v>0</v>
      </c>
      <c r="AP10" s="4">
        <v>0</v>
      </c>
      <c r="AQ10" s="4">
        <v>814</v>
      </c>
      <c r="AR10" s="4">
        <v>1</v>
      </c>
      <c r="AS10" s="4">
        <v>1</v>
      </c>
      <c r="AT10" s="4">
        <v>2649</v>
      </c>
      <c r="AU10" s="4">
        <v>2276</v>
      </c>
      <c r="AV10" s="4">
        <v>5041</v>
      </c>
      <c r="AW10" s="4">
        <v>3300</v>
      </c>
      <c r="AX10" s="4">
        <v>815</v>
      </c>
      <c r="AY10" s="4">
        <v>1530</v>
      </c>
      <c r="AZ10" s="4">
        <v>0</v>
      </c>
      <c r="BA10" s="4">
        <v>36</v>
      </c>
      <c r="BB10" s="4">
        <v>0</v>
      </c>
      <c r="BC10" s="4">
        <v>0</v>
      </c>
      <c r="BD10" s="4">
        <v>0</v>
      </c>
      <c r="BE10" s="4">
        <v>0</v>
      </c>
      <c r="BF10" s="4">
        <v>1</v>
      </c>
      <c r="BG10" s="4">
        <v>1</v>
      </c>
      <c r="BH10" s="4">
        <v>4664</v>
      </c>
      <c r="BI10" s="4">
        <v>8215</v>
      </c>
      <c r="BJ10" s="4">
        <v>10935</v>
      </c>
      <c r="BK10" s="4">
        <v>840</v>
      </c>
      <c r="BL10" s="4">
        <v>420</v>
      </c>
      <c r="BM10" s="4">
        <v>600</v>
      </c>
      <c r="BN10" s="4">
        <v>0</v>
      </c>
      <c r="BO10" s="4">
        <v>36</v>
      </c>
      <c r="BP10" s="4">
        <v>0</v>
      </c>
      <c r="BQ10" s="4">
        <v>0</v>
      </c>
      <c r="BR10" s="4">
        <v>0</v>
      </c>
      <c r="BS10" s="4">
        <v>0</v>
      </c>
      <c r="BT10" s="4">
        <v>1</v>
      </c>
      <c r="BU10" s="4">
        <v>1</v>
      </c>
      <c r="BV10" s="4">
        <v>7484</v>
      </c>
      <c r="BW10" s="4">
        <v>4104</v>
      </c>
      <c r="BX10" s="4">
        <v>12226</v>
      </c>
      <c r="BY10" s="4">
        <v>840</v>
      </c>
      <c r="BZ10" s="4">
        <v>420</v>
      </c>
      <c r="CA10" s="4">
        <v>600</v>
      </c>
      <c r="CB10">
        <v>14160.308012868982</v>
      </c>
      <c r="CC10">
        <v>2394.9099227909628</v>
      </c>
      <c r="CD10" t="s">
        <v>687</v>
      </c>
      <c r="CE10">
        <v>25167.369518462652</v>
      </c>
      <c r="CF10" t="s">
        <v>687</v>
      </c>
      <c r="CG10" t="s">
        <v>687</v>
      </c>
      <c r="CH10">
        <v>5</v>
      </c>
      <c r="CI10">
        <v>1</v>
      </c>
      <c r="CJ10">
        <v>0</v>
      </c>
      <c r="CK10">
        <v>1</v>
      </c>
      <c r="CL10">
        <v>0</v>
      </c>
      <c r="CM10">
        <v>0</v>
      </c>
      <c r="CN10">
        <v>21353744.483406425</v>
      </c>
      <c r="CO10">
        <v>1508</v>
      </c>
      <c r="CP10">
        <v>143694.59536745778</v>
      </c>
      <c r="CQ10">
        <v>60</v>
      </c>
      <c r="CR10">
        <v>0</v>
      </c>
      <c r="CS10">
        <v>0</v>
      </c>
      <c r="CT10">
        <v>22650632.566616386</v>
      </c>
      <c r="CU10">
        <v>900</v>
      </c>
      <c r="CV10">
        <v>0</v>
      </c>
      <c r="CW10">
        <v>0</v>
      </c>
      <c r="CX10">
        <v>0</v>
      </c>
      <c r="CY10">
        <v>0</v>
      </c>
      <c r="CZ10" s="246">
        <v>0.1341115713594061</v>
      </c>
      <c r="DA10" s="246">
        <v>0.63915154612829028</v>
      </c>
      <c r="DB10" s="123">
        <v>114848438.38999999</v>
      </c>
      <c r="DC10" s="174">
        <v>81.7</v>
      </c>
      <c r="DD10" s="174">
        <v>9</v>
      </c>
      <c r="DE10" s="174">
        <v>3.2</v>
      </c>
      <c r="DF10" s="174">
        <v>54.8</v>
      </c>
      <c r="DG10" s="174">
        <v>16.8</v>
      </c>
      <c r="DH10" s="174">
        <v>9.6999999999999993</v>
      </c>
      <c r="DI10" s="174">
        <v>93.9</v>
      </c>
      <c r="DJ10" s="174">
        <v>81.400000000000006</v>
      </c>
    </row>
    <row r="11" spans="1:114" x14ac:dyDescent="0.45">
      <c r="A11">
        <v>209</v>
      </c>
      <c r="B11" s="247">
        <v>4.74792956500764E-2</v>
      </c>
      <c r="C11" s="169">
        <v>4.2212752271448099E-3</v>
      </c>
      <c r="D11" s="169">
        <v>0.15849293001610901</v>
      </c>
      <c r="E11" s="169">
        <v>2.5147664220511901E-2</v>
      </c>
      <c r="F11" s="206">
        <v>4986</v>
      </c>
      <c r="G11" s="206">
        <v>2235</v>
      </c>
      <c r="H11" s="206">
        <v>0</v>
      </c>
      <c r="I11" s="206">
        <v>0</v>
      </c>
      <c r="J11" s="189">
        <v>0.144387844270712</v>
      </c>
      <c r="K11" s="189">
        <v>0.20944271387403299</v>
      </c>
      <c r="L11" s="206">
        <v>0</v>
      </c>
      <c r="M11" s="206">
        <v>0</v>
      </c>
      <c r="N11" s="4">
        <v>0</v>
      </c>
      <c r="O11" s="4">
        <v>105</v>
      </c>
      <c r="P11" s="4">
        <v>0</v>
      </c>
      <c r="Q11" s="4">
        <v>0</v>
      </c>
      <c r="R11" s="4">
        <v>0</v>
      </c>
      <c r="S11" s="4">
        <v>7704</v>
      </c>
      <c r="T11" s="4">
        <v>18270</v>
      </c>
      <c r="U11" s="4">
        <v>1756</v>
      </c>
      <c r="V11" s="4">
        <v>0</v>
      </c>
      <c r="W11" s="4">
        <v>0</v>
      </c>
      <c r="X11" s="4">
        <v>1</v>
      </c>
      <c r="Y11" s="4">
        <v>1</v>
      </c>
      <c r="Z11" s="4">
        <v>0</v>
      </c>
      <c r="AA11" s="4">
        <v>0</v>
      </c>
      <c r="AB11" s="4">
        <v>0</v>
      </c>
      <c r="AC11" s="4">
        <v>0</v>
      </c>
      <c r="AD11" s="4">
        <v>0</v>
      </c>
      <c r="AE11" s="4">
        <v>1803</v>
      </c>
      <c r="AF11" s="4">
        <v>7149</v>
      </c>
      <c r="AG11" s="4">
        <v>6311</v>
      </c>
      <c r="AH11" s="4">
        <v>0</v>
      </c>
      <c r="AI11" s="4">
        <v>0</v>
      </c>
      <c r="AJ11" s="4" t="s">
        <v>709</v>
      </c>
      <c r="AK11" s="4" t="s">
        <v>709</v>
      </c>
      <c r="AL11" s="4">
        <v>0</v>
      </c>
      <c r="AM11" s="4">
        <v>0</v>
      </c>
      <c r="AN11" s="4">
        <v>0</v>
      </c>
      <c r="AO11" s="4">
        <v>0</v>
      </c>
      <c r="AP11" s="4">
        <v>0</v>
      </c>
      <c r="AQ11" s="4">
        <v>0</v>
      </c>
      <c r="AR11" s="4" t="s">
        <v>709</v>
      </c>
      <c r="AS11" s="4" t="s">
        <v>709</v>
      </c>
      <c r="AT11" s="4">
        <v>900</v>
      </c>
      <c r="AU11" s="4">
        <v>1027</v>
      </c>
      <c r="AV11" s="4">
        <v>4534</v>
      </c>
      <c r="AW11" s="4">
        <v>5134</v>
      </c>
      <c r="AX11" s="4">
        <v>3668</v>
      </c>
      <c r="AY11" s="4">
        <v>0</v>
      </c>
      <c r="AZ11" s="4">
        <v>0</v>
      </c>
      <c r="BA11" s="4">
        <v>0</v>
      </c>
      <c r="BB11" s="4">
        <v>105</v>
      </c>
      <c r="BC11" s="4">
        <v>0</v>
      </c>
      <c r="BD11" s="4">
        <v>0</v>
      </c>
      <c r="BE11" s="4">
        <v>0</v>
      </c>
      <c r="BF11" s="4">
        <v>0</v>
      </c>
      <c r="BG11" s="4">
        <v>68</v>
      </c>
      <c r="BH11" s="4">
        <v>1886</v>
      </c>
      <c r="BI11" s="4">
        <v>4057</v>
      </c>
      <c r="BJ11" s="4">
        <v>13629</v>
      </c>
      <c r="BK11" s="4">
        <v>3807</v>
      </c>
      <c r="BL11" s="4">
        <v>2775</v>
      </c>
      <c r="BM11" s="4">
        <v>1576</v>
      </c>
      <c r="BN11" s="4">
        <v>0</v>
      </c>
      <c r="BO11" s="4">
        <v>105</v>
      </c>
      <c r="BP11" s="4">
        <v>0</v>
      </c>
      <c r="BQ11" s="4">
        <v>0</v>
      </c>
      <c r="BR11" s="4">
        <v>0</v>
      </c>
      <c r="BS11" s="4">
        <v>0</v>
      </c>
      <c r="BT11" s="4">
        <v>1</v>
      </c>
      <c r="BU11" s="4">
        <v>1</v>
      </c>
      <c r="BV11" s="4">
        <v>2331</v>
      </c>
      <c r="BW11" s="4">
        <v>3372</v>
      </c>
      <c r="BX11" s="4">
        <v>12878</v>
      </c>
      <c r="BY11" s="4">
        <v>3820</v>
      </c>
      <c r="BZ11" s="4">
        <v>3753</v>
      </c>
      <c r="CA11" s="4">
        <v>1576</v>
      </c>
      <c r="CB11">
        <v>25863.495199947542</v>
      </c>
      <c r="CC11">
        <v>11185.407579372417</v>
      </c>
      <c r="CD11" t="s">
        <v>687</v>
      </c>
      <c r="CE11" t="s">
        <v>687</v>
      </c>
      <c r="CF11" t="s">
        <v>687</v>
      </c>
      <c r="CG11" t="s">
        <v>687</v>
      </c>
      <c r="CH11">
        <v>6</v>
      </c>
      <c r="CI11">
        <v>10</v>
      </c>
      <c r="CJ11">
        <v>0</v>
      </c>
      <c r="CK11">
        <v>0</v>
      </c>
      <c r="CL11">
        <v>0</v>
      </c>
      <c r="CM11">
        <v>0</v>
      </c>
      <c r="CN11">
        <v>22734012.280753888</v>
      </c>
      <c r="CO11">
        <v>879</v>
      </c>
      <c r="CP11">
        <v>3020060.0464305524</v>
      </c>
      <c r="CQ11">
        <v>270</v>
      </c>
      <c r="CR11">
        <v>0</v>
      </c>
      <c r="CS11">
        <v>0</v>
      </c>
      <c r="CT11">
        <v>0</v>
      </c>
      <c r="CU11">
        <v>0</v>
      </c>
      <c r="CV11">
        <v>0</v>
      </c>
      <c r="CW11">
        <v>0</v>
      </c>
      <c r="CX11">
        <v>0</v>
      </c>
      <c r="CY11">
        <v>0</v>
      </c>
      <c r="CZ11" s="246">
        <v>0.24026073229108316</v>
      </c>
      <c r="DA11" s="246">
        <v>0.24500620697438213</v>
      </c>
      <c r="DB11" s="123">
        <v>121272643.90999998</v>
      </c>
      <c r="DC11" s="174">
        <v>83.6</v>
      </c>
      <c r="DD11" s="174">
        <v>9.3000000000000007</v>
      </c>
      <c r="DE11" s="174">
        <v>3</v>
      </c>
      <c r="DF11" s="174">
        <v>56.9</v>
      </c>
      <c r="DG11" s="174">
        <v>18</v>
      </c>
      <c r="DH11" s="174">
        <v>8.9</v>
      </c>
      <c r="DI11" s="174">
        <v>95.8</v>
      </c>
      <c r="DJ11" s="174">
        <v>83.8</v>
      </c>
    </row>
    <row r="12" spans="1:114" x14ac:dyDescent="0.45">
      <c r="A12">
        <v>210</v>
      </c>
      <c r="B12" s="247">
        <v>5.8925177121133598E-2</v>
      </c>
      <c r="C12" s="169">
        <v>5.1840331778123402E-2</v>
      </c>
      <c r="D12" s="169">
        <v>-4.0909721259187399E-3</v>
      </c>
      <c r="E12" s="169">
        <v>-2.1494938288725601E-3</v>
      </c>
      <c r="F12" s="206">
        <v>4751</v>
      </c>
      <c r="G12" s="206">
        <v>5250</v>
      </c>
      <c r="H12" s="206">
        <v>0</v>
      </c>
      <c r="I12" s="206">
        <v>0</v>
      </c>
      <c r="J12" s="189">
        <v>0.18755856659070899</v>
      </c>
      <c r="K12" s="189">
        <v>0.12961863934502399</v>
      </c>
      <c r="L12" s="206">
        <v>0</v>
      </c>
      <c r="M12" s="206">
        <v>540</v>
      </c>
      <c r="N12" s="4">
        <v>30</v>
      </c>
      <c r="O12" s="4">
        <v>90</v>
      </c>
      <c r="P12" s="4">
        <v>0</v>
      </c>
      <c r="Q12" s="4">
        <v>0</v>
      </c>
      <c r="R12" s="4">
        <v>420</v>
      </c>
      <c r="S12" s="4">
        <v>7770</v>
      </c>
      <c r="T12" s="4">
        <v>17021</v>
      </c>
      <c r="U12" s="4">
        <v>2340</v>
      </c>
      <c r="V12" s="4">
        <v>0</v>
      </c>
      <c r="W12" s="4">
        <v>0</v>
      </c>
      <c r="X12" s="4">
        <v>1</v>
      </c>
      <c r="Y12" s="4">
        <v>1</v>
      </c>
      <c r="Z12" s="4">
        <v>513</v>
      </c>
      <c r="AA12" s="4">
        <v>150</v>
      </c>
      <c r="AB12" s="4">
        <v>0</v>
      </c>
      <c r="AC12" s="4">
        <v>0</v>
      </c>
      <c r="AD12" s="4">
        <v>0</v>
      </c>
      <c r="AE12" s="4">
        <v>9584</v>
      </c>
      <c r="AF12" s="4">
        <v>8675</v>
      </c>
      <c r="AG12" s="4">
        <v>0</v>
      </c>
      <c r="AH12" s="4">
        <v>0</v>
      </c>
      <c r="AI12" s="4">
        <v>0</v>
      </c>
      <c r="AJ12" s="4">
        <v>1</v>
      </c>
      <c r="AK12" s="4">
        <v>1</v>
      </c>
      <c r="AL12" s="4">
        <v>110</v>
      </c>
      <c r="AM12" s="4">
        <v>0</v>
      </c>
      <c r="AN12" s="4">
        <v>0</v>
      </c>
      <c r="AO12" s="4">
        <v>553</v>
      </c>
      <c r="AP12" s="4">
        <v>0</v>
      </c>
      <c r="AQ12" s="4">
        <v>0</v>
      </c>
      <c r="AR12" s="4">
        <v>0.16591251885369501</v>
      </c>
      <c r="AS12" s="4">
        <v>68</v>
      </c>
      <c r="AT12" s="4">
        <v>7405</v>
      </c>
      <c r="AU12" s="4">
        <v>1845</v>
      </c>
      <c r="AV12" s="4">
        <v>3800</v>
      </c>
      <c r="AW12" s="4">
        <v>2909</v>
      </c>
      <c r="AX12" s="4">
        <v>900</v>
      </c>
      <c r="AY12" s="4">
        <v>1400</v>
      </c>
      <c r="AZ12" s="4">
        <v>15</v>
      </c>
      <c r="BA12" s="4">
        <v>60</v>
      </c>
      <c r="BB12" s="4">
        <v>30</v>
      </c>
      <c r="BC12" s="4">
        <v>15</v>
      </c>
      <c r="BD12" s="4">
        <v>0</v>
      </c>
      <c r="BE12" s="4">
        <v>420</v>
      </c>
      <c r="BF12" s="4">
        <v>0.625</v>
      </c>
      <c r="BG12" s="4">
        <v>21</v>
      </c>
      <c r="BH12" s="4">
        <v>3995</v>
      </c>
      <c r="BI12" s="4">
        <v>6510</v>
      </c>
      <c r="BJ12" s="4">
        <v>11871</v>
      </c>
      <c r="BK12" s="4">
        <v>1830</v>
      </c>
      <c r="BL12" s="4">
        <v>1215</v>
      </c>
      <c r="BM12" s="4">
        <v>1710</v>
      </c>
      <c r="BN12" s="4">
        <v>15</v>
      </c>
      <c r="BO12" s="4">
        <v>60</v>
      </c>
      <c r="BP12" s="4">
        <v>0</v>
      </c>
      <c r="BQ12" s="4">
        <v>30</v>
      </c>
      <c r="BR12" s="4">
        <v>15</v>
      </c>
      <c r="BS12" s="4">
        <v>420</v>
      </c>
      <c r="BT12" s="4">
        <v>0.625</v>
      </c>
      <c r="BU12" s="4">
        <v>18</v>
      </c>
      <c r="BV12" s="4">
        <v>5360</v>
      </c>
      <c r="BW12" s="4">
        <v>4740</v>
      </c>
      <c r="BX12" s="4">
        <v>11796</v>
      </c>
      <c r="BY12" s="4">
        <v>1935</v>
      </c>
      <c r="BZ12" s="4">
        <v>1590</v>
      </c>
      <c r="CA12" s="4">
        <v>1710</v>
      </c>
      <c r="CB12">
        <v>30708.615518128834</v>
      </c>
      <c r="CC12">
        <v>22175.090187492951</v>
      </c>
      <c r="CD12" t="s">
        <v>687</v>
      </c>
      <c r="CE12">
        <v>15732.131116746499</v>
      </c>
      <c r="CF12" t="s">
        <v>687</v>
      </c>
      <c r="CG12" t="s">
        <v>687</v>
      </c>
      <c r="CH12">
        <v>11</v>
      </c>
      <c r="CI12">
        <v>7</v>
      </c>
      <c r="CJ12">
        <v>0</v>
      </c>
      <c r="CK12">
        <v>1</v>
      </c>
      <c r="CL12">
        <v>0</v>
      </c>
      <c r="CM12">
        <v>0</v>
      </c>
      <c r="CN12">
        <v>41917260.182245858</v>
      </c>
      <c r="CO12">
        <v>1365</v>
      </c>
      <c r="CP12">
        <v>6319900.7034354908</v>
      </c>
      <c r="CQ12">
        <v>285</v>
      </c>
      <c r="CR12">
        <v>0</v>
      </c>
      <c r="CS12">
        <v>0</v>
      </c>
      <c r="CT12">
        <v>2359819.6675119749</v>
      </c>
      <c r="CU12">
        <v>150</v>
      </c>
      <c r="CV12">
        <v>0</v>
      </c>
      <c r="CW12">
        <v>0</v>
      </c>
      <c r="CX12">
        <v>0</v>
      </c>
      <c r="CY12">
        <v>0</v>
      </c>
      <c r="CZ12" s="246">
        <v>0.12822822822822824</v>
      </c>
      <c r="DA12" s="246">
        <v>1.859580782786125</v>
      </c>
      <c r="DB12" s="123">
        <v>70111011.330000013</v>
      </c>
      <c r="DC12" s="174">
        <v>84.1</v>
      </c>
      <c r="DD12" s="174">
        <v>7.3</v>
      </c>
      <c r="DE12" s="174">
        <v>2.8</v>
      </c>
      <c r="DF12" s="174">
        <v>60</v>
      </c>
      <c r="DG12" s="174">
        <v>15.4</v>
      </c>
      <c r="DH12" s="174">
        <v>8</v>
      </c>
      <c r="DI12" s="174">
        <v>94.2</v>
      </c>
      <c r="DJ12" s="174">
        <v>83.4</v>
      </c>
    </row>
    <row r="13" spans="1:114" x14ac:dyDescent="0.45">
      <c r="A13">
        <v>211</v>
      </c>
      <c r="B13" s="247">
        <v>2.1866757423636501E-2</v>
      </c>
      <c r="C13" s="169">
        <v>-7.4874500127627003E-3</v>
      </c>
      <c r="D13" s="169">
        <v>4.1573971078976597E-2</v>
      </c>
      <c r="E13" s="169">
        <v>1.72413793103448E-2</v>
      </c>
      <c r="F13" s="206">
        <v>4451</v>
      </c>
      <c r="G13" s="206">
        <v>6246</v>
      </c>
      <c r="H13" s="206">
        <v>120</v>
      </c>
      <c r="I13" s="206">
        <v>0</v>
      </c>
      <c r="J13" s="189">
        <v>0.133706900379329</v>
      </c>
      <c r="K13" s="189">
        <v>0.145153767568551</v>
      </c>
      <c r="L13" s="206">
        <v>10</v>
      </c>
      <c r="M13" s="206">
        <v>410</v>
      </c>
      <c r="N13" s="4">
        <v>0</v>
      </c>
      <c r="O13" s="4">
        <v>0</v>
      </c>
      <c r="P13" s="4">
        <v>0</v>
      </c>
      <c r="Q13" s="4">
        <v>0</v>
      </c>
      <c r="R13" s="4">
        <v>0</v>
      </c>
      <c r="S13" s="4">
        <v>8635</v>
      </c>
      <c r="T13" s="4">
        <v>17608</v>
      </c>
      <c r="U13" s="4">
        <v>210</v>
      </c>
      <c r="V13" s="4">
        <v>0</v>
      </c>
      <c r="W13" s="4">
        <v>0</v>
      </c>
      <c r="X13" s="4" t="s">
        <v>709</v>
      </c>
      <c r="Y13" s="4" t="s">
        <v>709</v>
      </c>
      <c r="Z13" s="4">
        <v>0</v>
      </c>
      <c r="AA13" s="4">
        <v>0</v>
      </c>
      <c r="AB13" s="4">
        <v>0</v>
      </c>
      <c r="AC13" s="4">
        <v>0</v>
      </c>
      <c r="AD13" s="4">
        <v>0</v>
      </c>
      <c r="AE13" s="4">
        <v>9219</v>
      </c>
      <c r="AF13" s="4">
        <v>9428</v>
      </c>
      <c r="AG13" s="4">
        <v>1189</v>
      </c>
      <c r="AH13" s="4">
        <v>600</v>
      </c>
      <c r="AI13" s="4">
        <v>800</v>
      </c>
      <c r="AJ13" s="4" t="s">
        <v>709</v>
      </c>
      <c r="AK13" s="4" t="s">
        <v>709</v>
      </c>
      <c r="AL13" s="4">
        <v>0</v>
      </c>
      <c r="AM13" s="4">
        <v>0</v>
      </c>
      <c r="AN13" s="4">
        <v>0</v>
      </c>
      <c r="AO13" s="4">
        <v>0</v>
      </c>
      <c r="AP13" s="4">
        <v>0</v>
      </c>
      <c r="AQ13" s="4">
        <v>0</v>
      </c>
      <c r="AR13" s="4" t="s">
        <v>709</v>
      </c>
      <c r="AS13" s="4" t="s">
        <v>709</v>
      </c>
      <c r="AT13" s="4">
        <v>5089</v>
      </c>
      <c r="AU13" s="4">
        <v>6170</v>
      </c>
      <c r="AV13" s="4">
        <v>3663</v>
      </c>
      <c r="AW13" s="4">
        <v>4314</v>
      </c>
      <c r="AX13" s="4">
        <v>0</v>
      </c>
      <c r="AY13" s="4">
        <v>2000</v>
      </c>
      <c r="AZ13" s="4">
        <v>0</v>
      </c>
      <c r="BA13" s="4">
        <v>0</v>
      </c>
      <c r="BB13" s="4">
        <v>0</v>
      </c>
      <c r="BC13" s="4">
        <v>0</v>
      </c>
      <c r="BD13" s="4">
        <v>0</v>
      </c>
      <c r="BE13" s="4">
        <v>0</v>
      </c>
      <c r="BF13" s="4" t="s">
        <v>709</v>
      </c>
      <c r="BG13" s="4" t="s">
        <v>709</v>
      </c>
      <c r="BH13" s="4">
        <v>5363</v>
      </c>
      <c r="BI13" s="4">
        <v>8598</v>
      </c>
      <c r="BJ13" s="4">
        <v>11066</v>
      </c>
      <c r="BK13" s="4">
        <v>0</v>
      </c>
      <c r="BL13" s="4">
        <v>0</v>
      </c>
      <c r="BM13" s="4">
        <v>1426</v>
      </c>
      <c r="BN13" s="4">
        <v>0</v>
      </c>
      <c r="BO13" s="4">
        <v>0</v>
      </c>
      <c r="BP13" s="4">
        <v>0</v>
      </c>
      <c r="BQ13" s="4">
        <v>0</v>
      </c>
      <c r="BR13" s="4">
        <v>0</v>
      </c>
      <c r="BS13" s="4">
        <v>0</v>
      </c>
      <c r="BT13" s="4" t="s">
        <v>709</v>
      </c>
      <c r="BU13" s="4" t="s">
        <v>709</v>
      </c>
      <c r="BV13" s="4">
        <v>7705</v>
      </c>
      <c r="BW13" s="4">
        <v>2205</v>
      </c>
      <c r="BX13" s="4">
        <v>12338</v>
      </c>
      <c r="BY13" s="4">
        <v>2779</v>
      </c>
      <c r="BZ13" s="4">
        <v>0</v>
      </c>
      <c r="CA13" s="4">
        <v>1426</v>
      </c>
      <c r="CB13">
        <v>11487.449290675297</v>
      </c>
      <c r="CC13" t="s">
        <v>687</v>
      </c>
      <c r="CD13" t="s">
        <v>687</v>
      </c>
      <c r="CE13" t="s">
        <v>687</v>
      </c>
      <c r="CF13" t="s">
        <v>687</v>
      </c>
      <c r="CG13" t="s">
        <v>687</v>
      </c>
      <c r="CH13">
        <v>1</v>
      </c>
      <c r="CI13">
        <v>0</v>
      </c>
      <c r="CJ13">
        <v>0</v>
      </c>
      <c r="CK13">
        <v>0</v>
      </c>
      <c r="CL13">
        <v>0</v>
      </c>
      <c r="CM13">
        <v>0</v>
      </c>
      <c r="CN13">
        <v>5422076.06519874</v>
      </c>
      <c r="CO13">
        <v>472</v>
      </c>
      <c r="CP13">
        <v>0</v>
      </c>
      <c r="CQ13">
        <v>0</v>
      </c>
      <c r="CR13">
        <v>0</v>
      </c>
      <c r="CS13">
        <v>0</v>
      </c>
      <c r="CT13">
        <v>0</v>
      </c>
      <c r="CU13">
        <v>0</v>
      </c>
      <c r="CV13">
        <v>0</v>
      </c>
      <c r="CW13">
        <v>0</v>
      </c>
      <c r="CX13">
        <v>0</v>
      </c>
      <c r="CY13">
        <v>0</v>
      </c>
      <c r="CZ13" s="246">
        <v>0.12551279546786481</v>
      </c>
      <c r="DA13" s="246">
        <v>0.16896578598706258</v>
      </c>
      <c r="DB13" s="123">
        <v>88102446.469999999</v>
      </c>
      <c r="DC13" s="174">
        <v>91.7</v>
      </c>
      <c r="DD13" s="174">
        <v>4.5</v>
      </c>
      <c r="DE13" s="174">
        <v>1.3</v>
      </c>
      <c r="DF13" s="174">
        <v>67.400000000000006</v>
      </c>
      <c r="DG13" s="174">
        <v>14</v>
      </c>
      <c r="DH13" s="174">
        <v>6.8</v>
      </c>
      <c r="DI13" s="174">
        <v>97.5</v>
      </c>
      <c r="DJ13" s="174">
        <v>88.3</v>
      </c>
    </row>
    <row r="14" spans="1:114" x14ac:dyDescent="0.45">
      <c r="A14">
        <v>212</v>
      </c>
      <c r="B14" s="247">
        <v>4.4131858692150798E-2</v>
      </c>
      <c r="C14" s="169">
        <v>6.65736067862128E-3</v>
      </c>
      <c r="D14" s="169">
        <v>1.65716698332278E-2</v>
      </c>
      <c r="E14" s="169">
        <v>3.4832172260924601E-3</v>
      </c>
      <c r="F14" s="206">
        <v>6137</v>
      </c>
      <c r="G14" s="206">
        <v>1430</v>
      </c>
      <c r="H14" s="206">
        <v>100</v>
      </c>
      <c r="I14" s="206">
        <v>0</v>
      </c>
      <c r="J14" s="189">
        <v>0.19026196891366501</v>
      </c>
      <c r="K14" s="189">
        <v>0.136466360721647</v>
      </c>
      <c r="L14" s="206">
        <v>225</v>
      </c>
      <c r="M14" s="206">
        <v>844</v>
      </c>
      <c r="N14" s="4">
        <v>0</v>
      </c>
      <c r="O14" s="4">
        <v>0</v>
      </c>
      <c r="P14" s="4">
        <v>0</v>
      </c>
      <c r="Q14" s="4">
        <v>0</v>
      </c>
      <c r="R14" s="4">
        <v>0</v>
      </c>
      <c r="S14" s="4">
        <v>7680</v>
      </c>
      <c r="T14" s="4">
        <v>13269</v>
      </c>
      <c r="U14" s="4">
        <v>839</v>
      </c>
      <c r="V14" s="4">
        <v>0</v>
      </c>
      <c r="W14" s="4">
        <v>0</v>
      </c>
      <c r="X14" s="4" t="s">
        <v>709</v>
      </c>
      <c r="Y14" s="4" t="s">
        <v>709</v>
      </c>
      <c r="Z14" s="4">
        <v>0</v>
      </c>
      <c r="AA14" s="4">
        <v>0</v>
      </c>
      <c r="AB14" s="4">
        <v>0</v>
      </c>
      <c r="AC14" s="4">
        <v>0</v>
      </c>
      <c r="AD14" s="4">
        <v>0</v>
      </c>
      <c r="AE14" s="4">
        <v>4600</v>
      </c>
      <c r="AF14" s="4">
        <v>8775</v>
      </c>
      <c r="AG14" s="4">
        <v>1260</v>
      </c>
      <c r="AH14" s="4">
        <v>0</v>
      </c>
      <c r="AI14" s="4">
        <v>0</v>
      </c>
      <c r="AJ14" s="4" t="s">
        <v>709</v>
      </c>
      <c r="AK14" s="4" t="s">
        <v>709</v>
      </c>
      <c r="AL14" s="4">
        <v>0</v>
      </c>
      <c r="AM14" s="4">
        <v>0</v>
      </c>
      <c r="AN14" s="4">
        <v>0</v>
      </c>
      <c r="AO14" s="4">
        <v>0</v>
      </c>
      <c r="AP14" s="4">
        <v>0</v>
      </c>
      <c r="AQ14" s="4">
        <v>0</v>
      </c>
      <c r="AR14" s="4" t="s">
        <v>709</v>
      </c>
      <c r="AS14" s="4" t="s">
        <v>709</v>
      </c>
      <c r="AT14" s="4">
        <v>5800</v>
      </c>
      <c r="AU14" s="4">
        <v>5350</v>
      </c>
      <c r="AV14" s="4">
        <v>3485</v>
      </c>
      <c r="AW14" s="4">
        <v>0</v>
      </c>
      <c r="AX14" s="4">
        <v>0</v>
      </c>
      <c r="AY14" s="4">
        <v>0</v>
      </c>
      <c r="AZ14" s="4">
        <v>0</v>
      </c>
      <c r="BA14" s="4">
        <v>0</v>
      </c>
      <c r="BB14" s="4">
        <v>0</v>
      </c>
      <c r="BC14" s="4">
        <v>0</v>
      </c>
      <c r="BD14" s="4">
        <v>0</v>
      </c>
      <c r="BE14" s="4">
        <v>0</v>
      </c>
      <c r="BF14" s="4" t="s">
        <v>709</v>
      </c>
      <c r="BG14" s="4" t="s">
        <v>709</v>
      </c>
      <c r="BH14" s="4">
        <v>2572</v>
      </c>
      <c r="BI14" s="4">
        <v>3082</v>
      </c>
      <c r="BJ14" s="4">
        <v>12523</v>
      </c>
      <c r="BK14" s="4">
        <v>1245</v>
      </c>
      <c r="BL14" s="4">
        <v>0</v>
      </c>
      <c r="BM14" s="4">
        <v>2366</v>
      </c>
      <c r="BN14" s="4">
        <v>0</v>
      </c>
      <c r="BO14" s="4">
        <v>0</v>
      </c>
      <c r="BP14" s="4">
        <v>0</v>
      </c>
      <c r="BQ14" s="4">
        <v>0</v>
      </c>
      <c r="BR14" s="4">
        <v>0</v>
      </c>
      <c r="BS14" s="4">
        <v>0</v>
      </c>
      <c r="BT14" s="4" t="s">
        <v>709</v>
      </c>
      <c r="BU14" s="4" t="s">
        <v>709</v>
      </c>
      <c r="BV14" s="4">
        <v>1740</v>
      </c>
      <c r="BW14" s="4">
        <v>4743</v>
      </c>
      <c r="BX14" s="4">
        <v>11679</v>
      </c>
      <c r="BY14" s="4">
        <v>840</v>
      </c>
      <c r="BZ14" s="4">
        <v>420</v>
      </c>
      <c r="CA14" s="4">
        <v>2366</v>
      </c>
      <c r="CB14">
        <v>26563.36339334572</v>
      </c>
      <c r="CC14">
        <v>9472.0882042933299</v>
      </c>
      <c r="CD14">
        <v>11780.886338151771</v>
      </c>
      <c r="CE14">
        <v>20780.624518798224</v>
      </c>
      <c r="CF14" t="s">
        <v>687</v>
      </c>
      <c r="CG14" t="s">
        <v>687</v>
      </c>
      <c r="CH14">
        <v>2</v>
      </c>
      <c r="CI14">
        <v>3</v>
      </c>
      <c r="CJ14">
        <v>2</v>
      </c>
      <c r="CK14">
        <v>1</v>
      </c>
      <c r="CL14">
        <v>0</v>
      </c>
      <c r="CM14">
        <v>0</v>
      </c>
      <c r="CN14">
        <v>11953513.527005574</v>
      </c>
      <c r="CO14">
        <v>450</v>
      </c>
      <c r="CP14">
        <v>710406.61532199977</v>
      </c>
      <c r="CQ14">
        <v>75</v>
      </c>
      <c r="CR14">
        <v>10508550.613631381</v>
      </c>
      <c r="CS14">
        <v>892</v>
      </c>
      <c r="CT14">
        <v>11969639.722827777</v>
      </c>
      <c r="CU14">
        <v>576</v>
      </c>
      <c r="CV14">
        <v>0</v>
      </c>
      <c r="CW14">
        <v>0</v>
      </c>
      <c r="CX14">
        <v>0</v>
      </c>
      <c r="CY14">
        <v>0</v>
      </c>
      <c r="CZ14" s="246">
        <v>0.21180155990282573</v>
      </c>
      <c r="DA14" s="246">
        <v>0.2996579526020034</v>
      </c>
      <c r="DB14" s="123">
        <v>62105498.010000005</v>
      </c>
      <c r="DC14" s="174">
        <v>75.400000000000006</v>
      </c>
      <c r="DD14" s="174">
        <v>9.6</v>
      </c>
      <c r="DE14" s="174">
        <v>5.4</v>
      </c>
      <c r="DF14" s="174">
        <v>60.9</v>
      </c>
      <c r="DG14" s="174">
        <v>16.100000000000001</v>
      </c>
      <c r="DH14" s="174">
        <v>8.5</v>
      </c>
      <c r="DI14" s="174">
        <v>90.5</v>
      </c>
      <c r="DJ14" s="174">
        <v>85.4</v>
      </c>
    </row>
    <row r="15" spans="1:114" x14ac:dyDescent="0.45">
      <c r="A15">
        <v>213</v>
      </c>
      <c r="B15" s="247">
        <v>0.10743117367004799</v>
      </c>
      <c r="C15" s="169">
        <v>3.5706892982819302E-2</v>
      </c>
      <c r="D15" s="169">
        <v>4.7877249653899397E-2</v>
      </c>
      <c r="E15" s="169">
        <v>5.76834333179511E-3</v>
      </c>
      <c r="F15" s="206">
        <v>0</v>
      </c>
      <c r="G15" s="206">
        <v>2795</v>
      </c>
      <c r="H15" s="206">
        <v>0</v>
      </c>
      <c r="I15" s="206">
        <v>100</v>
      </c>
      <c r="J15" s="189">
        <v>0.23561574632874799</v>
      </c>
      <c r="K15" s="189">
        <v>2.2752813819169299E-2</v>
      </c>
      <c r="L15" s="206">
        <v>150</v>
      </c>
      <c r="M15" s="206">
        <v>470</v>
      </c>
      <c r="N15" s="4">
        <v>30</v>
      </c>
      <c r="O15" s="4">
        <v>0</v>
      </c>
      <c r="P15" s="4">
        <v>0</v>
      </c>
      <c r="Q15" s="4">
        <v>0</v>
      </c>
      <c r="R15" s="4">
        <v>0</v>
      </c>
      <c r="S15" s="4">
        <v>3760</v>
      </c>
      <c r="T15" s="4">
        <v>7318</v>
      </c>
      <c r="U15" s="4">
        <v>630</v>
      </c>
      <c r="V15" s="4">
        <v>0</v>
      </c>
      <c r="W15" s="4">
        <v>0</v>
      </c>
      <c r="X15" s="4">
        <v>1</v>
      </c>
      <c r="Y15" s="4">
        <v>1</v>
      </c>
      <c r="Z15" s="4">
        <v>0</v>
      </c>
      <c r="AA15" s="4">
        <v>0</v>
      </c>
      <c r="AB15" s="4">
        <v>0</v>
      </c>
      <c r="AC15" s="4">
        <v>0</v>
      </c>
      <c r="AD15" s="4">
        <v>0</v>
      </c>
      <c r="AE15" s="4">
        <v>7973</v>
      </c>
      <c r="AF15" s="4">
        <v>1720</v>
      </c>
      <c r="AG15" s="4">
        <v>0</v>
      </c>
      <c r="AH15" s="4">
        <v>0</v>
      </c>
      <c r="AI15" s="4">
        <v>550</v>
      </c>
      <c r="AJ15" s="4" t="s">
        <v>709</v>
      </c>
      <c r="AK15" s="4" t="s">
        <v>709</v>
      </c>
      <c r="AL15" s="4">
        <v>0</v>
      </c>
      <c r="AM15" s="4">
        <v>0</v>
      </c>
      <c r="AN15" s="4">
        <v>0</v>
      </c>
      <c r="AO15" s="4">
        <v>0</v>
      </c>
      <c r="AP15" s="4">
        <v>0</v>
      </c>
      <c r="AQ15" s="4">
        <v>0</v>
      </c>
      <c r="AR15" s="4" t="s">
        <v>709</v>
      </c>
      <c r="AS15" s="4" t="s">
        <v>709</v>
      </c>
      <c r="AT15" s="4">
        <v>5030</v>
      </c>
      <c r="AU15" s="4">
        <v>2043</v>
      </c>
      <c r="AV15" s="4">
        <v>2620</v>
      </c>
      <c r="AW15" s="4">
        <v>0</v>
      </c>
      <c r="AX15" s="4">
        <v>0</v>
      </c>
      <c r="AY15" s="4">
        <v>550</v>
      </c>
      <c r="AZ15" s="4">
        <v>30</v>
      </c>
      <c r="BA15" s="4">
        <v>0</v>
      </c>
      <c r="BB15" s="4">
        <v>0</v>
      </c>
      <c r="BC15" s="4">
        <v>0</v>
      </c>
      <c r="BD15" s="4">
        <v>0</v>
      </c>
      <c r="BE15" s="4">
        <v>0</v>
      </c>
      <c r="BF15" s="4">
        <v>1</v>
      </c>
      <c r="BG15" s="4">
        <v>1</v>
      </c>
      <c r="BH15" s="4">
        <v>3109</v>
      </c>
      <c r="BI15" s="4">
        <v>1290</v>
      </c>
      <c r="BJ15" s="4">
        <v>6125</v>
      </c>
      <c r="BK15" s="4">
        <v>584</v>
      </c>
      <c r="BL15" s="4">
        <v>0</v>
      </c>
      <c r="BM15" s="4">
        <v>600</v>
      </c>
      <c r="BN15" s="4">
        <v>30</v>
      </c>
      <c r="BO15" s="4">
        <v>0</v>
      </c>
      <c r="BP15" s="4">
        <v>0</v>
      </c>
      <c r="BQ15" s="4">
        <v>0</v>
      </c>
      <c r="BR15" s="4">
        <v>0</v>
      </c>
      <c r="BS15" s="4">
        <v>0</v>
      </c>
      <c r="BT15" s="4">
        <v>1</v>
      </c>
      <c r="BU15" s="4">
        <v>1</v>
      </c>
      <c r="BV15" s="4">
        <v>2528</v>
      </c>
      <c r="BW15" s="4">
        <v>1421</v>
      </c>
      <c r="BX15" s="4">
        <v>6739</v>
      </c>
      <c r="BY15" s="4">
        <v>0</v>
      </c>
      <c r="BZ15" s="4">
        <v>420</v>
      </c>
      <c r="CA15" s="4">
        <v>600</v>
      </c>
      <c r="CB15">
        <v>18349.739064024776</v>
      </c>
      <c r="CC15" t="s">
        <v>687</v>
      </c>
      <c r="CD15" t="s">
        <v>687</v>
      </c>
      <c r="CE15" t="s">
        <v>687</v>
      </c>
      <c r="CF15" t="s">
        <v>687</v>
      </c>
      <c r="CG15" t="s">
        <v>687</v>
      </c>
      <c r="CH15">
        <v>1</v>
      </c>
      <c r="CI15">
        <v>0</v>
      </c>
      <c r="CJ15">
        <v>0</v>
      </c>
      <c r="CK15">
        <v>0</v>
      </c>
      <c r="CL15">
        <v>0</v>
      </c>
      <c r="CM15">
        <v>0</v>
      </c>
      <c r="CN15">
        <v>3853445.2034452031</v>
      </c>
      <c r="CO15">
        <v>210</v>
      </c>
      <c r="CP15">
        <v>0</v>
      </c>
      <c r="CQ15">
        <v>0</v>
      </c>
      <c r="CR15">
        <v>0</v>
      </c>
      <c r="CS15">
        <v>0</v>
      </c>
      <c r="CT15">
        <v>0</v>
      </c>
      <c r="CU15">
        <v>0</v>
      </c>
      <c r="CV15">
        <v>0</v>
      </c>
      <c r="CW15">
        <v>0</v>
      </c>
      <c r="CX15">
        <v>0</v>
      </c>
      <c r="CY15">
        <v>0</v>
      </c>
      <c r="CZ15" s="246">
        <v>-9.9048185603807251E-2</v>
      </c>
      <c r="DA15" s="246">
        <v>1.1630740393626993</v>
      </c>
      <c r="DB15" s="123">
        <v>28720662.600000001</v>
      </c>
      <c r="DC15" s="174">
        <v>87.3</v>
      </c>
      <c r="DD15" s="174">
        <v>6.6</v>
      </c>
      <c r="DE15" s="174">
        <v>2.4</v>
      </c>
      <c r="DF15" s="174">
        <v>65.3</v>
      </c>
      <c r="DG15" s="174">
        <v>14.8</v>
      </c>
      <c r="DH15" s="174">
        <v>7.5</v>
      </c>
      <c r="DI15" s="174">
        <v>96.4</v>
      </c>
      <c r="DJ15" s="174">
        <v>87.6</v>
      </c>
    </row>
    <row r="16" spans="1:114" x14ac:dyDescent="0.45">
      <c r="A16">
        <v>301</v>
      </c>
      <c r="B16" s="247">
        <v>0.10012375743542699</v>
      </c>
      <c r="C16" s="169">
        <v>2.8344444888019502E-2</v>
      </c>
      <c r="D16" s="169">
        <v>9.4244288224956105E-2</v>
      </c>
      <c r="E16" s="169">
        <v>1.3620386643233701E-2</v>
      </c>
      <c r="F16" s="206">
        <v>8789</v>
      </c>
      <c r="G16" s="206">
        <v>10419</v>
      </c>
      <c r="H16" s="206">
        <v>420</v>
      </c>
      <c r="I16" s="206">
        <v>0</v>
      </c>
      <c r="J16" s="189">
        <v>0.13514991272122101</v>
      </c>
      <c r="K16" s="189">
        <v>0.19595358224425799</v>
      </c>
      <c r="L16" s="206">
        <v>840</v>
      </c>
      <c r="M16" s="206">
        <v>900</v>
      </c>
      <c r="N16" s="4">
        <v>124</v>
      </c>
      <c r="O16" s="4">
        <v>0</v>
      </c>
      <c r="P16" s="4">
        <v>0</v>
      </c>
      <c r="Q16" s="4">
        <v>0</v>
      </c>
      <c r="R16" s="4">
        <v>0</v>
      </c>
      <c r="S16" s="4">
        <v>2876</v>
      </c>
      <c r="T16" s="4">
        <v>23626</v>
      </c>
      <c r="U16" s="4">
        <v>1740</v>
      </c>
      <c r="V16" s="4">
        <v>0</v>
      </c>
      <c r="W16" s="4">
        <v>0</v>
      </c>
      <c r="X16" s="4">
        <v>1</v>
      </c>
      <c r="Y16" s="4">
        <v>1</v>
      </c>
      <c r="Z16" s="4">
        <v>0</v>
      </c>
      <c r="AA16" s="4">
        <v>726</v>
      </c>
      <c r="AB16" s="4">
        <v>0</v>
      </c>
      <c r="AC16" s="4">
        <v>0</v>
      </c>
      <c r="AD16" s="4">
        <v>0</v>
      </c>
      <c r="AE16" s="4">
        <v>2088</v>
      </c>
      <c r="AF16" s="4">
        <v>16829</v>
      </c>
      <c r="AG16" s="4">
        <v>2641</v>
      </c>
      <c r="AH16" s="4">
        <v>0</v>
      </c>
      <c r="AI16" s="4">
        <v>0</v>
      </c>
      <c r="AJ16" s="4">
        <v>1</v>
      </c>
      <c r="AK16" s="4">
        <v>1</v>
      </c>
      <c r="AL16" s="4">
        <v>0</v>
      </c>
      <c r="AM16" s="4">
        <v>586</v>
      </c>
      <c r="AN16" s="4">
        <v>140</v>
      </c>
      <c r="AO16" s="4">
        <v>0</v>
      </c>
      <c r="AP16" s="4">
        <v>0</v>
      </c>
      <c r="AQ16" s="4">
        <v>0</v>
      </c>
      <c r="AR16" s="4">
        <v>0.80716253443526198</v>
      </c>
      <c r="AS16" s="4">
        <v>33</v>
      </c>
      <c r="AT16" s="4">
        <v>3468</v>
      </c>
      <c r="AU16" s="4">
        <v>7748</v>
      </c>
      <c r="AV16" s="4">
        <v>5187</v>
      </c>
      <c r="AW16" s="4">
        <v>0</v>
      </c>
      <c r="AX16" s="4">
        <v>2041</v>
      </c>
      <c r="AY16" s="4">
        <v>3114</v>
      </c>
      <c r="AZ16" s="4">
        <v>0</v>
      </c>
      <c r="BA16" s="4">
        <v>124</v>
      </c>
      <c r="BB16" s="4">
        <v>0</v>
      </c>
      <c r="BC16" s="4">
        <v>0</v>
      </c>
      <c r="BD16" s="4">
        <v>0</v>
      </c>
      <c r="BE16" s="4">
        <v>0</v>
      </c>
      <c r="BF16" s="4">
        <v>1</v>
      </c>
      <c r="BG16" s="4">
        <v>1</v>
      </c>
      <c r="BH16" s="4">
        <v>2550</v>
      </c>
      <c r="BI16" s="4">
        <v>10108</v>
      </c>
      <c r="BJ16" s="4">
        <v>8096</v>
      </c>
      <c r="BK16" s="4">
        <v>3498</v>
      </c>
      <c r="BL16" s="4">
        <v>0</v>
      </c>
      <c r="BM16" s="4">
        <v>3990</v>
      </c>
      <c r="BN16" s="4">
        <v>0</v>
      </c>
      <c r="BO16" s="4">
        <v>124</v>
      </c>
      <c r="BP16" s="4">
        <v>0</v>
      </c>
      <c r="BQ16" s="4">
        <v>0</v>
      </c>
      <c r="BR16" s="4">
        <v>0</v>
      </c>
      <c r="BS16" s="4">
        <v>0</v>
      </c>
      <c r="BT16" s="4">
        <v>1</v>
      </c>
      <c r="BU16" s="4">
        <v>1</v>
      </c>
      <c r="BV16" s="4">
        <v>2255</v>
      </c>
      <c r="BW16" s="4">
        <v>4466</v>
      </c>
      <c r="BX16" s="4">
        <v>13883</v>
      </c>
      <c r="BY16" s="4">
        <v>3168</v>
      </c>
      <c r="BZ16" s="4">
        <v>480</v>
      </c>
      <c r="CA16" s="4">
        <v>3990</v>
      </c>
      <c r="CB16">
        <v>20274.534320507966</v>
      </c>
      <c r="CC16">
        <v>9331.1512084204351</v>
      </c>
      <c r="CD16" t="s">
        <v>687</v>
      </c>
      <c r="CE16">
        <v>22397.467184252317</v>
      </c>
      <c r="CF16" t="s">
        <v>687</v>
      </c>
      <c r="CG16" t="s">
        <v>687</v>
      </c>
      <c r="CH16">
        <v>6</v>
      </c>
      <c r="CI16">
        <v>2</v>
      </c>
      <c r="CJ16">
        <v>0</v>
      </c>
      <c r="CK16">
        <v>3</v>
      </c>
      <c r="CL16">
        <v>0</v>
      </c>
      <c r="CM16">
        <v>0</v>
      </c>
      <c r="CN16">
        <v>27330072.264044739</v>
      </c>
      <c r="CO16">
        <v>1348</v>
      </c>
      <c r="CP16">
        <v>559869.07250522613</v>
      </c>
      <c r="CQ16">
        <v>60</v>
      </c>
      <c r="CR16">
        <v>0</v>
      </c>
      <c r="CS16">
        <v>0</v>
      </c>
      <c r="CT16">
        <v>52813227.620466962</v>
      </c>
      <c r="CU16">
        <v>2358</v>
      </c>
      <c r="CV16">
        <v>0</v>
      </c>
      <c r="CW16">
        <v>0</v>
      </c>
      <c r="CX16">
        <v>0</v>
      </c>
      <c r="CY16">
        <v>0</v>
      </c>
      <c r="CZ16" s="246">
        <v>0.48565158676569886</v>
      </c>
      <c r="DA16" s="246">
        <v>0.48940677966101692</v>
      </c>
      <c r="DB16" s="123">
        <v>194835734.56999999</v>
      </c>
      <c r="DC16" s="174">
        <v>94.9</v>
      </c>
      <c r="DD16" s="174">
        <v>3.3</v>
      </c>
      <c r="DE16" s="174">
        <v>0.7</v>
      </c>
      <c r="DF16" s="174">
        <v>73.099999999999994</v>
      </c>
      <c r="DG16" s="174">
        <v>11.3</v>
      </c>
      <c r="DH16" s="174">
        <v>5.2</v>
      </c>
      <c r="DI16" s="174">
        <v>98.9</v>
      </c>
      <c r="DJ16" s="174">
        <v>89.6</v>
      </c>
    </row>
    <row r="17" spans="1:114" x14ac:dyDescent="0.45">
      <c r="A17">
        <v>302</v>
      </c>
      <c r="B17" s="247">
        <v>5.6646825396825397E-2</v>
      </c>
      <c r="C17" s="169">
        <v>9.7222222222222206E-3</v>
      </c>
      <c r="D17" s="169">
        <v>2.54138266796495E-2</v>
      </c>
      <c r="E17" s="169">
        <v>2.6971762414800399E-2</v>
      </c>
      <c r="F17" s="206">
        <v>6235</v>
      </c>
      <c r="G17" s="206">
        <v>6913</v>
      </c>
      <c r="H17" s="206">
        <v>40</v>
      </c>
      <c r="I17" s="206">
        <v>0</v>
      </c>
      <c r="J17" s="189">
        <v>8.3438399134912494E-2</v>
      </c>
      <c r="K17" s="189">
        <v>9.4929633617410802E-2</v>
      </c>
      <c r="L17" s="206">
        <v>315</v>
      </c>
      <c r="M17" s="206">
        <v>840</v>
      </c>
      <c r="N17" s="4">
        <v>0</v>
      </c>
      <c r="O17" s="4">
        <v>0</v>
      </c>
      <c r="P17" s="4">
        <v>0</v>
      </c>
      <c r="Q17" s="4">
        <v>0</v>
      </c>
      <c r="R17" s="4">
        <v>0</v>
      </c>
      <c r="S17" s="4">
        <v>10086</v>
      </c>
      <c r="T17" s="4">
        <v>20912</v>
      </c>
      <c r="U17" s="4">
        <v>1525</v>
      </c>
      <c r="V17" s="4">
        <v>0</v>
      </c>
      <c r="W17" s="4">
        <v>0</v>
      </c>
      <c r="X17" s="4" t="s">
        <v>709</v>
      </c>
      <c r="Y17" s="4" t="s">
        <v>709</v>
      </c>
      <c r="Z17" s="4">
        <v>60</v>
      </c>
      <c r="AA17" s="4">
        <v>270</v>
      </c>
      <c r="AB17" s="4">
        <v>0</v>
      </c>
      <c r="AC17" s="4">
        <v>0</v>
      </c>
      <c r="AD17" s="4">
        <v>900</v>
      </c>
      <c r="AE17" s="4">
        <v>9484</v>
      </c>
      <c r="AF17" s="4">
        <v>18069</v>
      </c>
      <c r="AG17" s="4">
        <v>0</v>
      </c>
      <c r="AH17" s="4">
        <v>0</v>
      </c>
      <c r="AI17" s="4">
        <v>747</v>
      </c>
      <c r="AJ17" s="4">
        <v>1</v>
      </c>
      <c r="AK17" s="4">
        <v>1</v>
      </c>
      <c r="AL17" s="4">
        <v>60</v>
      </c>
      <c r="AM17" s="4">
        <v>270</v>
      </c>
      <c r="AN17" s="4">
        <v>0</v>
      </c>
      <c r="AO17" s="4">
        <v>0</v>
      </c>
      <c r="AP17" s="4">
        <v>0</v>
      </c>
      <c r="AQ17" s="4">
        <v>900</v>
      </c>
      <c r="AR17" s="4">
        <v>1</v>
      </c>
      <c r="AS17" s="4">
        <v>1</v>
      </c>
      <c r="AT17" s="4">
        <v>20076</v>
      </c>
      <c r="AU17" s="4">
        <v>2948</v>
      </c>
      <c r="AV17" s="4">
        <v>3714</v>
      </c>
      <c r="AW17" s="4">
        <v>815</v>
      </c>
      <c r="AX17" s="4">
        <v>0</v>
      </c>
      <c r="AY17" s="4">
        <v>747</v>
      </c>
      <c r="AZ17" s="4">
        <v>0</v>
      </c>
      <c r="BA17" s="4">
        <v>0</v>
      </c>
      <c r="BB17" s="4">
        <v>0</v>
      </c>
      <c r="BC17" s="4">
        <v>0</v>
      </c>
      <c r="BD17" s="4">
        <v>0</v>
      </c>
      <c r="BE17" s="4">
        <v>0</v>
      </c>
      <c r="BF17" s="4" t="s">
        <v>709</v>
      </c>
      <c r="BG17" s="4" t="s">
        <v>709</v>
      </c>
      <c r="BH17" s="4">
        <v>8099</v>
      </c>
      <c r="BI17" s="4">
        <v>8281</v>
      </c>
      <c r="BJ17" s="4">
        <v>9942</v>
      </c>
      <c r="BK17" s="4">
        <v>1053</v>
      </c>
      <c r="BL17" s="4">
        <v>0</v>
      </c>
      <c r="BM17" s="4">
        <v>5148</v>
      </c>
      <c r="BN17" s="4">
        <v>0</v>
      </c>
      <c r="BO17" s="4">
        <v>0</v>
      </c>
      <c r="BP17" s="4">
        <v>0</v>
      </c>
      <c r="BQ17" s="4">
        <v>0</v>
      </c>
      <c r="BR17" s="4">
        <v>0</v>
      </c>
      <c r="BS17" s="4">
        <v>0</v>
      </c>
      <c r="BT17" s="4" t="s">
        <v>709</v>
      </c>
      <c r="BU17" s="4" t="s">
        <v>709</v>
      </c>
      <c r="BV17" s="4">
        <v>8514</v>
      </c>
      <c r="BW17" s="4">
        <v>4202</v>
      </c>
      <c r="BX17" s="4">
        <v>14086</v>
      </c>
      <c r="BY17" s="4">
        <v>573</v>
      </c>
      <c r="BZ17" s="4">
        <v>0</v>
      </c>
      <c r="CA17" s="4">
        <v>5148</v>
      </c>
      <c r="CB17">
        <v>16636.635596450673</v>
      </c>
      <c r="CC17">
        <v>7448.6256849959491</v>
      </c>
      <c r="CD17">
        <v>24683.411622932093</v>
      </c>
      <c r="CE17" t="s">
        <v>687</v>
      </c>
      <c r="CF17" t="s">
        <v>687</v>
      </c>
      <c r="CG17" t="s">
        <v>687</v>
      </c>
      <c r="CH17">
        <v>4</v>
      </c>
      <c r="CI17">
        <v>9</v>
      </c>
      <c r="CJ17">
        <v>2</v>
      </c>
      <c r="CK17">
        <v>0</v>
      </c>
      <c r="CL17">
        <v>0</v>
      </c>
      <c r="CM17">
        <v>0</v>
      </c>
      <c r="CN17">
        <v>10730629.959710684</v>
      </c>
      <c r="CO17">
        <v>645</v>
      </c>
      <c r="CP17">
        <v>2011128.9349489063</v>
      </c>
      <c r="CQ17">
        <v>270</v>
      </c>
      <c r="CR17">
        <v>20734065.763262957</v>
      </c>
      <c r="CS17">
        <v>840</v>
      </c>
      <c r="CT17">
        <v>0</v>
      </c>
      <c r="CU17">
        <v>0</v>
      </c>
      <c r="CV17">
        <v>0</v>
      </c>
      <c r="CW17">
        <v>0</v>
      </c>
      <c r="CX17">
        <v>0</v>
      </c>
      <c r="CY17">
        <v>0</v>
      </c>
      <c r="CZ17" s="246">
        <v>0.25867792303594117</v>
      </c>
      <c r="DA17" s="246">
        <v>0.45152390118703883</v>
      </c>
      <c r="DB17" s="123">
        <v>112361168.95</v>
      </c>
      <c r="DC17" s="174">
        <v>85.2</v>
      </c>
      <c r="DD17" s="174">
        <v>7.8</v>
      </c>
      <c r="DE17" s="174">
        <v>2.6</v>
      </c>
      <c r="DF17" s="174">
        <v>67.099999999999994</v>
      </c>
      <c r="DG17" s="174">
        <v>12.6</v>
      </c>
      <c r="DH17" s="174">
        <v>5.6</v>
      </c>
      <c r="DI17" s="174">
        <v>95.6</v>
      </c>
      <c r="DJ17" s="174">
        <v>85.3</v>
      </c>
    </row>
    <row r="18" spans="1:114" x14ac:dyDescent="0.45">
      <c r="A18">
        <v>303</v>
      </c>
      <c r="B18" s="247">
        <v>4.3588264015269197E-2</v>
      </c>
      <c r="C18" s="169">
        <v>5.2643259798482001E-2</v>
      </c>
      <c r="D18" s="169">
        <v>6.9634773981521694E-2</v>
      </c>
      <c r="E18" s="169">
        <v>4.1731258138525497E-2</v>
      </c>
      <c r="F18" s="206">
        <v>3759</v>
      </c>
      <c r="G18" s="206">
        <v>1908</v>
      </c>
      <c r="H18" s="206">
        <v>0</v>
      </c>
      <c r="I18" s="206">
        <v>0</v>
      </c>
      <c r="J18" s="189">
        <v>7.3001836823875593E-2</v>
      </c>
      <c r="K18" s="189">
        <v>9.4188465218262504E-2</v>
      </c>
      <c r="L18" s="206">
        <v>420</v>
      </c>
      <c r="M18" s="206">
        <v>0</v>
      </c>
      <c r="N18" s="4">
        <v>0</v>
      </c>
      <c r="O18" s="4">
        <v>150</v>
      </c>
      <c r="P18" s="4">
        <v>0</v>
      </c>
      <c r="Q18" s="4">
        <v>0</v>
      </c>
      <c r="R18" s="4">
        <v>0</v>
      </c>
      <c r="S18" s="4">
        <v>3128</v>
      </c>
      <c r="T18" s="4">
        <v>18225</v>
      </c>
      <c r="U18" s="4">
        <v>1680</v>
      </c>
      <c r="V18" s="4">
        <v>0</v>
      </c>
      <c r="W18" s="4">
        <v>0</v>
      </c>
      <c r="X18" s="4">
        <v>1</v>
      </c>
      <c r="Y18" s="4">
        <v>1</v>
      </c>
      <c r="Z18" s="4">
        <v>80</v>
      </c>
      <c r="AA18" s="4">
        <v>0</v>
      </c>
      <c r="AB18" s="4">
        <v>0</v>
      </c>
      <c r="AC18" s="4">
        <v>0</v>
      </c>
      <c r="AD18" s="4">
        <v>0</v>
      </c>
      <c r="AE18" s="4">
        <v>5500</v>
      </c>
      <c r="AF18" s="4">
        <v>7394</v>
      </c>
      <c r="AG18" s="4">
        <v>4065</v>
      </c>
      <c r="AH18" s="4">
        <v>2100</v>
      </c>
      <c r="AI18" s="4">
        <v>0</v>
      </c>
      <c r="AJ18" s="4">
        <v>1</v>
      </c>
      <c r="AK18" s="4">
        <v>1</v>
      </c>
      <c r="AL18" s="4">
        <v>0</v>
      </c>
      <c r="AM18" s="4">
        <v>80</v>
      </c>
      <c r="AN18" s="4">
        <v>0</v>
      </c>
      <c r="AO18" s="4">
        <v>0</v>
      </c>
      <c r="AP18" s="4">
        <v>0</v>
      </c>
      <c r="AQ18" s="4">
        <v>0</v>
      </c>
      <c r="AR18" s="4">
        <v>1</v>
      </c>
      <c r="AS18" s="4">
        <v>1</v>
      </c>
      <c r="AT18" s="4">
        <v>2600</v>
      </c>
      <c r="AU18" s="4">
        <v>4144</v>
      </c>
      <c r="AV18" s="4">
        <v>4800</v>
      </c>
      <c r="AW18" s="4">
        <v>2215</v>
      </c>
      <c r="AX18" s="4">
        <v>5300</v>
      </c>
      <c r="AY18" s="4">
        <v>0</v>
      </c>
      <c r="AZ18" s="4">
        <v>0</v>
      </c>
      <c r="BA18" s="4">
        <v>0</v>
      </c>
      <c r="BB18" s="4">
        <v>150</v>
      </c>
      <c r="BC18" s="4">
        <v>0</v>
      </c>
      <c r="BD18" s="4">
        <v>0</v>
      </c>
      <c r="BE18" s="4">
        <v>0</v>
      </c>
      <c r="BF18" s="4">
        <v>0</v>
      </c>
      <c r="BG18" s="4">
        <v>68</v>
      </c>
      <c r="BH18" s="4">
        <v>210</v>
      </c>
      <c r="BI18" s="4">
        <v>1530</v>
      </c>
      <c r="BJ18" s="4">
        <v>13598</v>
      </c>
      <c r="BK18" s="4">
        <v>4605</v>
      </c>
      <c r="BL18" s="4">
        <v>1050</v>
      </c>
      <c r="BM18" s="4">
        <v>2040</v>
      </c>
      <c r="BN18" s="4">
        <v>0</v>
      </c>
      <c r="BO18" s="4">
        <v>0</v>
      </c>
      <c r="BP18" s="4">
        <v>150</v>
      </c>
      <c r="BQ18" s="4">
        <v>0</v>
      </c>
      <c r="BR18" s="4">
        <v>0</v>
      </c>
      <c r="BS18" s="4">
        <v>0</v>
      </c>
      <c r="BT18" s="4">
        <v>0</v>
      </c>
      <c r="BU18" s="4">
        <v>69</v>
      </c>
      <c r="BV18" s="4">
        <v>210</v>
      </c>
      <c r="BW18" s="4">
        <v>3600</v>
      </c>
      <c r="BX18" s="4">
        <v>12053</v>
      </c>
      <c r="BY18" s="4">
        <v>1680</v>
      </c>
      <c r="BZ18" s="4">
        <v>3450</v>
      </c>
      <c r="CA18" s="4">
        <v>2040</v>
      </c>
      <c r="CB18">
        <v>14665.22436874073</v>
      </c>
      <c r="CC18">
        <v>6407.8577537351603</v>
      </c>
      <c r="CD18" t="s">
        <v>687</v>
      </c>
      <c r="CE18" t="s">
        <v>687</v>
      </c>
      <c r="CF18" t="s">
        <v>687</v>
      </c>
      <c r="CG18" t="s">
        <v>687</v>
      </c>
      <c r="CH18">
        <v>1</v>
      </c>
      <c r="CI18">
        <v>3</v>
      </c>
      <c r="CJ18">
        <v>0</v>
      </c>
      <c r="CK18">
        <v>0</v>
      </c>
      <c r="CL18">
        <v>0</v>
      </c>
      <c r="CM18">
        <v>0</v>
      </c>
      <c r="CN18">
        <v>439956.73106222192</v>
      </c>
      <c r="CO18">
        <v>30</v>
      </c>
      <c r="CP18">
        <v>576707.19783616439</v>
      </c>
      <c r="CQ18">
        <v>90</v>
      </c>
      <c r="CR18">
        <v>0</v>
      </c>
      <c r="CS18">
        <v>0</v>
      </c>
      <c r="CT18">
        <v>0</v>
      </c>
      <c r="CU18">
        <v>0</v>
      </c>
      <c r="CV18">
        <v>0</v>
      </c>
      <c r="CW18">
        <v>0</v>
      </c>
      <c r="CX18">
        <v>0</v>
      </c>
      <c r="CY18">
        <v>0</v>
      </c>
      <c r="CZ18" s="246">
        <v>0.22511657822801093</v>
      </c>
      <c r="DA18" s="246">
        <v>0.17483380165855664</v>
      </c>
      <c r="DB18" s="123">
        <v>57825284.169999994</v>
      </c>
      <c r="DC18" s="174">
        <v>89.9</v>
      </c>
      <c r="DD18" s="174">
        <v>6.5</v>
      </c>
      <c r="DE18" s="174">
        <v>1.9</v>
      </c>
      <c r="DF18" s="174">
        <v>68.599999999999994</v>
      </c>
      <c r="DG18" s="174">
        <v>13.9</v>
      </c>
      <c r="DH18" s="174">
        <v>6</v>
      </c>
      <c r="DI18" s="174">
        <v>98.3</v>
      </c>
      <c r="DJ18" s="174">
        <v>88.5</v>
      </c>
    </row>
    <row r="19" spans="1:114" x14ac:dyDescent="0.45">
      <c r="A19">
        <v>304</v>
      </c>
      <c r="B19" s="247">
        <v>8.5698027314112302E-2</v>
      </c>
      <c r="C19" s="169">
        <v>-5.4628224582701102E-3</v>
      </c>
      <c r="D19" s="169">
        <v>4.43932706454295E-2</v>
      </c>
      <c r="E19" s="169">
        <v>5.6291178916394796E-3</v>
      </c>
      <c r="F19" s="206">
        <v>7347</v>
      </c>
      <c r="G19" s="206">
        <v>4864</v>
      </c>
      <c r="H19" s="206">
        <v>100</v>
      </c>
      <c r="I19" s="206">
        <v>130</v>
      </c>
      <c r="J19" s="189">
        <v>0.12044672376899999</v>
      </c>
      <c r="K19" s="189">
        <v>9.8153396189631703E-2</v>
      </c>
      <c r="L19" s="206">
        <v>0</v>
      </c>
      <c r="M19" s="206">
        <v>240</v>
      </c>
      <c r="N19" s="4">
        <v>240</v>
      </c>
      <c r="O19" s="4">
        <v>309</v>
      </c>
      <c r="P19" s="4">
        <v>0</v>
      </c>
      <c r="Q19" s="4">
        <v>0</v>
      </c>
      <c r="R19" s="4">
        <v>0</v>
      </c>
      <c r="S19" s="4">
        <v>5581</v>
      </c>
      <c r="T19" s="4">
        <v>21183</v>
      </c>
      <c r="U19" s="4">
        <v>1466</v>
      </c>
      <c r="V19" s="4">
        <v>0</v>
      </c>
      <c r="W19" s="4">
        <v>840</v>
      </c>
      <c r="X19" s="4">
        <v>1</v>
      </c>
      <c r="Y19" s="4">
        <v>1</v>
      </c>
      <c r="Z19" s="4">
        <v>0</v>
      </c>
      <c r="AA19" s="4">
        <v>270</v>
      </c>
      <c r="AB19" s="4">
        <v>0</v>
      </c>
      <c r="AC19" s="4">
        <v>0</v>
      </c>
      <c r="AD19" s="4">
        <v>0</v>
      </c>
      <c r="AE19" s="4">
        <v>6231</v>
      </c>
      <c r="AF19" s="4">
        <v>14063</v>
      </c>
      <c r="AG19" s="4">
        <v>1750</v>
      </c>
      <c r="AH19" s="4">
        <v>0</v>
      </c>
      <c r="AI19" s="4">
        <v>0</v>
      </c>
      <c r="AJ19" s="4">
        <v>1</v>
      </c>
      <c r="AK19" s="4">
        <v>1</v>
      </c>
      <c r="AL19" s="4">
        <v>0</v>
      </c>
      <c r="AM19" s="4">
        <v>270</v>
      </c>
      <c r="AN19" s="4">
        <v>0</v>
      </c>
      <c r="AO19" s="4">
        <v>0</v>
      </c>
      <c r="AP19" s="4">
        <v>0</v>
      </c>
      <c r="AQ19" s="4">
        <v>0</v>
      </c>
      <c r="AR19" s="4">
        <v>1</v>
      </c>
      <c r="AS19" s="4">
        <v>1</v>
      </c>
      <c r="AT19" s="4">
        <v>6029</v>
      </c>
      <c r="AU19" s="4">
        <v>11003</v>
      </c>
      <c r="AV19" s="4">
        <v>2350</v>
      </c>
      <c r="AW19" s="4">
        <v>0</v>
      </c>
      <c r="AX19" s="4">
        <v>0</v>
      </c>
      <c r="AY19" s="4">
        <v>2662</v>
      </c>
      <c r="AZ19" s="4">
        <v>529</v>
      </c>
      <c r="BA19" s="4">
        <v>0</v>
      </c>
      <c r="BB19" s="4">
        <v>20</v>
      </c>
      <c r="BC19" s="4">
        <v>0</v>
      </c>
      <c r="BD19" s="4">
        <v>0</v>
      </c>
      <c r="BE19" s="4">
        <v>0</v>
      </c>
      <c r="BF19" s="4">
        <v>0.96357012750455395</v>
      </c>
      <c r="BG19" s="4">
        <v>13</v>
      </c>
      <c r="BH19" s="4">
        <v>7091</v>
      </c>
      <c r="BI19" s="4">
        <v>8558</v>
      </c>
      <c r="BJ19" s="4">
        <v>9877</v>
      </c>
      <c r="BK19" s="4">
        <v>420</v>
      </c>
      <c r="BL19" s="4">
        <v>0</v>
      </c>
      <c r="BM19" s="4">
        <v>3124</v>
      </c>
      <c r="BN19" s="4">
        <v>240</v>
      </c>
      <c r="BO19" s="4">
        <v>289</v>
      </c>
      <c r="BP19" s="4">
        <v>0</v>
      </c>
      <c r="BQ19" s="4">
        <v>0</v>
      </c>
      <c r="BR19" s="4">
        <v>20</v>
      </c>
      <c r="BS19" s="4">
        <v>0</v>
      </c>
      <c r="BT19" s="4">
        <v>0.96357012750455395</v>
      </c>
      <c r="BU19" s="4">
        <v>13</v>
      </c>
      <c r="BV19" s="4">
        <v>2987</v>
      </c>
      <c r="BW19" s="4">
        <v>6051</v>
      </c>
      <c r="BX19" s="4">
        <v>15042</v>
      </c>
      <c r="BY19" s="4">
        <v>1256</v>
      </c>
      <c r="BZ19" s="4">
        <v>610</v>
      </c>
      <c r="CA19" s="4">
        <v>3124</v>
      </c>
      <c r="CB19">
        <v>24064.861139069399</v>
      </c>
      <c r="CC19">
        <v>6784.0786645217049</v>
      </c>
      <c r="CD19" t="s">
        <v>687</v>
      </c>
      <c r="CE19" t="s">
        <v>687</v>
      </c>
      <c r="CF19" t="s">
        <v>687</v>
      </c>
      <c r="CG19" t="s">
        <v>687</v>
      </c>
      <c r="CH19">
        <v>9</v>
      </c>
      <c r="CI19">
        <v>4</v>
      </c>
      <c r="CJ19">
        <v>0</v>
      </c>
      <c r="CK19">
        <v>0</v>
      </c>
      <c r="CL19">
        <v>0</v>
      </c>
      <c r="CM19">
        <v>0</v>
      </c>
      <c r="CN19">
        <v>21658375.025162458</v>
      </c>
      <c r="CO19">
        <v>900</v>
      </c>
      <c r="CP19">
        <v>1017611.7996782558</v>
      </c>
      <c r="CQ19">
        <v>150</v>
      </c>
      <c r="CR19">
        <v>0</v>
      </c>
      <c r="CS19">
        <v>0</v>
      </c>
      <c r="CT19">
        <v>0</v>
      </c>
      <c r="CU19">
        <v>0</v>
      </c>
      <c r="CV19">
        <v>0</v>
      </c>
      <c r="CW19">
        <v>0</v>
      </c>
      <c r="CX19">
        <v>0</v>
      </c>
      <c r="CY19">
        <v>0</v>
      </c>
      <c r="CZ19" s="246">
        <v>0.21627038352919742</v>
      </c>
      <c r="DA19" s="246">
        <v>0.42249645626615528</v>
      </c>
      <c r="DB19" s="123">
        <v>173322185.12</v>
      </c>
      <c r="DC19" s="174">
        <v>87.6</v>
      </c>
      <c r="DD19" s="174">
        <v>7.1</v>
      </c>
      <c r="DE19" s="174">
        <v>2.1</v>
      </c>
      <c r="DF19" s="174">
        <v>62.4</v>
      </c>
      <c r="DG19" s="174">
        <v>13.8</v>
      </c>
      <c r="DH19" s="174">
        <v>6.2</v>
      </c>
      <c r="DI19" s="174">
        <v>96.8</v>
      </c>
      <c r="DJ19" s="174">
        <v>82.4</v>
      </c>
    </row>
    <row r="20" spans="1:114" x14ac:dyDescent="0.45">
      <c r="A20">
        <v>305</v>
      </c>
      <c r="B20" s="247">
        <v>3.3361502002424999E-2</v>
      </c>
      <c r="C20" s="169">
        <v>-2.7556306720064698E-3</v>
      </c>
      <c r="D20" s="169">
        <v>3.9240506329113897E-2</v>
      </c>
      <c r="E20" s="169">
        <v>1.38665132336018E-2</v>
      </c>
      <c r="F20" s="206">
        <v>6144</v>
      </c>
      <c r="G20" s="206">
        <v>4448</v>
      </c>
      <c r="H20" s="206">
        <v>80</v>
      </c>
      <c r="I20" s="206">
        <v>0</v>
      </c>
      <c r="J20" s="189">
        <v>8.2101095972981902E-2</v>
      </c>
      <c r="K20" s="189">
        <v>5.8626241146790402E-2</v>
      </c>
      <c r="L20" s="206">
        <v>150</v>
      </c>
      <c r="M20" s="206">
        <v>240</v>
      </c>
      <c r="N20" s="4">
        <v>0</v>
      </c>
      <c r="O20" s="4">
        <v>127</v>
      </c>
      <c r="P20" s="4">
        <v>0</v>
      </c>
      <c r="Q20" s="4">
        <v>0</v>
      </c>
      <c r="R20" s="4">
        <v>0</v>
      </c>
      <c r="S20" s="4">
        <v>8199</v>
      </c>
      <c r="T20" s="4">
        <v>21234</v>
      </c>
      <c r="U20" s="4">
        <v>420</v>
      </c>
      <c r="V20" s="4">
        <v>0</v>
      </c>
      <c r="W20" s="4">
        <v>0</v>
      </c>
      <c r="X20" s="4">
        <v>1</v>
      </c>
      <c r="Y20" s="4">
        <v>1</v>
      </c>
      <c r="Z20" s="4">
        <v>259</v>
      </c>
      <c r="AA20" s="4">
        <v>0</v>
      </c>
      <c r="AB20" s="4">
        <v>0</v>
      </c>
      <c r="AC20" s="4">
        <v>0</v>
      </c>
      <c r="AD20" s="4">
        <v>1380</v>
      </c>
      <c r="AE20" s="4">
        <v>7514</v>
      </c>
      <c r="AF20" s="4">
        <v>13775</v>
      </c>
      <c r="AG20" s="4">
        <v>1601</v>
      </c>
      <c r="AH20" s="4">
        <v>1400</v>
      </c>
      <c r="AI20" s="4">
        <v>1200</v>
      </c>
      <c r="AJ20" s="4">
        <v>1</v>
      </c>
      <c r="AK20" s="4">
        <v>1</v>
      </c>
      <c r="AL20" s="4">
        <v>259</v>
      </c>
      <c r="AM20" s="4">
        <v>0</v>
      </c>
      <c r="AN20" s="4">
        <v>0</v>
      </c>
      <c r="AO20" s="4">
        <v>0</v>
      </c>
      <c r="AP20" s="4">
        <v>0</v>
      </c>
      <c r="AQ20" s="4">
        <v>1380</v>
      </c>
      <c r="AR20" s="4">
        <v>1</v>
      </c>
      <c r="AS20" s="4">
        <v>1</v>
      </c>
      <c r="AT20" s="4">
        <v>6234</v>
      </c>
      <c r="AU20" s="4">
        <v>1602</v>
      </c>
      <c r="AV20" s="4">
        <v>10403</v>
      </c>
      <c r="AW20" s="4">
        <v>3022</v>
      </c>
      <c r="AX20" s="4">
        <v>3029</v>
      </c>
      <c r="AY20" s="4">
        <v>1200</v>
      </c>
      <c r="AZ20" s="4">
        <v>0</v>
      </c>
      <c r="BA20" s="4">
        <v>0</v>
      </c>
      <c r="BB20" s="4">
        <v>37</v>
      </c>
      <c r="BC20" s="4">
        <v>90</v>
      </c>
      <c r="BD20" s="4">
        <v>0</v>
      </c>
      <c r="BE20" s="4">
        <v>0</v>
      </c>
      <c r="BF20" s="4">
        <v>0</v>
      </c>
      <c r="BG20" s="4">
        <v>68</v>
      </c>
      <c r="BH20" s="4">
        <v>3489</v>
      </c>
      <c r="BI20" s="4">
        <v>7944</v>
      </c>
      <c r="BJ20" s="4">
        <v>11902</v>
      </c>
      <c r="BK20" s="4">
        <v>1310</v>
      </c>
      <c r="BL20" s="4">
        <v>1395</v>
      </c>
      <c r="BM20" s="4">
        <v>3813</v>
      </c>
      <c r="BN20" s="4">
        <v>0</v>
      </c>
      <c r="BO20" s="4">
        <v>0</v>
      </c>
      <c r="BP20" s="4">
        <v>127</v>
      </c>
      <c r="BQ20" s="4">
        <v>0</v>
      </c>
      <c r="BR20" s="4">
        <v>0</v>
      </c>
      <c r="BS20" s="4">
        <v>0</v>
      </c>
      <c r="BT20" s="4">
        <v>0</v>
      </c>
      <c r="BU20" s="4">
        <v>69</v>
      </c>
      <c r="BV20" s="4">
        <v>3600</v>
      </c>
      <c r="BW20" s="4">
        <v>4487</v>
      </c>
      <c r="BX20" s="4">
        <v>15643</v>
      </c>
      <c r="BY20" s="4">
        <v>1890</v>
      </c>
      <c r="BZ20" s="4">
        <v>420</v>
      </c>
      <c r="CA20" s="4">
        <v>3813</v>
      </c>
      <c r="CB20">
        <v>17591.935706985034</v>
      </c>
      <c r="CC20">
        <v>5983.8804362805804</v>
      </c>
      <c r="CD20" t="s">
        <v>687</v>
      </c>
      <c r="CE20" t="s">
        <v>687</v>
      </c>
      <c r="CF20">
        <v>11466.776362565259</v>
      </c>
      <c r="CG20" t="s">
        <v>687</v>
      </c>
      <c r="CH20">
        <v>11</v>
      </c>
      <c r="CI20">
        <v>17</v>
      </c>
      <c r="CJ20">
        <v>0</v>
      </c>
      <c r="CK20">
        <v>0</v>
      </c>
      <c r="CL20">
        <v>3</v>
      </c>
      <c r="CM20">
        <v>0</v>
      </c>
      <c r="CN20">
        <v>25631450.325077195</v>
      </c>
      <c r="CO20">
        <v>1457</v>
      </c>
      <c r="CP20">
        <v>2956036.9355226066</v>
      </c>
      <c r="CQ20">
        <v>494</v>
      </c>
      <c r="CR20">
        <v>0</v>
      </c>
      <c r="CS20">
        <v>0</v>
      </c>
      <c r="CT20">
        <v>0</v>
      </c>
      <c r="CU20">
        <v>0</v>
      </c>
      <c r="CV20">
        <v>1032009.8726308732</v>
      </c>
      <c r="CW20">
        <v>90</v>
      </c>
      <c r="CX20">
        <v>0</v>
      </c>
      <c r="CY20">
        <v>0</v>
      </c>
      <c r="CZ20" s="246">
        <v>0.19557354460902515</v>
      </c>
      <c r="DA20" s="246">
        <v>0.13588428513801648</v>
      </c>
      <c r="DB20" s="123">
        <v>80010688.320000008</v>
      </c>
      <c r="DC20" s="174">
        <v>86.6</v>
      </c>
      <c r="DD20" s="174">
        <v>7.9</v>
      </c>
      <c r="DE20" s="174">
        <v>2.6</v>
      </c>
      <c r="DF20" s="174">
        <v>73</v>
      </c>
      <c r="DG20" s="174">
        <v>12.7</v>
      </c>
      <c r="DH20" s="174">
        <v>5.3</v>
      </c>
      <c r="DI20" s="174">
        <v>97</v>
      </c>
      <c r="DJ20" s="174">
        <v>91</v>
      </c>
    </row>
    <row r="21" spans="1:114" x14ac:dyDescent="0.45">
      <c r="A21">
        <v>306</v>
      </c>
      <c r="B21" s="247">
        <v>5.3184645078275798E-2</v>
      </c>
      <c r="C21" s="169">
        <v>1.4307159707116801E-2</v>
      </c>
      <c r="D21" s="169">
        <v>5.0599494005059899E-2</v>
      </c>
      <c r="E21" s="169">
        <v>-3.739962600374E-3</v>
      </c>
      <c r="F21" s="206">
        <v>10665</v>
      </c>
      <c r="G21" s="206">
        <v>6449</v>
      </c>
      <c r="H21" s="206">
        <v>50</v>
      </c>
      <c r="I21" s="206">
        <v>10</v>
      </c>
      <c r="J21" s="189">
        <v>0.15939593830399701</v>
      </c>
      <c r="K21" s="189">
        <v>0.14652193921649001</v>
      </c>
      <c r="L21" s="206">
        <v>30</v>
      </c>
      <c r="M21" s="206">
        <v>360</v>
      </c>
      <c r="N21" s="4">
        <v>0</v>
      </c>
      <c r="O21" s="4">
        <v>240</v>
      </c>
      <c r="P21" s="4">
        <v>0</v>
      </c>
      <c r="Q21" s="4">
        <v>0</v>
      </c>
      <c r="R21" s="4">
        <v>0</v>
      </c>
      <c r="S21" s="4">
        <v>9639</v>
      </c>
      <c r="T21" s="4">
        <v>23645</v>
      </c>
      <c r="U21" s="4">
        <v>3714</v>
      </c>
      <c r="V21" s="4">
        <v>0</v>
      </c>
      <c r="W21" s="4">
        <v>0</v>
      </c>
      <c r="X21" s="4">
        <v>1</v>
      </c>
      <c r="Y21" s="4">
        <v>1</v>
      </c>
      <c r="Z21" s="4">
        <v>0</v>
      </c>
      <c r="AA21" s="4">
        <v>0</v>
      </c>
      <c r="AB21" s="4">
        <v>0</v>
      </c>
      <c r="AC21" s="4">
        <v>0</v>
      </c>
      <c r="AD21" s="4">
        <v>1680</v>
      </c>
      <c r="AE21" s="4">
        <v>9029</v>
      </c>
      <c r="AF21" s="4">
        <v>14326</v>
      </c>
      <c r="AG21" s="4">
        <v>2085</v>
      </c>
      <c r="AH21" s="4">
        <v>1200</v>
      </c>
      <c r="AI21" s="4">
        <v>0</v>
      </c>
      <c r="AJ21" s="4" t="s">
        <v>709</v>
      </c>
      <c r="AK21" s="4" t="s">
        <v>709</v>
      </c>
      <c r="AL21" s="4">
        <v>0</v>
      </c>
      <c r="AM21" s="4">
        <v>0</v>
      </c>
      <c r="AN21" s="4">
        <v>0</v>
      </c>
      <c r="AO21" s="4">
        <v>0</v>
      </c>
      <c r="AP21" s="4">
        <v>0</v>
      </c>
      <c r="AQ21" s="4">
        <v>1680</v>
      </c>
      <c r="AR21" s="4" t="s">
        <v>709</v>
      </c>
      <c r="AS21" s="4" t="s">
        <v>709</v>
      </c>
      <c r="AT21" s="4">
        <v>5312</v>
      </c>
      <c r="AU21" s="4">
        <v>5170</v>
      </c>
      <c r="AV21" s="4">
        <v>11375</v>
      </c>
      <c r="AW21" s="4">
        <v>1744</v>
      </c>
      <c r="AX21" s="4">
        <v>0</v>
      </c>
      <c r="AY21" s="4">
        <v>3039</v>
      </c>
      <c r="AZ21" s="4">
        <v>30</v>
      </c>
      <c r="BA21" s="4">
        <v>0</v>
      </c>
      <c r="BB21" s="4">
        <v>210</v>
      </c>
      <c r="BC21" s="4">
        <v>0</v>
      </c>
      <c r="BD21" s="4">
        <v>0</v>
      </c>
      <c r="BE21" s="4">
        <v>0</v>
      </c>
      <c r="BF21" s="4">
        <v>0.125</v>
      </c>
      <c r="BG21" s="4">
        <v>60</v>
      </c>
      <c r="BH21" s="4">
        <v>5110</v>
      </c>
      <c r="BI21" s="4">
        <v>4983</v>
      </c>
      <c r="BJ21" s="4">
        <v>15039</v>
      </c>
      <c r="BK21" s="4">
        <v>4388</v>
      </c>
      <c r="BL21" s="4">
        <v>840</v>
      </c>
      <c r="BM21" s="4">
        <v>6638</v>
      </c>
      <c r="BN21" s="4">
        <v>30</v>
      </c>
      <c r="BO21" s="4">
        <v>0</v>
      </c>
      <c r="BP21" s="4">
        <v>210</v>
      </c>
      <c r="BQ21" s="4">
        <v>0</v>
      </c>
      <c r="BR21" s="4">
        <v>0</v>
      </c>
      <c r="BS21" s="4">
        <v>0</v>
      </c>
      <c r="BT21" s="4">
        <v>0.125</v>
      </c>
      <c r="BU21" s="4">
        <v>57</v>
      </c>
      <c r="BV21" s="4">
        <v>5179</v>
      </c>
      <c r="BW21" s="4">
        <v>4233</v>
      </c>
      <c r="BX21" s="4">
        <v>17065</v>
      </c>
      <c r="BY21" s="4">
        <v>3253</v>
      </c>
      <c r="BZ21" s="4">
        <v>630</v>
      </c>
      <c r="CA21" s="4">
        <v>6638</v>
      </c>
      <c r="CB21">
        <v>23384.589345158005</v>
      </c>
      <c r="CC21">
        <v>15429.970175661007</v>
      </c>
      <c r="CD21">
        <v>22780.852588433099</v>
      </c>
      <c r="CE21" t="s">
        <v>687</v>
      </c>
      <c r="CF21" t="s">
        <v>687</v>
      </c>
      <c r="CG21">
        <v>24175.420423899541</v>
      </c>
      <c r="CH21">
        <v>8</v>
      </c>
      <c r="CI21">
        <v>10</v>
      </c>
      <c r="CJ21">
        <v>3</v>
      </c>
      <c r="CK21">
        <v>0</v>
      </c>
      <c r="CL21">
        <v>0</v>
      </c>
      <c r="CM21">
        <v>1</v>
      </c>
      <c r="CN21">
        <v>44196873.862348631</v>
      </c>
      <c r="CO21">
        <v>1890</v>
      </c>
      <c r="CP21">
        <v>6943486.5790474527</v>
      </c>
      <c r="CQ21">
        <v>450</v>
      </c>
      <c r="CR21">
        <v>25286746.373160742</v>
      </c>
      <c r="CS21">
        <v>1110</v>
      </c>
      <c r="CT21">
        <v>0</v>
      </c>
      <c r="CU21">
        <v>0</v>
      </c>
      <c r="CV21">
        <v>0</v>
      </c>
      <c r="CW21">
        <v>0</v>
      </c>
      <c r="CX21">
        <v>21757878.381509587</v>
      </c>
      <c r="CY21">
        <v>900</v>
      </c>
      <c r="CZ21" s="246">
        <v>0.23141044555916199</v>
      </c>
      <c r="DA21" s="246">
        <v>0.46752772913018098</v>
      </c>
      <c r="DB21" s="123">
        <v>214034544.25</v>
      </c>
      <c r="DC21" s="174">
        <v>83.3</v>
      </c>
      <c r="DD21" s="174">
        <v>9.5</v>
      </c>
      <c r="DE21" s="174">
        <v>2.8</v>
      </c>
      <c r="DF21" s="174">
        <v>62.9</v>
      </c>
      <c r="DG21" s="174">
        <v>14.9</v>
      </c>
      <c r="DH21" s="174">
        <v>7.3</v>
      </c>
      <c r="DI21" s="174">
        <v>95.6</v>
      </c>
      <c r="DJ21" s="174">
        <v>85.1</v>
      </c>
    </row>
    <row r="22" spans="1:114" x14ac:dyDescent="0.45">
      <c r="A22">
        <v>307</v>
      </c>
      <c r="B22" s="247">
        <v>2.1040289222551498E-2</v>
      </c>
      <c r="C22" s="169">
        <v>-7.9145360388235692E-3</v>
      </c>
      <c r="D22" s="169">
        <v>4.3425814234016903E-2</v>
      </c>
      <c r="E22" s="169">
        <v>1.33324868262333E-3</v>
      </c>
      <c r="F22" s="206">
        <v>7365</v>
      </c>
      <c r="G22" s="206">
        <v>7052</v>
      </c>
      <c r="H22" s="206">
        <v>0</v>
      </c>
      <c r="I22" s="206">
        <v>120</v>
      </c>
      <c r="J22" s="189">
        <v>0.12295350788262099</v>
      </c>
      <c r="K22" s="189">
        <v>0.109643071673436</v>
      </c>
      <c r="L22" s="206">
        <v>0</v>
      </c>
      <c r="M22" s="206">
        <v>390</v>
      </c>
      <c r="N22" s="4">
        <v>30</v>
      </c>
      <c r="O22" s="4">
        <v>143</v>
      </c>
      <c r="P22" s="4">
        <v>0</v>
      </c>
      <c r="Q22" s="4">
        <v>0</v>
      </c>
      <c r="R22" s="4">
        <v>0</v>
      </c>
      <c r="S22" s="4">
        <v>6281</v>
      </c>
      <c r="T22" s="4">
        <v>24616</v>
      </c>
      <c r="U22" s="4">
        <v>1623</v>
      </c>
      <c r="V22" s="4">
        <v>0</v>
      </c>
      <c r="W22" s="4">
        <v>0</v>
      </c>
      <c r="X22" s="4">
        <v>1</v>
      </c>
      <c r="Y22" s="4">
        <v>1</v>
      </c>
      <c r="Z22" s="4">
        <v>473</v>
      </c>
      <c r="AA22" s="4">
        <v>322</v>
      </c>
      <c r="AB22" s="4">
        <v>0</v>
      </c>
      <c r="AC22" s="4">
        <v>0</v>
      </c>
      <c r="AD22" s="4">
        <v>1330</v>
      </c>
      <c r="AE22" s="4">
        <v>14241</v>
      </c>
      <c r="AF22" s="4">
        <v>6123</v>
      </c>
      <c r="AG22" s="4">
        <v>0</v>
      </c>
      <c r="AH22" s="4">
        <v>0</v>
      </c>
      <c r="AI22" s="4">
        <v>0</v>
      </c>
      <c r="AJ22" s="4">
        <v>1</v>
      </c>
      <c r="AK22" s="4">
        <v>1</v>
      </c>
      <c r="AL22" s="4">
        <v>473</v>
      </c>
      <c r="AM22" s="4">
        <v>172</v>
      </c>
      <c r="AN22" s="4">
        <v>150</v>
      </c>
      <c r="AO22" s="4">
        <v>0</v>
      </c>
      <c r="AP22" s="4">
        <v>0</v>
      </c>
      <c r="AQ22" s="4">
        <v>1330</v>
      </c>
      <c r="AR22" s="4">
        <v>0.81132075471698095</v>
      </c>
      <c r="AS22" s="4">
        <v>31</v>
      </c>
      <c r="AT22" s="4">
        <v>14154</v>
      </c>
      <c r="AU22" s="4">
        <v>3040</v>
      </c>
      <c r="AV22" s="4">
        <v>2330</v>
      </c>
      <c r="AW22" s="4">
        <v>0</v>
      </c>
      <c r="AX22" s="4">
        <v>0</v>
      </c>
      <c r="AY22" s="4">
        <v>840</v>
      </c>
      <c r="AZ22" s="4">
        <v>30</v>
      </c>
      <c r="BA22" s="4">
        <v>93</v>
      </c>
      <c r="BB22" s="4">
        <v>50</v>
      </c>
      <c r="BC22" s="4">
        <v>0</v>
      </c>
      <c r="BD22" s="4">
        <v>0</v>
      </c>
      <c r="BE22" s="4">
        <v>0</v>
      </c>
      <c r="BF22" s="4">
        <v>0.71098265895953805</v>
      </c>
      <c r="BG22" s="4">
        <v>17</v>
      </c>
      <c r="BH22" s="4">
        <v>6770</v>
      </c>
      <c r="BI22" s="4">
        <v>11731</v>
      </c>
      <c r="BJ22" s="4">
        <v>11027</v>
      </c>
      <c r="BK22" s="4">
        <v>1378</v>
      </c>
      <c r="BL22" s="4">
        <v>0</v>
      </c>
      <c r="BM22" s="4">
        <v>1614</v>
      </c>
      <c r="BN22" s="4">
        <v>30</v>
      </c>
      <c r="BO22" s="4">
        <v>30</v>
      </c>
      <c r="BP22" s="4">
        <v>113</v>
      </c>
      <c r="BQ22" s="4">
        <v>0</v>
      </c>
      <c r="BR22" s="4">
        <v>0</v>
      </c>
      <c r="BS22" s="4">
        <v>0</v>
      </c>
      <c r="BT22" s="4">
        <v>0.34682080924855502</v>
      </c>
      <c r="BU22" s="4">
        <v>32</v>
      </c>
      <c r="BV22" s="4">
        <v>2925</v>
      </c>
      <c r="BW22" s="4">
        <v>9092</v>
      </c>
      <c r="BX22" s="4">
        <v>16740</v>
      </c>
      <c r="BY22" s="4">
        <v>2149</v>
      </c>
      <c r="BZ22" s="4">
        <v>0</v>
      </c>
      <c r="CA22" s="4">
        <v>1614</v>
      </c>
      <c r="CB22">
        <v>17390.736220300838</v>
      </c>
      <c r="CC22">
        <v>19986.249319237315</v>
      </c>
      <c r="CD22" t="s">
        <v>687</v>
      </c>
      <c r="CE22">
        <v>29416.687006165357</v>
      </c>
      <c r="CF22">
        <v>22316.515090077046</v>
      </c>
      <c r="CG22" t="s">
        <v>687</v>
      </c>
      <c r="CH22">
        <v>6</v>
      </c>
      <c r="CI22">
        <v>3</v>
      </c>
      <c r="CJ22">
        <v>0</v>
      </c>
      <c r="CK22">
        <v>2</v>
      </c>
      <c r="CL22">
        <v>1</v>
      </c>
      <c r="CM22">
        <v>0</v>
      </c>
      <c r="CN22">
        <v>12069170.93688878</v>
      </c>
      <c r="CO22">
        <v>694</v>
      </c>
      <c r="CP22">
        <v>2997937.3978855973</v>
      </c>
      <c r="CQ22">
        <v>150</v>
      </c>
      <c r="CR22">
        <v>0</v>
      </c>
      <c r="CS22">
        <v>0</v>
      </c>
      <c r="CT22">
        <v>20297514.034254096</v>
      </c>
      <c r="CU22">
        <v>690</v>
      </c>
      <c r="CV22">
        <v>669495.45270231133</v>
      </c>
      <c r="CW22">
        <v>30</v>
      </c>
      <c r="CX22">
        <v>0</v>
      </c>
      <c r="CY22">
        <v>0</v>
      </c>
      <c r="CZ22" s="246">
        <v>0.20606930490055361</v>
      </c>
      <c r="DA22" s="246">
        <v>0.28836350203176947</v>
      </c>
      <c r="DB22" s="123">
        <v>131777790</v>
      </c>
      <c r="DC22" s="174">
        <v>86.5</v>
      </c>
      <c r="DD22" s="174">
        <v>7.1</v>
      </c>
      <c r="DE22" s="174">
        <v>2.2999999999999998</v>
      </c>
      <c r="DF22" s="174">
        <v>63.8</v>
      </c>
      <c r="DG22" s="174">
        <v>12.5</v>
      </c>
      <c r="DH22" s="174">
        <v>6.2</v>
      </c>
      <c r="DI22" s="174">
        <v>95.8</v>
      </c>
      <c r="DJ22" s="174">
        <v>82.5</v>
      </c>
    </row>
    <row r="23" spans="1:114" x14ac:dyDescent="0.45">
      <c r="A23">
        <v>308</v>
      </c>
      <c r="B23" s="247">
        <v>5.5176103994208602E-2</v>
      </c>
      <c r="C23" s="169">
        <v>2.9901482484026298E-2</v>
      </c>
      <c r="D23" s="169">
        <v>2.1423268639304299E-2</v>
      </c>
      <c r="E23" s="169">
        <v>3.7172552762753198E-2</v>
      </c>
      <c r="F23" s="206">
        <v>6090</v>
      </c>
      <c r="G23" s="206">
        <v>5454</v>
      </c>
      <c r="H23" s="206">
        <v>240</v>
      </c>
      <c r="I23" s="206">
        <v>220</v>
      </c>
      <c r="J23" s="189">
        <v>9.1224106947706898E-2</v>
      </c>
      <c r="K23" s="189">
        <v>0.117928686391571</v>
      </c>
      <c r="L23" s="206">
        <v>0</v>
      </c>
      <c r="M23" s="206">
        <v>368</v>
      </c>
      <c r="N23" s="4">
        <v>0</v>
      </c>
      <c r="O23" s="4">
        <v>0</v>
      </c>
      <c r="P23" s="4">
        <v>0</v>
      </c>
      <c r="Q23" s="4">
        <v>0</v>
      </c>
      <c r="R23" s="4">
        <v>0</v>
      </c>
      <c r="S23" s="4">
        <v>6215</v>
      </c>
      <c r="T23" s="4">
        <v>22185</v>
      </c>
      <c r="U23" s="4">
        <v>5070</v>
      </c>
      <c r="V23" s="4">
        <v>840</v>
      </c>
      <c r="W23" s="4">
        <v>210</v>
      </c>
      <c r="X23" s="4" t="s">
        <v>709</v>
      </c>
      <c r="Y23" s="4" t="s">
        <v>709</v>
      </c>
      <c r="Z23" s="4">
        <v>30</v>
      </c>
      <c r="AA23" s="4">
        <v>83</v>
      </c>
      <c r="AB23" s="4">
        <v>0</v>
      </c>
      <c r="AC23" s="4">
        <v>0</v>
      </c>
      <c r="AD23" s="4">
        <v>0</v>
      </c>
      <c r="AE23" s="4">
        <v>8528</v>
      </c>
      <c r="AF23" s="4">
        <v>16147</v>
      </c>
      <c r="AG23" s="4">
        <v>1365</v>
      </c>
      <c r="AH23" s="4">
        <v>1115</v>
      </c>
      <c r="AI23" s="4">
        <v>0</v>
      </c>
      <c r="AJ23" s="4">
        <v>1</v>
      </c>
      <c r="AK23" s="4">
        <v>1</v>
      </c>
      <c r="AL23" s="4">
        <v>30</v>
      </c>
      <c r="AM23" s="4">
        <v>83</v>
      </c>
      <c r="AN23" s="4">
        <v>0</v>
      </c>
      <c r="AO23" s="4">
        <v>0</v>
      </c>
      <c r="AP23" s="4">
        <v>0</v>
      </c>
      <c r="AQ23" s="4">
        <v>0</v>
      </c>
      <c r="AR23" s="4">
        <v>1</v>
      </c>
      <c r="AS23" s="4">
        <v>1</v>
      </c>
      <c r="AT23" s="4">
        <v>3907</v>
      </c>
      <c r="AU23" s="4">
        <v>6782</v>
      </c>
      <c r="AV23" s="4">
        <v>11188</v>
      </c>
      <c r="AW23" s="4">
        <v>3713</v>
      </c>
      <c r="AX23" s="4">
        <v>1115</v>
      </c>
      <c r="AY23" s="4">
        <v>450</v>
      </c>
      <c r="AZ23" s="4">
        <v>0</v>
      </c>
      <c r="BA23" s="4">
        <v>0</v>
      </c>
      <c r="BB23" s="4">
        <v>0</v>
      </c>
      <c r="BC23" s="4">
        <v>0</v>
      </c>
      <c r="BD23" s="4">
        <v>0</v>
      </c>
      <c r="BE23" s="4">
        <v>0</v>
      </c>
      <c r="BF23" s="4" t="s">
        <v>709</v>
      </c>
      <c r="BG23" s="4" t="s">
        <v>709</v>
      </c>
      <c r="BH23" s="4">
        <v>4350</v>
      </c>
      <c r="BI23" s="4">
        <v>8160</v>
      </c>
      <c r="BJ23" s="4">
        <v>13421</v>
      </c>
      <c r="BK23" s="4">
        <v>1470</v>
      </c>
      <c r="BL23" s="4">
        <v>1015</v>
      </c>
      <c r="BM23" s="4">
        <v>6104</v>
      </c>
      <c r="BN23" s="4">
        <v>0</v>
      </c>
      <c r="BO23" s="4">
        <v>0</v>
      </c>
      <c r="BP23" s="4">
        <v>0</v>
      </c>
      <c r="BQ23" s="4">
        <v>0</v>
      </c>
      <c r="BR23" s="4">
        <v>0</v>
      </c>
      <c r="BS23" s="4">
        <v>0</v>
      </c>
      <c r="BT23" s="4" t="s">
        <v>709</v>
      </c>
      <c r="BU23" s="4" t="s">
        <v>709</v>
      </c>
      <c r="BV23" s="4">
        <v>2100</v>
      </c>
      <c r="BW23" s="4">
        <v>9626</v>
      </c>
      <c r="BX23" s="4">
        <v>11685</v>
      </c>
      <c r="BY23" s="4">
        <v>3570</v>
      </c>
      <c r="BZ23" s="4">
        <v>1435</v>
      </c>
      <c r="CA23" s="4">
        <v>6104</v>
      </c>
      <c r="CB23">
        <v>17445.534673463015</v>
      </c>
      <c r="CC23">
        <v>11391.387770377116</v>
      </c>
      <c r="CD23" t="s">
        <v>687</v>
      </c>
      <c r="CE23" t="s">
        <v>687</v>
      </c>
      <c r="CF23" t="s">
        <v>687</v>
      </c>
      <c r="CG23" t="s">
        <v>687</v>
      </c>
      <c r="CH23">
        <v>4</v>
      </c>
      <c r="CI23">
        <v>3</v>
      </c>
      <c r="CJ23">
        <v>0</v>
      </c>
      <c r="CK23">
        <v>0</v>
      </c>
      <c r="CL23">
        <v>0</v>
      </c>
      <c r="CM23">
        <v>0</v>
      </c>
      <c r="CN23">
        <v>9141460.1688946206</v>
      </c>
      <c r="CO23">
        <v>524</v>
      </c>
      <c r="CP23">
        <v>1025224.8993339404</v>
      </c>
      <c r="CQ23">
        <v>90</v>
      </c>
      <c r="CR23">
        <v>0</v>
      </c>
      <c r="CS23">
        <v>0</v>
      </c>
      <c r="CT23">
        <v>0</v>
      </c>
      <c r="CU23">
        <v>0</v>
      </c>
      <c r="CV23">
        <v>0</v>
      </c>
      <c r="CW23">
        <v>0</v>
      </c>
      <c r="CX23">
        <v>0</v>
      </c>
      <c r="CY23">
        <v>0</v>
      </c>
      <c r="CZ23" s="246">
        <v>0.21355778666867969</v>
      </c>
      <c r="DA23" s="246">
        <v>0.22729945895083509</v>
      </c>
      <c r="DB23" s="123">
        <v>122655077.05</v>
      </c>
      <c r="DC23" s="174">
        <v>86</v>
      </c>
      <c r="DD23" s="174">
        <v>7.1</v>
      </c>
      <c r="DE23" s="174">
        <v>2.7</v>
      </c>
      <c r="DF23" s="174">
        <v>65.5</v>
      </c>
      <c r="DG23" s="174">
        <v>13.6</v>
      </c>
      <c r="DH23" s="174">
        <v>6.4</v>
      </c>
      <c r="DI23" s="174">
        <v>95.8</v>
      </c>
      <c r="DJ23" s="174">
        <v>85.5</v>
      </c>
    </row>
    <row r="24" spans="1:114" x14ac:dyDescent="0.45">
      <c r="A24">
        <v>309</v>
      </c>
      <c r="B24" s="247">
        <v>2.9676934635612301E-2</v>
      </c>
      <c r="C24" s="169">
        <v>-1.07062359128475E-2</v>
      </c>
      <c r="D24" s="169">
        <v>-2.5150180216259501E-2</v>
      </c>
      <c r="E24" s="169">
        <v>2.84341209451342E-2</v>
      </c>
      <c r="F24" s="206">
        <v>2423</v>
      </c>
      <c r="G24" s="206">
        <v>2396</v>
      </c>
      <c r="H24" s="206">
        <v>0</v>
      </c>
      <c r="I24" s="206">
        <v>0</v>
      </c>
      <c r="J24" s="189">
        <v>0.14187345133982501</v>
      </c>
      <c r="K24" s="189">
        <v>9.1202045254749994E-2</v>
      </c>
      <c r="L24" s="206">
        <v>90</v>
      </c>
      <c r="M24" s="206">
        <v>405</v>
      </c>
      <c r="N24" s="4">
        <v>0</v>
      </c>
      <c r="O24" s="4">
        <v>0</v>
      </c>
      <c r="P24" s="4">
        <v>0</v>
      </c>
      <c r="Q24" s="4">
        <v>0</v>
      </c>
      <c r="R24" s="4">
        <v>0</v>
      </c>
      <c r="S24" s="4">
        <v>7002</v>
      </c>
      <c r="T24" s="4">
        <v>16485</v>
      </c>
      <c r="U24" s="4">
        <v>0</v>
      </c>
      <c r="V24" s="4">
        <v>240</v>
      </c>
      <c r="W24" s="4">
        <v>0</v>
      </c>
      <c r="X24" s="4" t="s">
        <v>709</v>
      </c>
      <c r="Y24" s="4" t="s">
        <v>709</v>
      </c>
      <c r="Z24" s="4">
        <v>391</v>
      </c>
      <c r="AA24" s="4">
        <v>1024</v>
      </c>
      <c r="AB24" s="4">
        <v>0</v>
      </c>
      <c r="AC24" s="4">
        <v>0</v>
      </c>
      <c r="AD24" s="4">
        <v>0</v>
      </c>
      <c r="AE24" s="4">
        <v>7700</v>
      </c>
      <c r="AF24" s="4">
        <v>6929</v>
      </c>
      <c r="AG24" s="4">
        <v>0</v>
      </c>
      <c r="AH24" s="4">
        <v>0</v>
      </c>
      <c r="AI24" s="4">
        <v>0</v>
      </c>
      <c r="AJ24" s="4">
        <v>1</v>
      </c>
      <c r="AK24" s="4">
        <v>1</v>
      </c>
      <c r="AL24" s="4">
        <v>174</v>
      </c>
      <c r="AM24" s="4">
        <v>1002</v>
      </c>
      <c r="AN24" s="4">
        <v>0</v>
      </c>
      <c r="AO24" s="4">
        <v>239</v>
      </c>
      <c r="AP24" s="4">
        <v>0</v>
      </c>
      <c r="AQ24" s="4">
        <v>0</v>
      </c>
      <c r="AR24" s="4">
        <v>0.831095406360424</v>
      </c>
      <c r="AS24" s="4">
        <v>30</v>
      </c>
      <c r="AT24" s="4">
        <v>4172</v>
      </c>
      <c r="AU24" s="4">
        <v>4712</v>
      </c>
      <c r="AV24" s="4">
        <v>4665</v>
      </c>
      <c r="AW24" s="4">
        <v>1080</v>
      </c>
      <c r="AX24" s="4">
        <v>0</v>
      </c>
      <c r="AY24" s="4">
        <v>0</v>
      </c>
      <c r="AZ24" s="4">
        <v>0</v>
      </c>
      <c r="BA24" s="4">
        <v>0</v>
      </c>
      <c r="BB24" s="4">
        <v>0</v>
      </c>
      <c r="BC24" s="4">
        <v>0</v>
      </c>
      <c r="BD24" s="4">
        <v>0</v>
      </c>
      <c r="BE24" s="4">
        <v>0</v>
      </c>
      <c r="BF24" s="4" t="s">
        <v>709</v>
      </c>
      <c r="BG24" s="4" t="s">
        <v>709</v>
      </c>
      <c r="BH24" s="4">
        <v>840</v>
      </c>
      <c r="BI24" s="4">
        <v>6120</v>
      </c>
      <c r="BJ24" s="4">
        <v>11409</v>
      </c>
      <c r="BK24" s="4">
        <v>1740</v>
      </c>
      <c r="BL24" s="4">
        <v>1290</v>
      </c>
      <c r="BM24" s="4">
        <v>2328</v>
      </c>
      <c r="BN24" s="4">
        <v>0</v>
      </c>
      <c r="BO24" s="4">
        <v>0</v>
      </c>
      <c r="BP24" s="4">
        <v>0</v>
      </c>
      <c r="BQ24" s="4">
        <v>0</v>
      </c>
      <c r="BR24" s="4">
        <v>0</v>
      </c>
      <c r="BS24" s="4">
        <v>0</v>
      </c>
      <c r="BT24" s="4" t="s">
        <v>709</v>
      </c>
      <c r="BU24" s="4" t="s">
        <v>709</v>
      </c>
      <c r="BV24" s="4">
        <v>2370</v>
      </c>
      <c r="BW24" s="4">
        <v>2310</v>
      </c>
      <c r="BX24" s="4">
        <v>12120</v>
      </c>
      <c r="BY24" s="4">
        <v>3387</v>
      </c>
      <c r="BZ24" s="4">
        <v>1212</v>
      </c>
      <c r="CA24" s="4">
        <v>2328</v>
      </c>
      <c r="CB24">
        <v>19741.36658824714</v>
      </c>
      <c r="CC24">
        <v>12444.504847331698</v>
      </c>
      <c r="CD24" t="s">
        <v>687</v>
      </c>
      <c r="CE24" t="s">
        <v>687</v>
      </c>
      <c r="CF24" t="s">
        <v>687</v>
      </c>
      <c r="CG24" t="s">
        <v>687</v>
      </c>
      <c r="CH24">
        <v>2</v>
      </c>
      <c r="CI24">
        <v>1</v>
      </c>
      <c r="CJ24">
        <v>0</v>
      </c>
      <c r="CK24">
        <v>0</v>
      </c>
      <c r="CL24">
        <v>0</v>
      </c>
      <c r="CM24">
        <v>0</v>
      </c>
      <c r="CN24">
        <v>7106891.9717689697</v>
      </c>
      <c r="CO24">
        <v>360</v>
      </c>
      <c r="CP24">
        <v>373335.14541995095</v>
      </c>
      <c r="CQ24">
        <v>30</v>
      </c>
      <c r="CR24">
        <v>0</v>
      </c>
      <c r="CS24">
        <v>0</v>
      </c>
      <c r="CT24">
        <v>0</v>
      </c>
      <c r="CU24">
        <v>0</v>
      </c>
      <c r="CV24">
        <v>0</v>
      </c>
      <c r="CW24">
        <v>0</v>
      </c>
      <c r="CX24">
        <v>0</v>
      </c>
      <c r="CY24">
        <v>0</v>
      </c>
      <c r="CZ24" s="246">
        <v>4.2693190512624331E-2</v>
      </c>
      <c r="DA24" s="246">
        <v>0.32141426282051283</v>
      </c>
      <c r="DB24" s="123">
        <v>43029994.730000004</v>
      </c>
      <c r="DC24" s="174">
        <v>85.7</v>
      </c>
      <c r="DD24" s="174">
        <v>7.6</v>
      </c>
      <c r="DE24" s="174">
        <v>3.2</v>
      </c>
      <c r="DF24" s="174">
        <v>71.8</v>
      </c>
      <c r="DG24" s="174">
        <v>12.1</v>
      </c>
      <c r="DH24" s="174">
        <v>5.5</v>
      </c>
      <c r="DI24" s="174">
        <v>96.5</v>
      </c>
      <c r="DJ24" s="174">
        <v>89.4</v>
      </c>
    </row>
    <row r="25" spans="1:114" x14ac:dyDescent="0.45">
      <c r="A25">
        <v>310</v>
      </c>
      <c r="B25" s="247">
        <v>5.8260028554322302E-2</v>
      </c>
      <c r="C25" s="169">
        <v>-3.0857090222447402E-3</v>
      </c>
      <c r="D25" s="169">
        <v>1.1957521531900699E-2</v>
      </c>
      <c r="E25" s="169">
        <v>1.10377121832929E-2</v>
      </c>
      <c r="F25" s="206">
        <v>2616</v>
      </c>
      <c r="G25" s="206">
        <v>7839</v>
      </c>
      <c r="H25" s="206">
        <v>240</v>
      </c>
      <c r="I25" s="206">
        <v>500</v>
      </c>
      <c r="J25" s="189">
        <v>9.1823081613233007E-2</v>
      </c>
      <c r="K25" s="189">
        <v>8.5646629553727094E-2</v>
      </c>
      <c r="L25" s="206">
        <v>120</v>
      </c>
      <c r="M25" s="206">
        <v>213</v>
      </c>
      <c r="N25" s="4">
        <v>20</v>
      </c>
      <c r="O25" s="4">
        <v>175</v>
      </c>
      <c r="P25" s="4">
        <v>0</v>
      </c>
      <c r="Q25" s="4">
        <v>0</v>
      </c>
      <c r="R25" s="4">
        <v>0</v>
      </c>
      <c r="S25" s="4">
        <v>10069</v>
      </c>
      <c r="T25" s="4">
        <v>11129</v>
      </c>
      <c r="U25" s="4">
        <v>1260</v>
      </c>
      <c r="V25" s="4">
        <v>0</v>
      </c>
      <c r="W25" s="4">
        <v>420</v>
      </c>
      <c r="X25" s="4">
        <v>1</v>
      </c>
      <c r="Y25" s="4">
        <v>1</v>
      </c>
      <c r="Z25" s="4">
        <v>0</v>
      </c>
      <c r="AA25" s="4">
        <v>0</v>
      </c>
      <c r="AB25" s="4">
        <v>0</v>
      </c>
      <c r="AC25" s="4">
        <v>0</v>
      </c>
      <c r="AD25" s="4">
        <v>0</v>
      </c>
      <c r="AE25" s="4">
        <v>9463</v>
      </c>
      <c r="AF25" s="4">
        <v>5772</v>
      </c>
      <c r="AG25" s="4">
        <v>1280</v>
      </c>
      <c r="AH25" s="4">
        <v>0</v>
      </c>
      <c r="AI25" s="4">
        <v>0</v>
      </c>
      <c r="AJ25" s="4" t="s">
        <v>709</v>
      </c>
      <c r="AK25" s="4" t="s">
        <v>709</v>
      </c>
      <c r="AL25" s="4">
        <v>0</v>
      </c>
      <c r="AM25" s="4">
        <v>0</v>
      </c>
      <c r="AN25" s="4">
        <v>0</v>
      </c>
      <c r="AO25" s="4">
        <v>0</v>
      </c>
      <c r="AP25" s="4">
        <v>0</v>
      </c>
      <c r="AQ25" s="4">
        <v>0</v>
      </c>
      <c r="AR25" s="4" t="s">
        <v>709</v>
      </c>
      <c r="AS25" s="4" t="s">
        <v>709</v>
      </c>
      <c r="AT25" s="4">
        <v>6193</v>
      </c>
      <c r="AU25" s="4">
        <v>2267</v>
      </c>
      <c r="AV25" s="4">
        <v>3855</v>
      </c>
      <c r="AW25" s="4">
        <v>1250</v>
      </c>
      <c r="AX25" s="4">
        <v>0</v>
      </c>
      <c r="AY25" s="4">
        <v>2950</v>
      </c>
      <c r="AZ25" s="4">
        <v>20</v>
      </c>
      <c r="BA25" s="4">
        <v>0</v>
      </c>
      <c r="BB25" s="4">
        <v>175</v>
      </c>
      <c r="BC25" s="4">
        <v>0</v>
      </c>
      <c r="BD25" s="4">
        <v>0</v>
      </c>
      <c r="BE25" s="4">
        <v>0</v>
      </c>
      <c r="BF25" s="4">
        <v>0.102564102564103</v>
      </c>
      <c r="BG25" s="4">
        <v>63</v>
      </c>
      <c r="BH25" s="4">
        <v>5511</v>
      </c>
      <c r="BI25" s="4">
        <v>5669</v>
      </c>
      <c r="BJ25" s="4">
        <v>6579</v>
      </c>
      <c r="BK25" s="4">
        <v>630</v>
      </c>
      <c r="BL25" s="4">
        <v>0</v>
      </c>
      <c r="BM25" s="4">
        <v>4489</v>
      </c>
      <c r="BN25" s="4">
        <v>0</v>
      </c>
      <c r="BO25" s="4">
        <v>20</v>
      </c>
      <c r="BP25" s="4">
        <v>175</v>
      </c>
      <c r="BQ25" s="4">
        <v>0</v>
      </c>
      <c r="BR25" s="4">
        <v>0</v>
      </c>
      <c r="BS25" s="4">
        <v>0</v>
      </c>
      <c r="BT25" s="4">
        <v>0.102564102564103</v>
      </c>
      <c r="BU25" s="4">
        <v>60</v>
      </c>
      <c r="BV25" s="4">
        <v>2964</v>
      </c>
      <c r="BW25" s="4">
        <v>3835</v>
      </c>
      <c r="BX25" s="4">
        <v>10960</v>
      </c>
      <c r="BY25" s="4">
        <v>630</v>
      </c>
      <c r="BZ25" s="4">
        <v>0</v>
      </c>
      <c r="CA25" s="4">
        <v>4489</v>
      </c>
      <c r="CB25">
        <v>16239.219093570508</v>
      </c>
      <c r="CC25">
        <v>24582.932494006789</v>
      </c>
      <c r="CD25" t="s">
        <v>687</v>
      </c>
      <c r="CE25">
        <v>34663.654469038156</v>
      </c>
      <c r="CF25" t="s">
        <v>687</v>
      </c>
      <c r="CG25">
        <v>16702.684954327076</v>
      </c>
      <c r="CH25">
        <v>20</v>
      </c>
      <c r="CI25">
        <v>1</v>
      </c>
      <c r="CJ25">
        <v>0</v>
      </c>
      <c r="CK25">
        <v>1</v>
      </c>
      <c r="CL25">
        <v>0</v>
      </c>
      <c r="CM25">
        <v>1</v>
      </c>
      <c r="CN25">
        <v>54563776.154396906</v>
      </c>
      <c r="CO25">
        <v>3360</v>
      </c>
      <c r="CP25">
        <v>5162415.8237414258</v>
      </c>
      <c r="CQ25">
        <v>210</v>
      </c>
      <c r="CR25">
        <v>0</v>
      </c>
      <c r="CS25">
        <v>0</v>
      </c>
      <c r="CT25">
        <v>6239457.8044268675</v>
      </c>
      <c r="CU25">
        <v>180</v>
      </c>
      <c r="CV25">
        <v>0</v>
      </c>
      <c r="CW25">
        <v>0</v>
      </c>
      <c r="CX25">
        <v>17287278.927728523</v>
      </c>
      <c r="CY25">
        <v>1035</v>
      </c>
      <c r="CZ25" s="246">
        <v>0.31155482041587901</v>
      </c>
      <c r="DA25" s="246">
        <v>0.29943127962085309</v>
      </c>
      <c r="DB25" s="123">
        <v>126068117.71000001</v>
      </c>
      <c r="DC25" s="174">
        <v>84.9</v>
      </c>
      <c r="DD25" s="174">
        <v>7.8</v>
      </c>
      <c r="DE25" s="174">
        <v>2.8</v>
      </c>
      <c r="DF25" s="174">
        <v>64.7</v>
      </c>
      <c r="DG25" s="174">
        <v>13.1</v>
      </c>
      <c r="DH25" s="174">
        <v>6.4</v>
      </c>
      <c r="DI25" s="174">
        <v>95.4</v>
      </c>
      <c r="DJ25" s="174">
        <v>84.2</v>
      </c>
    </row>
    <row r="26" spans="1:114" x14ac:dyDescent="0.45">
      <c r="A26">
        <v>311</v>
      </c>
      <c r="B26" s="247">
        <v>6.9248826291079799E-2</v>
      </c>
      <c r="C26" s="169">
        <v>2.1171903214156702E-2</v>
      </c>
      <c r="D26" s="169">
        <v>9.7189369695283107E-2</v>
      </c>
      <c r="E26" s="169">
        <v>1.5653262835675499E-2</v>
      </c>
      <c r="F26" s="206">
        <v>6101</v>
      </c>
      <c r="G26" s="206">
        <v>1359</v>
      </c>
      <c r="H26" s="206">
        <v>60</v>
      </c>
      <c r="I26" s="206">
        <v>10</v>
      </c>
      <c r="J26" s="189">
        <v>8.88710436422019E-2</v>
      </c>
      <c r="K26" s="189">
        <v>0.153502709032899</v>
      </c>
      <c r="L26" s="206">
        <v>1200</v>
      </c>
      <c r="M26" s="206">
        <v>450</v>
      </c>
      <c r="N26" s="4">
        <v>21</v>
      </c>
      <c r="O26" s="4">
        <v>120</v>
      </c>
      <c r="P26" s="4">
        <v>0</v>
      </c>
      <c r="Q26" s="4">
        <v>0</v>
      </c>
      <c r="R26" s="4">
        <v>0</v>
      </c>
      <c r="S26" s="4">
        <v>4132</v>
      </c>
      <c r="T26" s="4">
        <v>20274</v>
      </c>
      <c r="U26" s="4">
        <v>180</v>
      </c>
      <c r="V26" s="4">
        <v>0</v>
      </c>
      <c r="W26" s="4">
        <v>0</v>
      </c>
      <c r="X26" s="4">
        <v>1</v>
      </c>
      <c r="Y26" s="4">
        <v>1</v>
      </c>
      <c r="Z26" s="4">
        <v>0</v>
      </c>
      <c r="AA26" s="4">
        <v>150</v>
      </c>
      <c r="AB26" s="4">
        <v>300</v>
      </c>
      <c r="AC26" s="4">
        <v>0</v>
      </c>
      <c r="AD26" s="4">
        <v>0</v>
      </c>
      <c r="AE26" s="4">
        <v>1924</v>
      </c>
      <c r="AF26" s="4">
        <v>9924</v>
      </c>
      <c r="AG26" s="4">
        <v>3150</v>
      </c>
      <c r="AH26" s="4">
        <v>0</v>
      </c>
      <c r="AI26" s="4">
        <v>0</v>
      </c>
      <c r="AJ26" s="4">
        <v>0.33333333333333298</v>
      </c>
      <c r="AK26" s="4">
        <v>109</v>
      </c>
      <c r="AL26" s="4">
        <v>0</v>
      </c>
      <c r="AM26" s="4">
        <v>0</v>
      </c>
      <c r="AN26" s="4">
        <v>450</v>
      </c>
      <c r="AO26" s="4">
        <v>0</v>
      </c>
      <c r="AP26" s="4">
        <v>0</v>
      </c>
      <c r="AQ26" s="4">
        <v>0</v>
      </c>
      <c r="AR26" s="4">
        <v>0</v>
      </c>
      <c r="AS26" s="4">
        <v>74</v>
      </c>
      <c r="AT26" s="4">
        <v>881</v>
      </c>
      <c r="AU26" s="4">
        <v>3771</v>
      </c>
      <c r="AV26" s="4">
        <v>5306</v>
      </c>
      <c r="AW26" s="4">
        <v>3890</v>
      </c>
      <c r="AX26" s="4">
        <v>1150</v>
      </c>
      <c r="AY26" s="4">
        <v>0</v>
      </c>
      <c r="AZ26" s="4">
        <v>0</v>
      </c>
      <c r="BA26" s="4">
        <v>21</v>
      </c>
      <c r="BB26" s="4">
        <v>120</v>
      </c>
      <c r="BC26" s="4">
        <v>0</v>
      </c>
      <c r="BD26" s="4">
        <v>0</v>
      </c>
      <c r="BE26" s="4">
        <v>0</v>
      </c>
      <c r="BF26" s="4">
        <v>0.14893617021276601</v>
      </c>
      <c r="BG26" s="4">
        <v>57</v>
      </c>
      <c r="BH26" s="4">
        <v>1766</v>
      </c>
      <c r="BI26" s="4">
        <v>5229</v>
      </c>
      <c r="BJ26" s="4">
        <v>10977</v>
      </c>
      <c r="BK26" s="4">
        <v>2333</v>
      </c>
      <c r="BL26" s="4">
        <v>0</v>
      </c>
      <c r="BM26" s="4">
        <v>4281</v>
      </c>
      <c r="BN26" s="4">
        <v>0</v>
      </c>
      <c r="BO26" s="4">
        <v>0</v>
      </c>
      <c r="BP26" s="4">
        <v>141</v>
      </c>
      <c r="BQ26" s="4">
        <v>0</v>
      </c>
      <c r="BR26" s="4">
        <v>0</v>
      </c>
      <c r="BS26" s="4">
        <v>0</v>
      </c>
      <c r="BT26" s="4">
        <v>0</v>
      </c>
      <c r="BU26" s="4">
        <v>69</v>
      </c>
      <c r="BV26" s="4">
        <v>1106</v>
      </c>
      <c r="BW26" s="4">
        <v>2772</v>
      </c>
      <c r="BX26" s="4">
        <v>12786</v>
      </c>
      <c r="BY26" s="4">
        <v>3281</v>
      </c>
      <c r="BZ26" s="4">
        <v>360</v>
      </c>
      <c r="CA26" s="4">
        <v>4281</v>
      </c>
      <c r="CB26">
        <v>11737.032241121999</v>
      </c>
      <c r="CC26">
        <v>8426.6171690961091</v>
      </c>
      <c r="CD26" t="s">
        <v>687</v>
      </c>
      <c r="CE26" t="s">
        <v>687</v>
      </c>
      <c r="CF26" t="s">
        <v>687</v>
      </c>
      <c r="CG26" t="s">
        <v>687</v>
      </c>
      <c r="CH26">
        <v>11</v>
      </c>
      <c r="CI26">
        <v>8</v>
      </c>
      <c r="CJ26">
        <v>0</v>
      </c>
      <c r="CK26">
        <v>0</v>
      </c>
      <c r="CL26">
        <v>0</v>
      </c>
      <c r="CM26">
        <v>0</v>
      </c>
      <c r="CN26">
        <v>18603196.102178369</v>
      </c>
      <c r="CO26">
        <v>1585</v>
      </c>
      <c r="CP26">
        <v>2527985.1507288329</v>
      </c>
      <c r="CQ26">
        <v>300</v>
      </c>
      <c r="CR26">
        <v>0</v>
      </c>
      <c r="CS26">
        <v>0</v>
      </c>
      <c r="CT26">
        <v>0</v>
      </c>
      <c r="CU26">
        <v>0</v>
      </c>
      <c r="CV26">
        <v>0</v>
      </c>
      <c r="CW26">
        <v>0</v>
      </c>
      <c r="CX26">
        <v>0</v>
      </c>
      <c r="CY26">
        <v>0</v>
      </c>
      <c r="CZ26" s="246">
        <v>0.31456088801828275</v>
      </c>
      <c r="DA26" s="246">
        <v>-3.1994289051852816E-2</v>
      </c>
      <c r="DB26" s="123">
        <v>103005789.97</v>
      </c>
      <c r="DC26" s="174">
        <v>87.5</v>
      </c>
      <c r="DD26" s="174">
        <v>6.9</v>
      </c>
      <c r="DE26" s="174">
        <v>2.2000000000000002</v>
      </c>
      <c r="DF26" s="174">
        <v>76.7</v>
      </c>
      <c r="DG26" s="174">
        <v>11.2</v>
      </c>
      <c r="DH26" s="174">
        <v>4.5</v>
      </c>
      <c r="DI26" s="174">
        <v>96.6</v>
      </c>
      <c r="DJ26" s="174">
        <v>92.4</v>
      </c>
    </row>
    <row r="27" spans="1:114" x14ac:dyDescent="0.45">
      <c r="A27">
        <v>312</v>
      </c>
      <c r="B27" s="247">
        <v>6.1071977687989401E-2</v>
      </c>
      <c r="C27" s="169">
        <v>1.0083312475417499E-2</v>
      </c>
      <c r="D27" s="169">
        <v>5.1339692569414903E-2</v>
      </c>
      <c r="E27" s="169">
        <v>1.7741053526945699E-2</v>
      </c>
      <c r="F27" s="206">
        <v>7867</v>
      </c>
      <c r="G27" s="206">
        <v>3784</v>
      </c>
      <c r="H27" s="206">
        <v>50</v>
      </c>
      <c r="I27" s="206">
        <v>0</v>
      </c>
      <c r="J27" s="189">
        <v>0.14587666665649199</v>
      </c>
      <c r="K27" s="189">
        <v>0.12909660847665699</v>
      </c>
      <c r="L27" s="206">
        <v>150</v>
      </c>
      <c r="M27" s="206">
        <v>522</v>
      </c>
      <c r="N27" s="4">
        <v>0</v>
      </c>
      <c r="O27" s="4">
        <v>390</v>
      </c>
      <c r="P27" s="4">
        <v>0</v>
      </c>
      <c r="Q27" s="4">
        <v>0</v>
      </c>
      <c r="R27" s="4">
        <v>0</v>
      </c>
      <c r="S27" s="4">
        <v>4560</v>
      </c>
      <c r="T27" s="4">
        <v>24412</v>
      </c>
      <c r="U27" s="4">
        <v>2520</v>
      </c>
      <c r="V27" s="4">
        <v>0</v>
      </c>
      <c r="W27" s="4">
        <v>0</v>
      </c>
      <c r="X27" s="4">
        <v>1</v>
      </c>
      <c r="Y27" s="4">
        <v>1</v>
      </c>
      <c r="Z27" s="4">
        <v>0</v>
      </c>
      <c r="AA27" s="4">
        <v>0</v>
      </c>
      <c r="AB27" s="4">
        <v>0</v>
      </c>
      <c r="AC27" s="4">
        <v>0</v>
      </c>
      <c r="AD27" s="4">
        <v>0</v>
      </c>
      <c r="AE27" s="4">
        <v>9621</v>
      </c>
      <c r="AF27" s="4">
        <v>9600</v>
      </c>
      <c r="AG27" s="4">
        <v>4269</v>
      </c>
      <c r="AH27" s="4">
        <v>0</v>
      </c>
      <c r="AI27" s="4">
        <v>0</v>
      </c>
      <c r="AJ27" s="4" t="s">
        <v>709</v>
      </c>
      <c r="AK27" s="4" t="s">
        <v>709</v>
      </c>
      <c r="AL27" s="4">
        <v>0</v>
      </c>
      <c r="AM27" s="4">
        <v>0</v>
      </c>
      <c r="AN27" s="4">
        <v>0</v>
      </c>
      <c r="AO27" s="4">
        <v>0</v>
      </c>
      <c r="AP27" s="4">
        <v>0</v>
      </c>
      <c r="AQ27" s="4">
        <v>0</v>
      </c>
      <c r="AR27" s="4" t="s">
        <v>709</v>
      </c>
      <c r="AS27" s="4" t="s">
        <v>709</v>
      </c>
      <c r="AT27" s="4">
        <v>6468</v>
      </c>
      <c r="AU27" s="4">
        <v>3924</v>
      </c>
      <c r="AV27" s="4">
        <v>8129</v>
      </c>
      <c r="AW27" s="4">
        <v>1629</v>
      </c>
      <c r="AX27" s="4">
        <v>1740</v>
      </c>
      <c r="AY27" s="4">
        <v>1600</v>
      </c>
      <c r="AZ27" s="4">
        <v>0</v>
      </c>
      <c r="BA27" s="4">
        <v>0</v>
      </c>
      <c r="BB27" s="4">
        <v>330</v>
      </c>
      <c r="BC27" s="4">
        <v>0</v>
      </c>
      <c r="BD27" s="4">
        <v>0</v>
      </c>
      <c r="BE27" s="4">
        <v>60</v>
      </c>
      <c r="BF27" s="4">
        <v>0</v>
      </c>
      <c r="BG27" s="4">
        <v>68</v>
      </c>
      <c r="BH27" s="4">
        <v>3930</v>
      </c>
      <c r="BI27" s="4">
        <v>5474</v>
      </c>
      <c r="BJ27" s="4">
        <v>15690</v>
      </c>
      <c r="BK27" s="4">
        <v>660</v>
      </c>
      <c r="BL27" s="4">
        <v>0</v>
      </c>
      <c r="BM27" s="4">
        <v>5738</v>
      </c>
      <c r="BN27" s="4">
        <v>0</v>
      </c>
      <c r="BO27" s="4">
        <v>0</v>
      </c>
      <c r="BP27" s="4">
        <v>330</v>
      </c>
      <c r="BQ27" s="4">
        <v>0</v>
      </c>
      <c r="BR27" s="4">
        <v>0</v>
      </c>
      <c r="BS27" s="4">
        <v>60</v>
      </c>
      <c r="BT27" s="4">
        <v>0</v>
      </c>
      <c r="BU27" s="4">
        <v>69</v>
      </c>
      <c r="BV27" s="4">
        <v>3420</v>
      </c>
      <c r="BW27" s="4">
        <v>3740</v>
      </c>
      <c r="BX27" s="4">
        <v>14784</v>
      </c>
      <c r="BY27" s="4">
        <v>3150</v>
      </c>
      <c r="BZ27" s="4">
        <v>660</v>
      </c>
      <c r="CA27" s="4">
        <v>5738</v>
      </c>
      <c r="CB27" t="s">
        <v>687</v>
      </c>
      <c r="CC27">
        <v>4917.4220003487972</v>
      </c>
      <c r="CD27">
        <v>16601.558619643984</v>
      </c>
      <c r="CE27">
        <v>24461.55151795406</v>
      </c>
      <c r="CF27" t="s">
        <v>687</v>
      </c>
      <c r="CG27" t="s">
        <v>687</v>
      </c>
      <c r="CH27">
        <v>0</v>
      </c>
      <c r="CI27">
        <v>1</v>
      </c>
      <c r="CJ27">
        <v>1</v>
      </c>
      <c r="CK27">
        <v>2</v>
      </c>
      <c r="CL27">
        <v>0</v>
      </c>
      <c r="CM27">
        <v>0</v>
      </c>
      <c r="CN27">
        <v>0</v>
      </c>
      <c r="CO27">
        <v>0</v>
      </c>
      <c r="CP27">
        <v>147522.66001046391</v>
      </c>
      <c r="CQ27">
        <v>30</v>
      </c>
      <c r="CR27">
        <v>10458981.93037571</v>
      </c>
      <c r="CS27">
        <v>630</v>
      </c>
      <c r="CT27">
        <v>14628007.807736527</v>
      </c>
      <c r="CU27">
        <v>598</v>
      </c>
      <c r="CV27">
        <v>0</v>
      </c>
      <c r="CW27">
        <v>0</v>
      </c>
      <c r="CX27">
        <v>0</v>
      </c>
      <c r="CY27">
        <v>0</v>
      </c>
      <c r="CZ27" s="246">
        <v>0.26407591504744693</v>
      </c>
      <c r="DA27" s="246">
        <v>0.37878453038674031</v>
      </c>
      <c r="DB27" s="123">
        <v>113305659.45999999</v>
      </c>
      <c r="DC27" s="174">
        <v>89.4</v>
      </c>
      <c r="DD27" s="174">
        <v>6.4</v>
      </c>
      <c r="DE27" s="174">
        <v>2.1</v>
      </c>
      <c r="DF27" s="174">
        <v>67.900000000000006</v>
      </c>
      <c r="DG27" s="174">
        <v>12.7</v>
      </c>
      <c r="DH27" s="174">
        <v>6.2</v>
      </c>
      <c r="DI27" s="174">
        <v>97.9</v>
      </c>
      <c r="DJ27" s="174">
        <v>86.8</v>
      </c>
    </row>
    <row r="28" spans="1:114" x14ac:dyDescent="0.45">
      <c r="A28">
        <v>313</v>
      </c>
      <c r="B28" s="247">
        <v>-3.5555555555555601E-3</v>
      </c>
      <c r="C28" s="169">
        <v>-6.0529100529100504E-3</v>
      </c>
      <c r="D28" s="169">
        <v>3.3047993264103299E-2</v>
      </c>
      <c r="E28" s="169">
        <v>1.7401066516980101E-2</v>
      </c>
      <c r="F28" s="206">
        <v>6913</v>
      </c>
      <c r="G28" s="206">
        <v>6513</v>
      </c>
      <c r="H28" s="206">
        <v>20</v>
      </c>
      <c r="I28" s="206">
        <v>0</v>
      </c>
      <c r="J28" s="189">
        <v>8.8324653759180305E-2</v>
      </c>
      <c r="K28" s="189">
        <v>9.5253121476478395E-2</v>
      </c>
      <c r="L28" s="206">
        <v>0</v>
      </c>
      <c r="M28" s="206">
        <v>72</v>
      </c>
      <c r="N28" s="4">
        <v>120</v>
      </c>
      <c r="O28" s="4">
        <v>0</v>
      </c>
      <c r="P28" s="4">
        <v>0</v>
      </c>
      <c r="Q28" s="4">
        <v>0</v>
      </c>
      <c r="R28" s="4">
        <v>0</v>
      </c>
      <c r="S28" s="4">
        <v>7720</v>
      </c>
      <c r="T28" s="4">
        <v>16650</v>
      </c>
      <c r="U28" s="4">
        <v>1110</v>
      </c>
      <c r="V28" s="4">
        <v>0</v>
      </c>
      <c r="W28" s="4">
        <v>0</v>
      </c>
      <c r="X28" s="4">
        <v>1</v>
      </c>
      <c r="Y28" s="4">
        <v>1</v>
      </c>
      <c r="Z28" s="4">
        <v>120</v>
      </c>
      <c r="AA28" s="4">
        <v>364</v>
      </c>
      <c r="AB28" s="4">
        <v>100</v>
      </c>
      <c r="AC28" s="4">
        <v>0</v>
      </c>
      <c r="AD28" s="4">
        <v>1260</v>
      </c>
      <c r="AE28" s="4">
        <v>9252</v>
      </c>
      <c r="AF28" s="4">
        <v>7698</v>
      </c>
      <c r="AG28" s="4">
        <v>2596</v>
      </c>
      <c r="AH28" s="4">
        <v>0</v>
      </c>
      <c r="AI28" s="4">
        <v>1050</v>
      </c>
      <c r="AJ28" s="4">
        <v>0.82876712328767099</v>
      </c>
      <c r="AK28" s="4">
        <v>89</v>
      </c>
      <c r="AL28" s="4">
        <v>120</v>
      </c>
      <c r="AM28" s="4">
        <v>0</v>
      </c>
      <c r="AN28" s="4">
        <v>364</v>
      </c>
      <c r="AO28" s="4">
        <v>0</v>
      </c>
      <c r="AP28" s="4">
        <v>0</v>
      </c>
      <c r="AQ28" s="4">
        <v>1360</v>
      </c>
      <c r="AR28" s="4">
        <v>0.247933884297521</v>
      </c>
      <c r="AS28" s="4">
        <v>65</v>
      </c>
      <c r="AT28" s="4">
        <v>10664</v>
      </c>
      <c r="AU28" s="4">
        <v>984</v>
      </c>
      <c r="AV28" s="4">
        <v>4002</v>
      </c>
      <c r="AW28" s="4">
        <v>1596</v>
      </c>
      <c r="AX28" s="4">
        <v>0</v>
      </c>
      <c r="AY28" s="4">
        <v>3350</v>
      </c>
      <c r="AZ28" s="4">
        <v>0</v>
      </c>
      <c r="BA28" s="4">
        <v>120</v>
      </c>
      <c r="BB28" s="4">
        <v>0</v>
      </c>
      <c r="BC28" s="4">
        <v>0</v>
      </c>
      <c r="BD28" s="4">
        <v>0</v>
      </c>
      <c r="BE28" s="4">
        <v>0</v>
      </c>
      <c r="BF28" s="4">
        <v>1</v>
      </c>
      <c r="BG28" s="4">
        <v>1</v>
      </c>
      <c r="BH28" s="4">
        <v>2730</v>
      </c>
      <c r="BI28" s="4">
        <v>8320</v>
      </c>
      <c r="BJ28" s="4">
        <v>9000</v>
      </c>
      <c r="BK28" s="4">
        <v>1290</v>
      </c>
      <c r="BL28" s="4">
        <v>780</v>
      </c>
      <c r="BM28" s="4">
        <v>3360</v>
      </c>
      <c r="BN28" s="4">
        <v>120</v>
      </c>
      <c r="BO28" s="4">
        <v>0</v>
      </c>
      <c r="BP28" s="4">
        <v>0</v>
      </c>
      <c r="BQ28" s="4">
        <v>0</v>
      </c>
      <c r="BR28" s="4">
        <v>0</v>
      </c>
      <c r="BS28" s="4">
        <v>0</v>
      </c>
      <c r="BT28" s="4">
        <v>1</v>
      </c>
      <c r="BU28" s="4">
        <v>1</v>
      </c>
      <c r="BV28" s="4">
        <v>2460</v>
      </c>
      <c r="BW28" s="4">
        <v>2490</v>
      </c>
      <c r="BX28" s="4">
        <v>13600</v>
      </c>
      <c r="BY28" s="4">
        <v>2730</v>
      </c>
      <c r="BZ28" s="4">
        <v>840</v>
      </c>
      <c r="CA28" s="4">
        <v>3360</v>
      </c>
      <c r="CB28">
        <v>19182.262611814273</v>
      </c>
      <c r="CC28">
        <v>4868.6199279153579</v>
      </c>
      <c r="CD28" t="s">
        <v>687</v>
      </c>
      <c r="CE28">
        <v>55655.637622850751</v>
      </c>
      <c r="CF28" t="s">
        <v>687</v>
      </c>
      <c r="CG28" t="s">
        <v>687</v>
      </c>
      <c r="CH28">
        <v>8</v>
      </c>
      <c r="CI28">
        <v>1</v>
      </c>
      <c r="CJ28">
        <v>0</v>
      </c>
      <c r="CK28">
        <v>1</v>
      </c>
      <c r="CL28">
        <v>0</v>
      </c>
      <c r="CM28">
        <v>0</v>
      </c>
      <c r="CN28">
        <v>36829944.214683406</v>
      </c>
      <c r="CO28">
        <v>1920</v>
      </c>
      <c r="CP28">
        <v>584234.391349843</v>
      </c>
      <c r="CQ28">
        <v>120</v>
      </c>
      <c r="CR28">
        <v>0</v>
      </c>
      <c r="CS28">
        <v>0</v>
      </c>
      <c r="CT28">
        <v>8348345.6434276123</v>
      </c>
      <c r="CU28">
        <v>150</v>
      </c>
      <c r="CV28">
        <v>0</v>
      </c>
      <c r="CW28">
        <v>0</v>
      </c>
      <c r="CX28">
        <v>0</v>
      </c>
      <c r="CY28">
        <v>0</v>
      </c>
      <c r="CZ28" s="246">
        <v>0.37479107832401592</v>
      </c>
      <c r="DA28" s="246">
        <v>0.2289138463857692</v>
      </c>
      <c r="DB28" s="123">
        <v>128594212.73000003</v>
      </c>
      <c r="DC28" s="174">
        <v>84.2</v>
      </c>
      <c r="DD28" s="174">
        <v>9.4</v>
      </c>
      <c r="DE28" s="174">
        <v>2.8</v>
      </c>
      <c r="DF28" s="174">
        <v>65</v>
      </c>
      <c r="DG28" s="174">
        <v>12.3</v>
      </c>
      <c r="DH28" s="174">
        <v>7</v>
      </c>
      <c r="DI28" s="174">
        <v>96.4</v>
      </c>
      <c r="DJ28" s="174">
        <v>84.2</v>
      </c>
    </row>
    <row r="29" spans="1:114" x14ac:dyDescent="0.45">
      <c r="A29">
        <v>314</v>
      </c>
      <c r="B29" s="247">
        <v>2.82711663706335E-2</v>
      </c>
      <c r="C29" s="169">
        <v>-8.1409117821196007E-3</v>
      </c>
      <c r="D29" s="169">
        <v>-9.7791072250345105E-3</v>
      </c>
      <c r="E29" s="169">
        <v>-2.4160147261849999E-3</v>
      </c>
      <c r="F29" s="206">
        <v>3708</v>
      </c>
      <c r="G29" s="206">
        <v>2260</v>
      </c>
      <c r="H29" s="206">
        <v>210</v>
      </c>
      <c r="I29" s="206">
        <v>0</v>
      </c>
      <c r="J29" s="189">
        <v>0.10883288950822601</v>
      </c>
      <c r="K29" s="189">
        <v>5.4805577603843497E-2</v>
      </c>
      <c r="L29" s="206">
        <v>30</v>
      </c>
      <c r="M29" s="206">
        <v>75</v>
      </c>
      <c r="N29" s="4">
        <v>0</v>
      </c>
      <c r="O29" s="4">
        <v>0</v>
      </c>
      <c r="P29" s="4">
        <v>30</v>
      </c>
      <c r="Q29" s="4">
        <v>0</v>
      </c>
      <c r="R29" s="4">
        <v>0</v>
      </c>
      <c r="S29" s="4">
        <v>3090</v>
      </c>
      <c r="T29" s="4">
        <v>9990</v>
      </c>
      <c r="U29" s="4">
        <v>1710</v>
      </c>
      <c r="V29" s="4">
        <v>0</v>
      </c>
      <c r="W29" s="4">
        <v>0</v>
      </c>
      <c r="X29" s="4">
        <v>0</v>
      </c>
      <c r="Y29" s="4">
        <v>118</v>
      </c>
      <c r="Z29" s="4">
        <v>228</v>
      </c>
      <c r="AA29" s="4">
        <v>0</v>
      </c>
      <c r="AB29" s="4">
        <v>0</v>
      </c>
      <c r="AC29" s="4">
        <v>0</v>
      </c>
      <c r="AD29" s="4">
        <v>0</v>
      </c>
      <c r="AE29" s="4">
        <v>8411</v>
      </c>
      <c r="AF29" s="4">
        <v>4052</v>
      </c>
      <c r="AG29" s="4">
        <v>0</v>
      </c>
      <c r="AH29" s="4">
        <v>0</v>
      </c>
      <c r="AI29" s="4">
        <v>0</v>
      </c>
      <c r="AJ29" s="4">
        <v>1</v>
      </c>
      <c r="AK29" s="4">
        <v>1</v>
      </c>
      <c r="AL29" s="4">
        <v>228</v>
      </c>
      <c r="AM29" s="4">
        <v>0</v>
      </c>
      <c r="AN29" s="4">
        <v>0</v>
      </c>
      <c r="AO29" s="4">
        <v>0</v>
      </c>
      <c r="AP29" s="4">
        <v>0</v>
      </c>
      <c r="AQ29" s="4">
        <v>0</v>
      </c>
      <c r="AR29" s="4">
        <v>1</v>
      </c>
      <c r="AS29" s="4">
        <v>1</v>
      </c>
      <c r="AT29" s="4">
        <v>7223</v>
      </c>
      <c r="AU29" s="4">
        <v>0</v>
      </c>
      <c r="AV29" s="4">
        <v>3125</v>
      </c>
      <c r="AW29" s="4">
        <v>927</v>
      </c>
      <c r="AX29" s="4">
        <v>0</v>
      </c>
      <c r="AY29" s="4">
        <v>1188</v>
      </c>
      <c r="AZ29" s="4">
        <v>0</v>
      </c>
      <c r="BA29" s="4">
        <v>0</v>
      </c>
      <c r="BB29" s="4">
        <v>0</v>
      </c>
      <c r="BC29" s="4">
        <v>0</v>
      </c>
      <c r="BD29" s="4">
        <v>30</v>
      </c>
      <c r="BE29" s="4">
        <v>0</v>
      </c>
      <c r="BF29" s="4">
        <v>0</v>
      </c>
      <c r="BG29" s="4">
        <v>68</v>
      </c>
      <c r="BH29" s="4">
        <v>870</v>
      </c>
      <c r="BI29" s="4">
        <v>5340</v>
      </c>
      <c r="BJ29" s="4">
        <v>4320</v>
      </c>
      <c r="BK29" s="4">
        <v>1470</v>
      </c>
      <c r="BL29" s="4">
        <v>660</v>
      </c>
      <c r="BM29" s="4">
        <v>2130</v>
      </c>
      <c r="BN29" s="4">
        <v>0</v>
      </c>
      <c r="BO29" s="4">
        <v>0</v>
      </c>
      <c r="BP29" s="4">
        <v>0</v>
      </c>
      <c r="BQ29" s="4">
        <v>30</v>
      </c>
      <c r="BR29" s="4">
        <v>0</v>
      </c>
      <c r="BS29" s="4">
        <v>0</v>
      </c>
      <c r="BT29" s="4">
        <v>0</v>
      </c>
      <c r="BU29" s="4">
        <v>69</v>
      </c>
      <c r="BV29" s="4">
        <v>420</v>
      </c>
      <c r="BW29" s="4">
        <v>3900</v>
      </c>
      <c r="BX29" s="4">
        <v>6210</v>
      </c>
      <c r="BY29" s="4">
        <v>1470</v>
      </c>
      <c r="BZ29" s="4">
        <v>660</v>
      </c>
      <c r="CA29" s="4">
        <v>2130</v>
      </c>
      <c r="CB29">
        <v>18292.353148710929</v>
      </c>
      <c r="CC29">
        <v>5239.2188909802071</v>
      </c>
      <c r="CD29" t="s">
        <v>687</v>
      </c>
      <c r="CE29" t="s">
        <v>687</v>
      </c>
      <c r="CF29" t="s">
        <v>687</v>
      </c>
      <c r="CG29" t="s">
        <v>687</v>
      </c>
      <c r="CH29">
        <v>8</v>
      </c>
      <c r="CI29">
        <v>3</v>
      </c>
      <c r="CJ29">
        <v>0</v>
      </c>
      <c r="CK29">
        <v>0</v>
      </c>
      <c r="CL29">
        <v>0</v>
      </c>
      <c r="CM29">
        <v>0</v>
      </c>
      <c r="CN29">
        <v>10426641.29476523</v>
      </c>
      <c r="CO29">
        <v>570</v>
      </c>
      <c r="CP29">
        <v>471529.70018821867</v>
      </c>
      <c r="CQ29">
        <v>90</v>
      </c>
      <c r="CR29">
        <v>0</v>
      </c>
      <c r="CS29">
        <v>0</v>
      </c>
      <c r="CT29">
        <v>0</v>
      </c>
      <c r="CU29">
        <v>0</v>
      </c>
      <c r="CV29">
        <v>0</v>
      </c>
      <c r="CW29">
        <v>0</v>
      </c>
      <c r="CX29">
        <v>0</v>
      </c>
      <c r="CY29">
        <v>0</v>
      </c>
      <c r="CZ29" s="246">
        <v>0.22109183395403761</v>
      </c>
      <c r="DA29" s="246">
        <v>0.26652620489860418</v>
      </c>
      <c r="DB29" s="123">
        <v>51958601.960000001</v>
      </c>
      <c r="DC29" s="174">
        <v>82.1</v>
      </c>
      <c r="DD29" s="174">
        <v>7.9</v>
      </c>
      <c r="DE29" s="174">
        <v>3.6</v>
      </c>
      <c r="DF29" s="174">
        <v>70.099999999999994</v>
      </c>
      <c r="DG29" s="174">
        <v>12.3</v>
      </c>
      <c r="DH29" s="174">
        <v>5.4</v>
      </c>
      <c r="DI29" s="174">
        <v>93.7</v>
      </c>
      <c r="DJ29" s="174">
        <v>87.8</v>
      </c>
    </row>
    <row r="30" spans="1:114" x14ac:dyDescent="0.45">
      <c r="A30">
        <v>315</v>
      </c>
      <c r="B30" s="247">
        <v>3.8999220015599703E-2</v>
      </c>
      <c r="C30" s="169">
        <v>5.8198836023279502E-3</v>
      </c>
      <c r="D30" s="169">
        <v>4.9714648065947997E-2</v>
      </c>
      <c r="E30" s="169">
        <v>2.5364616360177601E-4</v>
      </c>
      <c r="F30" s="206">
        <v>4403</v>
      </c>
      <c r="G30" s="206">
        <v>1353</v>
      </c>
      <c r="H30" s="206">
        <v>0</v>
      </c>
      <c r="I30" s="206">
        <v>0</v>
      </c>
      <c r="J30" s="189">
        <v>0.16175237262286499</v>
      </c>
      <c r="K30" s="189">
        <v>5.52918141923327E-2</v>
      </c>
      <c r="L30" s="206">
        <v>0</v>
      </c>
      <c r="M30" s="206">
        <v>175</v>
      </c>
      <c r="N30" s="4">
        <v>0</v>
      </c>
      <c r="O30" s="4">
        <v>0</v>
      </c>
      <c r="P30" s="4">
        <v>0</v>
      </c>
      <c r="Q30" s="4">
        <v>0</v>
      </c>
      <c r="R30" s="4">
        <v>0</v>
      </c>
      <c r="S30" s="4">
        <v>4178</v>
      </c>
      <c r="T30" s="4">
        <v>13995</v>
      </c>
      <c r="U30" s="4">
        <v>446</v>
      </c>
      <c r="V30" s="4">
        <v>420</v>
      </c>
      <c r="W30" s="4">
        <v>0</v>
      </c>
      <c r="X30" s="4" t="s">
        <v>709</v>
      </c>
      <c r="Y30" s="4" t="s">
        <v>709</v>
      </c>
      <c r="Z30" s="4">
        <v>0</v>
      </c>
      <c r="AA30" s="4">
        <v>0</v>
      </c>
      <c r="AB30" s="4">
        <v>0</v>
      </c>
      <c r="AC30" s="4">
        <v>0</v>
      </c>
      <c r="AD30" s="4">
        <v>1150</v>
      </c>
      <c r="AE30" s="4">
        <v>6442</v>
      </c>
      <c r="AF30" s="4">
        <v>3692</v>
      </c>
      <c r="AG30" s="4">
        <v>0</v>
      </c>
      <c r="AH30" s="4">
        <v>0</v>
      </c>
      <c r="AI30" s="4">
        <v>0</v>
      </c>
      <c r="AJ30" s="4" t="s">
        <v>709</v>
      </c>
      <c r="AK30" s="4" t="s">
        <v>709</v>
      </c>
      <c r="AL30" s="4">
        <v>0</v>
      </c>
      <c r="AM30" s="4">
        <v>0</v>
      </c>
      <c r="AN30" s="4">
        <v>0</v>
      </c>
      <c r="AO30" s="4">
        <v>0</v>
      </c>
      <c r="AP30" s="4">
        <v>0</v>
      </c>
      <c r="AQ30" s="4">
        <v>1150</v>
      </c>
      <c r="AR30" s="4" t="s">
        <v>709</v>
      </c>
      <c r="AS30" s="4" t="s">
        <v>709</v>
      </c>
      <c r="AT30" s="4">
        <v>6442</v>
      </c>
      <c r="AU30" s="4">
        <v>2312</v>
      </c>
      <c r="AV30" s="4">
        <v>1380</v>
      </c>
      <c r="AW30" s="4">
        <v>0</v>
      </c>
      <c r="AX30" s="4">
        <v>0</v>
      </c>
      <c r="AY30" s="4">
        <v>0</v>
      </c>
      <c r="AZ30" s="4">
        <v>0</v>
      </c>
      <c r="BA30" s="4">
        <v>0</v>
      </c>
      <c r="BB30" s="4">
        <v>0</v>
      </c>
      <c r="BC30" s="4">
        <v>0</v>
      </c>
      <c r="BD30" s="4">
        <v>0</v>
      </c>
      <c r="BE30" s="4">
        <v>0</v>
      </c>
      <c r="BF30" s="4" t="s">
        <v>709</v>
      </c>
      <c r="BG30" s="4" t="s">
        <v>709</v>
      </c>
      <c r="BH30" s="4">
        <v>4785</v>
      </c>
      <c r="BI30" s="4">
        <v>5696</v>
      </c>
      <c r="BJ30" s="4">
        <v>7088</v>
      </c>
      <c r="BK30" s="4">
        <v>630</v>
      </c>
      <c r="BL30" s="4">
        <v>420</v>
      </c>
      <c r="BM30" s="4">
        <v>420</v>
      </c>
      <c r="BN30" s="4">
        <v>0</v>
      </c>
      <c r="BO30" s="4">
        <v>0</v>
      </c>
      <c r="BP30" s="4">
        <v>0</v>
      </c>
      <c r="BQ30" s="4">
        <v>0</v>
      </c>
      <c r="BR30" s="4">
        <v>0</v>
      </c>
      <c r="BS30" s="4">
        <v>0</v>
      </c>
      <c r="BT30" s="4" t="s">
        <v>709</v>
      </c>
      <c r="BU30" s="4" t="s">
        <v>709</v>
      </c>
      <c r="BV30" s="4">
        <v>3771</v>
      </c>
      <c r="BW30" s="4">
        <v>5044</v>
      </c>
      <c r="BX30" s="4">
        <v>9384</v>
      </c>
      <c r="BY30" s="4">
        <v>0</v>
      </c>
      <c r="BZ30" s="4">
        <v>420</v>
      </c>
      <c r="CA30" s="4">
        <v>420</v>
      </c>
      <c r="CB30">
        <v>23514.43389777944</v>
      </c>
      <c r="CC30" t="s">
        <v>687</v>
      </c>
      <c r="CD30" t="s">
        <v>687</v>
      </c>
      <c r="CE30">
        <v>12576.811678155593</v>
      </c>
      <c r="CF30" t="s">
        <v>687</v>
      </c>
      <c r="CG30" t="s">
        <v>687</v>
      </c>
      <c r="CH30">
        <v>7</v>
      </c>
      <c r="CI30">
        <v>0</v>
      </c>
      <c r="CJ30">
        <v>0</v>
      </c>
      <c r="CK30">
        <v>1</v>
      </c>
      <c r="CL30">
        <v>0</v>
      </c>
      <c r="CM30">
        <v>0</v>
      </c>
      <c r="CN30">
        <v>23984722.575735029</v>
      </c>
      <c r="CO30">
        <v>1020</v>
      </c>
      <c r="CP30">
        <v>0</v>
      </c>
      <c r="CQ30">
        <v>0</v>
      </c>
      <c r="CR30">
        <v>0</v>
      </c>
      <c r="CS30">
        <v>0</v>
      </c>
      <c r="CT30">
        <v>3773043.5034466777</v>
      </c>
      <c r="CU30">
        <v>300</v>
      </c>
      <c r="CV30">
        <v>0</v>
      </c>
      <c r="CW30">
        <v>0</v>
      </c>
      <c r="CX30">
        <v>0</v>
      </c>
      <c r="CY30">
        <v>0</v>
      </c>
      <c r="CZ30" s="246">
        <v>0.19654507710557534</v>
      </c>
      <c r="DA30" s="246">
        <v>0.42159180457052797</v>
      </c>
      <c r="DB30" s="123">
        <v>79031895.140000001</v>
      </c>
      <c r="DC30" s="174">
        <v>82</v>
      </c>
      <c r="DD30" s="174">
        <v>7</v>
      </c>
      <c r="DE30" s="174">
        <v>3</v>
      </c>
      <c r="DF30" s="174">
        <v>63.6</v>
      </c>
      <c r="DG30" s="174">
        <v>14.7</v>
      </c>
      <c r="DH30" s="174">
        <v>7.3</v>
      </c>
      <c r="DI30" s="174">
        <v>92</v>
      </c>
      <c r="DJ30" s="174">
        <v>85.5</v>
      </c>
    </row>
    <row r="31" spans="1:114" x14ac:dyDescent="0.45">
      <c r="A31">
        <v>316</v>
      </c>
      <c r="B31" s="247">
        <v>8.7197595354130797E-2</v>
      </c>
      <c r="C31" s="169">
        <v>1.32197157615198E-2</v>
      </c>
      <c r="D31" s="169">
        <v>4.4325332090421797E-2</v>
      </c>
      <c r="E31" s="169">
        <v>5.4532742950361198E-3</v>
      </c>
      <c r="F31" s="206">
        <v>6744</v>
      </c>
      <c r="G31" s="206">
        <v>8540</v>
      </c>
      <c r="H31" s="206">
        <v>160</v>
      </c>
      <c r="I31" s="206">
        <v>50</v>
      </c>
      <c r="J31" s="189">
        <v>7.5575263307151405E-2</v>
      </c>
      <c r="K31" s="189">
        <v>1.7441216748493998E-2</v>
      </c>
      <c r="L31" s="206">
        <v>330</v>
      </c>
      <c r="M31" s="206">
        <v>840</v>
      </c>
      <c r="N31" s="4">
        <v>0</v>
      </c>
      <c r="O31" s="4">
        <v>0</v>
      </c>
      <c r="P31" s="4">
        <v>0</v>
      </c>
      <c r="Q31" s="4">
        <v>0</v>
      </c>
      <c r="R31" s="4">
        <v>0</v>
      </c>
      <c r="S31" s="4">
        <v>14555</v>
      </c>
      <c r="T31" s="4">
        <v>20337</v>
      </c>
      <c r="U31" s="4">
        <v>2100</v>
      </c>
      <c r="V31" s="4">
        <v>0</v>
      </c>
      <c r="W31" s="4">
        <v>420</v>
      </c>
      <c r="X31" s="4" t="s">
        <v>709</v>
      </c>
      <c r="Y31" s="4" t="s">
        <v>709</v>
      </c>
      <c r="Z31" s="4">
        <v>90</v>
      </c>
      <c r="AA31" s="4">
        <v>60</v>
      </c>
      <c r="AB31" s="4">
        <v>0</v>
      </c>
      <c r="AC31" s="4">
        <v>0</v>
      </c>
      <c r="AD31" s="4">
        <v>0</v>
      </c>
      <c r="AE31" s="4">
        <v>10423</v>
      </c>
      <c r="AF31" s="4">
        <v>10000</v>
      </c>
      <c r="AG31" s="4">
        <v>1555</v>
      </c>
      <c r="AH31" s="4">
        <v>0</v>
      </c>
      <c r="AI31" s="4">
        <v>1140</v>
      </c>
      <c r="AJ31" s="4">
        <v>1</v>
      </c>
      <c r="AK31" s="4">
        <v>1</v>
      </c>
      <c r="AL31" s="4">
        <v>90</v>
      </c>
      <c r="AM31" s="4">
        <v>60</v>
      </c>
      <c r="AN31" s="4">
        <v>0</v>
      </c>
      <c r="AO31" s="4">
        <v>0</v>
      </c>
      <c r="AP31" s="4">
        <v>0</v>
      </c>
      <c r="AQ31" s="4">
        <v>0</v>
      </c>
      <c r="AR31" s="4">
        <v>1</v>
      </c>
      <c r="AS31" s="4">
        <v>1</v>
      </c>
      <c r="AT31" s="4">
        <v>5700</v>
      </c>
      <c r="AU31" s="4">
        <v>7261</v>
      </c>
      <c r="AV31" s="4">
        <v>6462</v>
      </c>
      <c r="AW31" s="4">
        <v>1000</v>
      </c>
      <c r="AX31" s="4">
        <v>1200</v>
      </c>
      <c r="AY31" s="4">
        <v>1495</v>
      </c>
      <c r="AZ31" s="4">
        <v>0</v>
      </c>
      <c r="BA31" s="4">
        <v>0</v>
      </c>
      <c r="BB31" s="4">
        <v>0</v>
      </c>
      <c r="BC31" s="4">
        <v>0</v>
      </c>
      <c r="BD31" s="4">
        <v>0</v>
      </c>
      <c r="BE31" s="4">
        <v>0</v>
      </c>
      <c r="BF31" s="4" t="s">
        <v>709</v>
      </c>
      <c r="BG31" s="4" t="s">
        <v>709</v>
      </c>
      <c r="BH31" s="4">
        <v>18165</v>
      </c>
      <c r="BI31" s="4">
        <v>6482</v>
      </c>
      <c r="BJ31" s="4">
        <v>9615</v>
      </c>
      <c r="BK31" s="4">
        <v>1020</v>
      </c>
      <c r="BL31" s="4">
        <v>0</v>
      </c>
      <c r="BM31" s="4">
        <v>2130</v>
      </c>
      <c r="BN31" s="4">
        <v>0</v>
      </c>
      <c r="BO31" s="4">
        <v>0</v>
      </c>
      <c r="BP31" s="4">
        <v>0</v>
      </c>
      <c r="BQ31" s="4">
        <v>0</v>
      </c>
      <c r="BR31" s="4">
        <v>0</v>
      </c>
      <c r="BS31" s="4">
        <v>0</v>
      </c>
      <c r="BT31" s="4" t="s">
        <v>709</v>
      </c>
      <c r="BU31" s="4" t="s">
        <v>709</v>
      </c>
      <c r="BV31" s="4">
        <v>12542</v>
      </c>
      <c r="BW31" s="4">
        <v>6720</v>
      </c>
      <c r="BX31" s="4">
        <v>12615</v>
      </c>
      <c r="BY31" s="4">
        <v>2775</v>
      </c>
      <c r="BZ31" s="4">
        <v>630</v>
      </c>
      <c r="CA31" s="4">
        <v>2130</v>
      </c>
      <c r="CB31">
        <v>25773.952711626491</v>
      </c>
      <c r="CC31" t="s">
        <v>687</v>
      </c>
      <c r="CD31" t="s">
        <v>687</v>
      </c>
      <c r="CE31">
        <v>13868.380693350322</v>
      </c>
      <c r="CF31" t="s">
        <v>687</v>
      </c>
      <c r="CG31" t="s">
        <v>687</v>
      </c>
      <c r="CH31">
        <v>5</v>
      </c>
      <c r="CI31">
        <v>0</v>
      </c>
      <c r="CJ31">
        <v>0</v>
      </c>
      <c r="CK31">
        <v>3</v>
      </c>
      <c r="CL31">
        <v>0</v>
      </c>
      <c r="CM31">
        <v>0</v>
      </c>
      <c r="CN31">
        <v>14304543.754952703</v>
      </c>
      <c r="CO31">
        <v>555</v>
      </c>
      <c r="CP31">
        <v>0</v>
      </c>
      <c r="CQ31">
        <v>0</v>
      </c>
      <c r="CR31">
        <v>0</v>
      </c>
      <c r="CS31">
        <v>0</v>
      </c>
      <c r="CT31">
        <v>6240771.3120076451</v>
      </c>
      <c r="CU31">
        <v>450</v>
      </c>
      <c r="CV31">
        <v>0</v>
      </c>
      <c r="CW31">
        <v>0</v>
      </c>
      <c r="CX31">
        <v>0</v>
      </c>
      <c r="CY31">
        <v>0</v>
      </c>
      <c r="CZ31" s="246">
        <v>0.27205222943645296</v>
      </c>
      <c r="DA31" s="246">
        <v>0.36514146396779495</v>
      </c>
      <c r="DB31" s="123">
        <v>229559561.78</v>
      </c>
      <c r="DC31" s="174">
        <v>94.1</v>
      </c>
      <c r="DD31" s="174">
        <v>3.9</v>
      </c>
      <c r="DE31" s="174">
        <v>0.8</v>
      </c>
      <c r="DF31" s="174">
        <v>65.2</v>
      </c>
      <c r="DG31" s="174">
        <v>17</v>
      </c>
      <c r="DH31" s="174">
        <v>6.6</v>
      </c>
      <c r="DI31" s="174">
        <v>98.8</v>
      </c>
      <c r="DJ31" s="174">
        <v>88.8</v>
      </c>
    </row>
    <row r="32" spans="1:114" x14ac:dyDescent="0.45">
      <c r="A32">
        <v>317</v>
      </c>
      <c r="B32" s="247">
        <v>5.3318934971147001E-2</v>
      </c>
      <c r="C32" s="169">
        <v>3.9820470421489604E-3</v>
      </c>
      <c r="D32" s="169">
        <v>4.3876163581215398E-2</v>
      </c>
      <c r="E32" s="169">
        <v>1.0302269637067299E-2</v>
      </c>
      <c r="F32" s="206">
        <v>5348</v>
      </c>
      <c r="G32" s="206">
        <v>9822</v>
      </c>
      <c r="H32" s="206">
        <v>20</v>
      </c>
      <c r="I32" s="206">
        <v>0</v>
      </c>
      <c r="J32" s="189">
        <v>3.7838654508698902E-2</v>
      </c>
      <c r="K32" s="189">
        <v>3.1233886496288998E-2</v>
      </c>
      <c r="L32" s="206">
        <v>210</v>
      </c>
      <c r="M32" s="206">
        <v>0</v>
      </c>
      <c r="N32" s="4">
        <v>30</v>
      </c>
      <c r="O32" s="4">
        <v>116</v>
      </c>
      <c r="P32" s="4">
        <v>0</v>
      </c>
      <c r="Q32" s="4">
        <v>0</v>
      </c>
      <c r="R32" s="4">
        <v>420</v>
      </c>
      <c r="S32" s="4">
        <v>11970</v>
      </c>
      <c r="T32" s="4">
        <v>17151</v>
      </c>
      <c r="U32" s="4">
        <v>1830</v>
      </c>
      <c r="V32" s="4">
        <v>0</v>
      </c>
      <c r="W32" s="4">
        <v>0</v>
      </c>
      <c r="X32" s="4">
        <v>1</v>
      </c>
      <c r="Y32" s="4">
        <v>1</v>
      </c>
      <c r="Z32" s="4">
        <v>0</v>
      </c>
      <c r="AA32" s="4">
        <v>0</v>
      </c>
      <c r="AB32" s="4">
        <v>0</v>
      </c>
      <c r="AC32" s="4">
        <v>0</v>
      </c>
      <c r="AD32" s="4">
        <v>0</v>
      </c>
      <c r="AE32" s="4">
        <v>16446</v>
      </c>
      <c r="AF32" s="4">
        <v>9992</v>
      </c>
      <c r="AG32" s="4">
        <v>1244</v>
      </c>
      <c r="AH32" s="4">
        <v>0</v>
      </c>
      <c r="AI32" s="4">
        <v>0</v>
      </c>
      <c r="AJ32" s="4" t="s">
        <v>709</v>
      </c>
      <c r="AK32" s="4" t="s">
        <v>709</v>
      </c>
      <c r="AL32" s="4">
        <v>0</v>
      </c>
      <c r="AM32" s="4">
        <v>0</v>
      </c>
      <c r="AN32" s="4">
        <v>0</v>
      </c>
      <c r="AO32" s="4">
        <v>0</v>
      </c>
      <c r="AP32" s="4">
        <v>0</v>
      </c>
      <c r="AQ32" s="4">
        <v>0</v>
      </c>
      <c r="AR32" s="4" t="s">
        <v>709</v>
      </c>
      <c r="AS32" s="4" t="s">
        <v>709</v>
      </c>
      <c r="AT32" s="4">
        <v>12931</v>
      </c>
      <c r="AU32" s="4">
        <v>8373</v>
      </c>
      <c r="AV32" s="4">
        <v>5778</v>
      </c>
      <c r="AW32" s="4">
        <v>0</v>
      </c>
      <c r="AX32" s="4">
        <v>0</v>
      </c>
      <c r="AY32" s="4">
        <v>600</v>
      </c>
      <c r="AZ32" s="4">
        <v>0</v>
      </c>
      <c r="BA32" s="4">
        <v>0</v>
      </c>
      <c r="BB32" s="4">
        <v>60</v>
      </c>
      <c r="BC32" s="4">
        <v>0</v>
      </c>
      <c r="BD32" s="4">
        <v>0</v>
      </c>
      <c r="BE32" s="4">
        <v>506</v>
      </c>
      <c r="BF32" s="4">
        <v>0</v>
      </c>
      <c r="BG32" s="4">
        <v>68</v>
      </c>
      <c r="BH32" s="4">
        <v>7868</v>
      </c>
      <c r="BI32" s="4">
        <v>10000</v>
      </c>
      <c r="BJ32" s="4">
        <v>8230</v>
      </c>
      <c r="BK32" s="4">
        <v>1680</v>
      </c>
      <c r="BL32" s="4">
        <v>0</v>
      </c>
      <c r="BM32" s="4">
        <v>3173</v>
      </c>
      <c r="BN32" s="4">
        <v>0</v>
      </c>
      <c r="BO32" s="4">
        <v>0</v>
      </c>
      <c r="BP32" s="4">
        <v>60</v>
      </c>
      <c r="BQ32" s="4">
        <v>0</v>
      </c>
      <c r="BR32" s="4">
        <v>0</v>
      </c>
      <c r="BS32" s="4">
        <v>506</v>
      </c>
      <c r="BT32" s="4">
        <v>0</v>
      </c>
      <c r="BU32" s="4">
        <v>69</v>
      </c>
      <c r="BV32" s="4">
        <v>2850</v>
      </c>
      <c r="BW32" s="4">
        <v>4099</v>
      </c>
      <c r="BX32" s="4">
        <v>19089</v>
      </c>
      <c r="BY32" s="4">
        <v>1260</v>
      </c>
      <c r="BZ32" s="4">
        <v>480</v>
      </c>
      <c r="CA32" s="4">
        <v>3173</v>
      </c>
      <c r="CB32">
        <v>20638.711609848884</v>
      </c>
      <c r="CC32">
        <v>4217.262355131209</v>
      </c>
      <c r="CD32">
        <v>16763.681547053915</v>
      </c>
      <c r="CE32">
        <v>27778.992944098336</v>
      </c>
      <c r="CF32" t="s">
        <v>687</v>
      </c>
      <c r="CG32" t="s">
        <v>687</v>
      </c>
      <c r="CH32">
        <v>5</v>
      </c>
      <c r="CI32">
        <v>5</v>
      </c>
      <c r="CJ32">
        <v>1</v>
      </c>
      <c r="CK32">
        <v>3</v>
      </c>
      <c r="CL32">
        <v>0</v>
      </c>
      <c r="CM32">
        <v>0</v>
      </c>
      <c r="CN32">
        <v>14859872.359091196</v>
      </c>
      <c r="CO32">
        <v>720</v>
      </c>
      <c r="CP32">
        <v>632589.35326968133</v>
      </c>
      <c r="CQ32">
        <v>150</v>
      </c>
      <c r="CR32">
        <v>14081492.499525288</v>
      </c>
      <c r="CS32">
        <v>840</v>
      </c>
      <c r="CT32">
        <v>35001531.109563902</v>
      </c>
      <c r="CU32">
        <v>1260</v>
      </c>
      <c r="CV32">
        <v>0</v>
      </c>
      <c r="CW32">
        <v>0</v>
      </c>
      <c r="CX32">
        <v>0</v>
      </c>
      <c r="CY32">
        <v>0</v>
      </c>
      <c r="CZ32" s="246">
        <v>0.32800034131148942</v>
      </c>
      <c r="DA32" s="246">
        <v>0.26484741426570019</v>
      </c>
      <c r="DB32" s="123">
        <v>194310596.70999998</v>
      </c>
      <c r="DC32" s="174">
        <v>83.5</v>
      </c>
      <c r="DD32" s="174">
        <v>9.1</v>
      </c>
      <c r="DE32" s="174">
        <v>2.6</v>
      </c>
      <c r="DF32" s="174">
        <v>66.099999999999994</v>
      </c>
      <c r="DG32" s="174">
        <v>14.3</v>
      </c>
      <c r="DH32" s="174">
        <v>6.1</v>
      </c>
      <c r="DI32" s="174">
        <v>95.2</v>
      </c>
      <c r="DJ32" s="174">
        <v>86.5</v>
      </c>
    </row>
    <row r="33" spans="1:114" x14ac:dyDescent="0.45">
      <c r="A33">
        <v>318</v>
      </c>
      <c r="B33" s="247">
        <v>3.4728406055209299E-2</v>
      </c>
      <c r="C33" s="169">
        <v>-4.74918373404571E-4</v>
      </c>
      <c r="D33" s="169">
        <v>1.03717515441091E-2</v>
      </c>
      <c r="E33" s="169">
        <v>8.3906304626500394E-3</v>
      </c>
      <c r="F33" s="206">
        <v>5416</v>
      </c>
      <c r="G33" s="206">
        <v>4242</v>
      </c>
      <c r="H33" s="206">
        <v>60</v>
      </c>
      <c r="I33" s="206">
        <v>190</v>
      </c>
      <c r="J33" s="189">
        <v>0.122600956514257</v>
      </c>
      <c r="K33" s="189">
        <v>8.7338160016372998E-2</v>
      </c>
      <c r="L33" s="206">
        <v>0</v>
      </c>
      <c r="M33" s="206">
        <v>30</v>
      </c>
      <c r="N33" s="4">
        <v>56</v>
      </c>
      <c r="O33" s="4">
        <v>24</v>
      </c>
      <c r="P33" s="4">
        <v>0</v>
      </c>
      <c r="Q33" s="4">
        <v>0</v>
      </c>
      <c r="R33" s="4">
        <v>0</v>
      </c>
      <c r="S33" s="4">
        <v>10196</v>
      </c>
      <c r="T33" s="4">
        <v>7746</v>
      </c>
      <c r="U33" s="4">
        <v>360</v>
      </c>
      <c r="V33" s="4">
        <v>0</v>
      </c>
      <c r="W33" s="4">
        <v>0</v>
      </c>
      <c r="X33" s="4">
        <v>1</v>
      </c>
      <c r="Y33" s="4">
        <v>1</v>
      </c>
      <c r="Z33" s="4">
        <v>0</v>
      </c>
      <c r="AA33" s="4">
        <v>0</v>
      </c>
      <c r="AB33" s="4">
        <v>150</v>
      </c>
      <c r="AC33" s="4">
        <v>0</v>
      </c>
      <c r="AD33" s="4">
        <v>0</v>
      </c>
      <c r="AE33" s="4">
        <v>4714</v>
      </c>
      <c r="AF33" s="4">
        <v>4150</v>
      </c>
      <c r="AG33" s="4">
        <v>2250</v>
      </c>
      <c r="AH33" s="4">
        <v>0</v>
      </c>
      <c r="AI33" s="4">
        <v>900</v>
      </c>
      <c r="AJ33" s="4">
        <v>0</v>
      </c>
      <c r="AK33" s="4">
        <v>111</v>
      </c>
      <c r="AL33" s="4">
        <v>0</v>
      </c>
      <c r="AM33" s="4">
        <v>150</v>
      </c>
      <c r="AN33" s="4">
        <v>0</v>
      </c>
      <c r="AO33" s="4">
        <v>0</v>
      </c>
      <c r="AP33" s="4">
        <v>0</v>
      </c>
      <c r="AQ33" s="4">
        <v>0</v>
      </c>
      <c r="AR33" s="4">
        <v>1</v>
      </c>
      <c r="AS33" s="4">
        <v>1</v>
      </c>
      <c r="AT33" s="4">
        <v>3914</v>
      </c>
      <c r="AU33" s="4">
        <v>2000</v>
      </c>
      <c r="AV33" s="4">
        <v>4150</v>
      </c>
      <c r="AW33" s="4">
        <v>0</v>
      </c>
      <c r="AX33" s="4">
        <v>0</v>
      </c>
      <c r="AY33" s="4">
        <v>1950</v>
      </c>
      <c r="AZ33" s="4">
        <v>0</v>
      </c>
      <c r="BA33" s="4">
        <v>0</v>
      </c>
      <c r="BB33" s="4">
        <v>24</v>
      </c>
      <c r="BC33" s="4">
        <v>0</v>
      </c>
      <c r="BD33" s="4">
        <v>0</v>
      </c>
      <c r="BE33" s="4">
        <v>56</v>
      </c>
      <c r="BF33" s="4">
        <v>0</v>
      </c>
      <c r="BG33" s="4">
        <v>68</v>
      </c>
      <c r="BH33" s="4">
        <v>5600</v>
      </c>
      <c r="BI33" s="4">
        <v>5160</v>
      </c>
      <c r="BJ33" s="4">
        <v>4416</v>
      </c>
      <c r="BK33" s="4">
        <v>0</v>
      </c>
      <c r="BL33" s="4">
        <v>0</v>
      </c>
      <c r="BM33" s="4">
        <v>3126</v>
      </c>
      <c r="BN33" s="4">
        <v>0</v>
      </c>
      <c r="BO33" s="4">
        <v>0</v>
      </c>
      <c r="BP33" s="4">
        <v>24</v>
      </c>
      <c r="BQ33" s="4">
        <v>0</v>
      </c>
      <c r="BR33" s="4">
        <v>0</v>
      </c>
      <c r="BS33" s="4">
        <v>56</v>
      </c>
      <c r="BT33" s="4">
        <v>0</v>
      </c>
      <c r="BU33" s="4">
        <v>69</v>
      </c>
      <c r="BV33" s="4">
        <v>5040</v>
      </c>
      <c r="BW33" s="4">
        <v>6410</v>
      </c>
      <c r="BX33" s="4">
        <v>3726</v>
      </c>
      <c r="BY33" s="4">
        <v>0</v>
      </c>
      <c r="BZ33" s="4">
        <v>0</v>
      </c>
      <c r="CA33" s="4">
        <v>3126</v>
      </c>
      <c r="CB33">
        <v>16789.073972102564</v>
      </c>
      <c r="CC33">
        <v>1018.8286241062157</v>
      </c>
      <c r="CD33" t="s">
        <v>687</v>
      </c>
      <c r="CE33" t="s">
        <v>687</v>
      </c>
      <c r="CF33" t="s">
        <v>687</v>
      </c>
      <c r="CG33" t="s">
        <v>687</v>
      </c>
      <c r="CH33">
        <v>4</v>
      </c>
      <c r="CI33">
        <v>3</v>
      </c>
      <c r="CJ33">
        <v>0</v>
      </c>
      <c r="CK33">
        <v>0</v>
      </c>
      <c r="CL33">
        <v>0</v>
      </c>
      <c r="CM33">
        <v>0</v>
      </c>
      <c r="CN33">
        <v>8562427.7257723082</v>
      </c>
      <c r="CO33">
        <v>510</v>
      </c>
      <c r="CP33">
        <v>91694.576169559412</v>
      </c>
      <c r="CQ33">
        <v>90</v>
      </c>
      <c r="CR33">
        <v>0</v>
      </c>
      <c r="CS33">
        <v>0</v>
      </c>
      <c r="CT33">
        <v>0</v>
      </c>
      <c r="CU33">
        <v>0</v>
      </c>
      <c r="CV33">
        <v>0</v>
      </c>
      <c r="CW33">
        <v>0</v>
      </c>
      <c r="CX33">
        <v>0</v>
      </c>
      <c r="CY33">
        <v>0</v>
      </c>
      <c r="CZ33" s="246">
        <v>0.27529807398349126</v>
      </c>
      <c r="DA33" s="246">
        <v>0.46599609668217984</v>
      </c>
      <c r="DB33" s="123">
        <v>51590080.700000003</v>
      </c>
      <c r="DC33" s="174">
        <v>84.7</v>
      </c>
      <c r="DD33" s="174">
        <v>7.3</v>
      </c>
      <c r="DE33" s="174">
        <v>3.5</v>
      </c>
      <c r="DF33" s="174">
        <v>60.8</v>
      </c>
      <c r="DG33" s="174">
        <v>14.3</v>
      </c>
      <c r="DH33" s="174">
        <v>7.4</v>
      </c>
      <c r="DI33" s="174">
        <v>95.4</v>
      </c>
      <c r="DJ33" s="174">
        <v>82.5</v>
      </c>
    </row>
    <row r="34" spans="1:114" x14ac:dyDescent="0.45">
      <c r="A34">
        <v>319</v>
      </c>
      <c r="B34" s="247">
        <v>1.32788559754852E-2</v>
      </c>
      <c r="C34" s="169">
        <v>1.6456701849960299E-3</v>
      </c>
      <c r="D34" s="169">
        <v>1.7846519928613901E-3</v>
      </c>
      <c r="E34" s="169">
        <v>6.6759204177407596E-3</v>
      </c>
      <c r="F34" s="206">
        <v>4452</v>
      </c>
      <c r="G34" s="206">
        <v>4256</v>
      </c>
      <c r="H34" s="206">
        <v>60</v>
      </c>
      <c r="I34" s="206">
        <v>400</v>
      </c>
      <c r="J34" s="189">
        <v>2.84294870901101E-2</v>
      </c>
      <c r="K34" s="189">
        <v>1.94278672707239E-2</v>
      </c>
      <c r="L34" s="206">
        <v>210</v>
      </c>
      <c r="M34" s="206">
        <v>183</v>
      </c>
      <c r="N34" s="4">
        <v>0</v>
      </c>
      <c r="O34" s="4">
        <v>30</v>
      </c>
      <c r="P34" s="4">
        <v>0</v>
      </c>
      <c r="Q34" s="4">
        <v>0</v>
      </c>
      <c r="R34" s="4">
        <v>0</v>
      </c>
      <c r="S34" s="4">
        <v>4971</v>
      </c>
      <c r="T34" s="4">
        <v>12035</v>
      </c>
      <c r="U34" s="4">
        <v>0</v>
      </c>
      <c r="V34" s="4">
        <v>0</v>
      </c>
      <c r="W34" s="4">
        <v>0</v>
      </c>
      <c r="X34" s="4">
        <v>1</v>
      </c>
      <c r="Y34" s="4">
        <v>1</v>
      </c>
      <c r="Z34" s="4">
        <v>0</v>
      </c>
      <c r="AA34" s="4">
        <v>103</v>
      </c>
      <c r="AB34" s="4">
        <v>0</v>
      </c>
      <c r="AC34" s="4">
        <v>0</v>
      </c>
      <c r="AD34" s="4">
        <v>975</v>
      </c>
      <c r="AE34" s="4">
        <v>8474</v>
      </c>
      <c r="AF34" s="4">
        <v>10349</v>
      </c>
      <c r="AG34" s="4">
        <v>0</v>
      </c>
      <c r="AH34" s="4">
        <v>1315</v>
      </c>
      <c r="AI34" s="4">
        <v>0</v>
      </c>
      <c r="AJ34" s="4">
        <v>1</v>
      </c>
      <c r="AK34" s="4">
        <v>1</v>
      </c>
      <c r="AL34" s="4">
        <v>0</v>
      </c>
      <c r="AM34" s="4">
        <v>0</v>
      </c>
      <c r="AN34" s="4">
        <v>103</v>
      </c>
      <c r="AO34" s="4">
        <v>0</v>
      </c>
      <c r="AP34" s="4">
        <v>0</v>
      </c>
      <c r="AQ34" s="4">
        <v>975</v>
      </c>
      <c r="AR34" s="4">
        <v>0</v>
      </c>
      <c r="AS34" s="4">
        <v>74</v>
      </c>
      <c r="AT34" s="4">
        <v>9434</v>
      </c>
      <c r="AU34" s="4">
        <v>3245</v>
      </c>
      <c r="AV34" s="4">
        <v>4797</v>
      </c>
      <c r="AW34" s="4">
        <v>2662</v>
      </c>
      <c r="AX34" s="4">
        <v>0</v>
      </c>
      <c r="AY34" s="4">
        <v>0</v>
      </c>
      <c r="AZ34" s="4">
        <v>0</v>
      </c>
      <c r="BA34" s="4">
        <v>0</v>
      </c>
      <c r="BB34" s="4">
        <v>30</v>
      </c>
      <c r="BC34" s="4">
        <v>0</v>
      </c>
      <c r="BD34" s="4">
        <v>0</v>
      </c>
      <c r="BE34" s="4">
        <v>0</v>
      </c>
      <c r="BF34" s="4">
        <v>0</v>
      </c>
      <c r="BG34" s="4">
        <v>68</v>
      </c>
      <c r="BH34" s="4">
        <v>3876</v>
      </c>
      <c r="BI34" s="4">
        <v>3277</v>
      </c>
      <c r="BJ34" s="4">
        <v>7367</v>
      </c>
      <c r="BK34" s="4">
        <v>594</v>
      </c>
      <c r="BL34" s="4">
        <v>0</v>
      </c>
      <c r="BM34" s="4">
        <v>1892</v>
      </c>
      <c r="BN34" s="4">
        <v>0</v>
      </c>
      <c r="BO34" s="4">
        <v>0</v>
      </c>
      <c r="BP34" s="4">
        <v>30</v>
      </c>
      <c r="BQ34" s="4">
        <v>0</v>
      </c>
      <c r="BR34" s="4">
        <v>0</v>
      </c>
      <c r="BS34" s="4">
        <v>0</v>
      </c>
      <c r="BT34" s="4">
        <v>0</v>
      </c>
      <c r="BU34" s="4">
        <v>69</v>
      </c>
      <c r="BV34" s="4">
        <v>1670</v>
      </c>
      <c r="BW34" s="4">
        <v>4027</v>
      </c>
      <c r="BX34" s="4">
        <v>7755</v>
      </c>
      <c r="BY34" s="4">
        <v>1662</v>
      </c>
      <c r="BZ34" s="4">
        <v>0</v>
      </c>
      <c r="CA34" s="4">
        <v>1892</v>
      </c>
      <c r="CB34">
        <v>13958.923257822407</v>
      </c>
      <c r="CC34">
        <v>7369.4341633402046</v>
      </c>
      <c r="CD34" t="s">
        <v>687</v>
      </c>
      <c r="CE34">
        <v>14246.169427671788</v>
      </c>
      <c r="CF34" t="s">
        <v>687</v>
      </c>
      <c r="CG34" t="s">
        <v>687</v>
      </c>
      <c r="CH34">
        <v>6</v>
      </c>
      <c r="CI34">
        <v>3</v>
      </c>
      <c r="CJ34">
        <v>0</v>
      </c>
      <c r="CK34">
        <v>10</v>
      </c>
      <c r="CL34">
        <v>0</v>
      </c>
      <c r="CM34">
        <v>0</v>
      </c>
      <c r="CN34">
        <v>10259808.594499469</v>
      </c>
      <c r="CO34">
        <v>735</v>
      </c>
      <c r="CP34">
        <v>663249.0747006184</v>
      </c>
      <c r="CQ34">
        <v>90</v>
      </c>
      <c r="CR34">
        <v>0</v>
      </c>
      <c r="CS34">
        <v>0</v>
      </c>
      <c r="CT34">
        <v>28720277.566186324</v>
      </c>
      <c r="CU34">
        <v>2016</v>
      </c>
      <c r="CV34">
        <v>0</v>
      </c>
      <c r="CW34">
        <v>0</v>
      </c>
      <c r="CX34">
        <v>0</v>
      </c>
      <c r="CY34">
        <v>0</v>
      </c>
      <c r="CZ34" s="246">
        <v>0.31457323891166605</v>
      </c>
      <c r="DA34" s="246">
        <v>0.27301325743390009</v>
      </c>
      <c r="DB34" s="123">
        <v>141769120.98999998</v>
      </c>
      <c r="DC34" s="174">
        <v>83.9</v>
      </c>
      <c r="DD34" s="174">
        <v>6.4</v>
      </c>
      <c r="DE34" s="174">
        <v>2.5</v>
      </c>
      <c r="DF34" s="174">
        <v>72.599999999999994</v>
      </c>
      <c r="DG34" s="174">
        <v>13.2</v>
      </c>
      <c r="DH34" s="174">
        <v>4.7</v>
      </c>
      <c r="DI34" s="174">
        <v>92.8</v>
      </c>
      <c r="DJ34" s="174">
        <v>90.5</v>
      </c>
    </row>
    <row r="35" spans="1:114" x14ac:dyDescent="0.45">
      <c r="A35">
        <v>320</v>
      </c>
      <c r="B35" s="247">
        <v>6.3295323087093E-2</v>
      </c>
      <c r="C35" s="169">
        <v>9.7091389852916894E-3</v>
      </c>
      <c r="D35" s="169">
        <v>5.7356978556058501E-2</v>
      </c>
      <c r="E35" s="169">
        <v>3.4132225272686799E-2</v>
      </c>
      <c r="F35" s="206">
        <v>6504</v>
      </c>
      <c r="G35" s="206">
        <v>2466</v>
      </c>
      <c r="H35" s="206">
        <v>1010</v>
      </c>
      <c r="I35" s="206">
        <v>0</v>
      </c>
      <c r="J35" s="189">
        <v>0.12182668068327999</v>
      </c>
      <c r="K35" s="189">
        <v>5.10320974655913E-2</v>
      </c>
      <c r="L35" s="206">
        <v>0</v>
      </c>
      <c r="M35" s="206">
        <v>391</v>
      </c>
      <c r="N35" s="4">
        <v>0</v>
      </c>
      <c r="O35" s="4">
        <v>120</v>
      </c>
      <c r="P35" s="4">
        <v>0</v>
      </c>
      <c r="Q35" s="4">
        <v>0</v>
      </c>
      <c r="R35" s="4">
        <v>0</v>
      </c>
      <c r="S35" s="4">
        <v>7440</v>
      </c>
      <c r="T35" s="4">
        <v>19410</v>
      </c>
      <c r="U35" s="4">
        <v>0</v>
      </c>
      <c r="V35" s="4">
        <v>420</v>
      </c>
      <c r="W35" s="4">
        <v>0</v>
      </c>
      <c r="X35" s="4">
        <v>1</v>
      </c>
      <c r="Y35" s="4">
        <v>1</v>
      </c>
      <c r="Z35" s="4">
        <v>120</v>
      </c>
      <c r="AA35" s="4">
        <v>0</v>
      </c>
      <c r="AB35" s="4">
        <v>0</v>
      </c>
      <c r="AC35" s="4">
        <v>0</v>
      </c>
      <c r="AD35" s="4">
        <v>0</v>
      </c>
      <c r="AE35" s="4">
        <v>1400</v>
      </c>
      <c r="AF35" s="4">
        <v>15325</v>
      </c>
      <c r="AG35" s="4">
        <v>0</v>
      </c>
      <c r="AH35" s="4">
        <v>0</v>
      </c>
      <c r="AI35" s="4">
        <v>0</v>
      </c>
      <c r="AJ35" s="4">
        <v>1</v>
      </c>
      <c r="AK35" s="4">
        <v>1</v>
      </c>
      <c r="AL35" s="4">
        <v>120</v>
      </c>
      <c r="AM35" s="4">
        <v>0</v>
      </c>
      <c r="AN35" s="4">
        <v>0</v>
      </c>
      <c r="AO35" s="4">
        <v>0</v>
      </c>
      <c r="AP35" s="4">
        <v>0</v>
      </c>
      <c r="AQ35" s="4">
        <v>0</v>
      </c>
      <c r="AR35" s="4">
        <v>1</v>
      </c>
      <c r="AS35" s="4">
        <v>1</v>
      </c>
      <c r="AT35" s="4">
        <v>2000</v>
      </c>
      <c r="AU35" s="4">
        <v>3114</v>
      </c>
      <c r="AV35" s="4">
        <v>8224</v>
      </c>
      <c r="AW35" s="4">
        <v>1887</v>
      </c>
      <c r="AX35" s="4">
        <v>0</v>
      </c>
      <c r="AY35" s="4">
        <v>1500</v>
      </c>
      <c r="AZ35" s="4">
        <v>30</v>
      </c>
      <c r="BA35" s="4">
        <v>0</v>
      </c>
      <c r="BB35" s="4">
        <v>90</v>
      </c>
      <c r="BC35" s="4">
        <v>0</v>
      </c>
      <c r="BD35" s="4">
        <v>0</v>
      </c>
      <c r="BE35" s="4">
        <v>0</v>
      </c>
      <c r="BF35" s="4">
        <v>0.25</v>
      </c>
      <c r="BG35" s="4">
        <v>46</v>
      </c>
      <c r="BH35" s="4">
        <v>8190</v>
      </c>
      <c r="BI35" s="4">
        <v>6210</v>
      </c>
      <c r="BJ35" s="4">
        <v>8700</v>
      </c>
      <c r="BK35" s="4">
        <v>2250</v>
      </c>
      <c r="BL35" s="4">
        <v>0</v>
      </c>
      <c r="BM35" s="4">
        <v>1920</v>
      </c>
      <c r="BN35" s="4">
        <v>0</v>
      </c>
      <c r="BO35" s="4">
        <v>30</v>
      </c>
      <c r="BP35" s="4">
        <v>90</v>
      </c>
      <c r="BQ35" s="4">
        <v>0</v>
      </c>
      <c r="BR35" s="4">
        <v>0</v>
      </c>
      <c r="BS35" s="4">
        <v>0</v>
      </c>
      <c r="BT35" s="4">
        <v>0.25</v>
      </c>
      <c r="BU35" s="4">
        <v>41</v>
      </c>
      <c r="BV35" s="4">
        <v>5940</v>
      </c>
      <c r="BW35" s="4">
        <v>5550</v>
      </c>
      <c r="BX35" s="4">
        <v>10890</v>
      </c>
      <c r="BY35" s="4">
        <v>2340</v>
      </c>
      <c r="BZ35" s="4">
        <v>630</v>
      </c>
      <c r="CA35" s="4">
        <v>1920</v>
      </c>
      <c r="CB35">
        <v>21686.412971201436</v>
      </c>
      <c r="CC35">
        <v>6556.1260772092091</v>
      </c>
      <c r="CD35" t="s">
        <v>687</v>
      </c>
      <c r="CE35">
        <v>29887.712977749532</v>
      </c>
      <c r="CF35" t="s">
        <v>687</v>
      </c>
      <c r="CG35" t="s">
        <v>687</v>
      </c>
      <c r="CH35">
        <v>9</v>
      </c>
      <c r="CI35">
        <v>2</v>
      </c>
      <c r="CJ35">
        <v>0</v>
      </c>
      <c r="CK35">
        <v>2</v>
      </c>
      <c r="CL35">
        <v>0</v>
      </c>
      <c r="CM35">
        <v>0</v>
      </c>
      <c r="CN35">
        <v>13662440.171856904</v>
      </c>
      <c r="CO35">
        <v>630</v>
      </c>
      <c r="CP35">
        <v>393367.56463255256</v>
      </c>
      <c r="CQ35">
        <v>60</v>
      </c>
      <c r="CR35">
        <v>0</v>
      </c>
      <c r="CS35">
        <v>0</v>
      </c>
      <c r="CT35">
        <v>17932627.786649719</v>
      </c>
      <c r="CU35">
        <v>600</v>
      </c>
      <c r="CV35">
        <v>0</v>
      </c>
      <c r="CW35">
        <v>0</v>
      </c>
      <c r="CX35">
        <v>0</v>
      </c>
      <c r="CY35">
        <v>0</v>
      </c>
      <c r="CZ35" s="246">
        <v>0.24909144484824675</v>
      </c>
      <c r="DA35" s="246">
        <v>0.23713554142231766</v>
      </c>
      <c r="DB35" s="123">
        <v>210347814.08000001</v>
      </c>
      <c r="DC35" s="174">
        <v>89.5</v>
      </c>
      <c r="DD35" s="174">
        <v>6.7</v>
      </c>
      <c r="DE35" s="174">
        <v>1.3</v>
      </c>
      <c r="DF35" s="174">
        <v>74.2</v>
      </c>
      <c r="DG35" s="174">
        <v>12.6</v>
      </c>
      <c r="DH35" s="174">
        <v>4.3</v>
      </c>
      <c r="DI35" s="174">
        <v>97.5</v>
      </c>
      <c r="DJ35" s="174">
        <v>91</v>
      </c>
    </row>
    <row r="36" spans="1:114" x14ac:dyDescent="0.45">
      <c r="A36">
        <v>330</v>
      </c>
      <c r="B36" s="247">
        <v>3.9716866346350299E-2</v>
      </c>
      <c r="C36" s="169">
        <v>1.1403500981376101E-2</v>
      </c>
      <c r="D36" s="169">
        <v>4.26408290702276E-2</v>
      </c>
      <c r="E36" s="169">
        <v>1.5918851966403299E-2</v>
      </c>
      <c r="F36" s="206">
        <v>13591</v>
      </c>
      <c r="G36" s="206">
        <v>18209</v>
      </c>
      <c r="H36" s="206">
        <v>1580</v>
      </c>
      <c r="I36" s="206">
        <v>790</v>
      </c>
      <c r="J36" s="189">
        <v>6.22100896835978E-2</v>
      </c>
      <c r="K36" s="189">
        <v>6.2626444296601094E-2</v>
      </c>
      <c r="L36" s="206">
        <v>1500</v>
      </c>
      <c r="M36" s="206">
        <v>4787</v>
      </c>
      <c r="N36" s="4">
        <v>150</v>
      </c>
      <c r="O36" s="4">
        <v>225</v>
      </c>
      <c r="P36" s="4">
        <v>129</v>
      </c>
      <c r="Q36" s="4">
        <v>0</v>
      </c>
      <c r="R36" s="4">
        <v>0</v>
      </c>
      <c r="S36" s="4">
        <v>19434</v>
      </c>
      <c r="T36" s="4">
        <v>74181</v>
      </c>
      <c r="U36" s="4">
        <v>16138</v>
      </c>
      <c r="V36" s="4">
        <v>3810</v>
      </c>
      <c r="W36" s="4">
        <v>0</v>
      </c>
      <c r="X36" s="4">
        <v>0.74404761904761896</v>
      </c>
      <c r="Y36" s="4">
        <v>105</v>
      </c>
      <c r="Z36" s="4">
        <v>160</v>
      </c>
      <c r="AA36" s="4">
        <v>244</v>
      </c>
      <c r="AB36" s="4">
        <v>60</v>
      </c>
      <c r="AC36" s="4">
        <v>0</v>
      </c>
      <c r="AD36" s="4">
        <v>800</v>
      </c>
      <c r="AE36" s="4">
        <v>27429</v>
      </c>
      <c r="AF36" s="4">
        <v>35691</v>
      </c>
      <c r="AG36" s="4">
        <v>11669</v>
      </c>
      <c r="AH36" s="4">
        <v>5078</v>
      </c>
      <c r="AI36" s="4">
        <v>0</v>
      </c>
      <c r="AJ36" s="4">
        <v>0.87068965517241403</v>
      </c>
      <c r="AK36" s="4">
        <v>84</v>
      </c>
      <c r="AL36" s="4">
        <v>0</v>
      </c>
      <c r="AM36" s="4">
        <v>0</v>
      </c>
      <c r="AN36" s="4">
        <v>184</v>
      </c>
      <c r="AO36" s="4">
        <v>0</v>
      </c>
      <c r="AP36" s="4">
        <v>120</v>
      </c>
      <c r="AQ36" s="4">
        <v>960</v>
      </c>
      <c r="AR36" s="4">
        <v>0</v>
      </c>
      <c r="AS36" s="4">
        <v>74</v>
      </c>
      <c r="AT36" s="4">
        <v>18143</v>
      </c>
      <c r="AU36" s="4">
        <v>12396</v>
      </c>
      <c r="AV36" s="4">
        <v>31668</v>
      </c>
      <c r="AW36" s="4">
        <v>8134</v>
      </c>
      <c r="AX36" s="4">
        <v>4144</v>
      </c>
      <c r="AY36" s="4">
        <v>5382</v>
      </c>
      <c r="AZ36" s="4">
        <v>0</v>
      </c>
      <c r="BA36" s="4">
        <v>150</v>
      </c>
      <c r="BB36" s="4">
        <v>129</v>
      </c>
      <c r="BC36" s="4">
        <v>105</v>
      </c>
      <c r="BD36" s="4">
        <v>0</v>
      </c>
      <c r="BE36" s="4">
        <v>120</v>
      </c>
      <c r="BF36" s="4">
        <v>0.390625</v>
      </c>
      <c r="BG36" s="4">
        <v>32</v>
      </c>
      <c r="BH36" s="4">
        <v>16464</v>
      </c>
      <c r="BI36" s="4">
        <v>20639</v>
      </c>
      <c r="BJ36" s="4">
        <v>49084</v>
      </c>
      <c r="BK36" s="4">
        <v>11344</v>
      </c>
      <c r="BL36" s="4">
        <v>8185</v>
      </c>
      <c r="BM36" s="4">
        <v>7847</v>
      </c>
      <c r="BN36" s="4">
        <v>0</v>
      </c>
      <c r="BO36" s="4">
        <v>150</v>
      </c>
      <c r="BP36" s="4">
        <v>234</v>
      </c>
      <c r="BQ36" s="4">
        <v>0</v>
      </c>
      <c r="BR36" s="4">
        <v>0</v>
      </c>
      <c r="BS36" s="4">
        <v>120</v>
      </c>
      <c r="BT36" s="4">
        <v>0.390625</v>
      </c>
      <c r="BU36" s="4">
        <v>28</v>
      </c>
      <c r="BV36" s="4">
        <v>8216</v>
      </c>
      <c r="BW36" s="4">
        <v>18191</v>
      </c>
      <c r="BX36" s="4">
        <v>53782</v>
      </c>
      <c r="BY36" s="4">
        <v>12600</v>
      </c>
      <c r="BZ36" s="4">
        <v>12927</v>
      </c>
      <c r="CA36" s="4">
        <v>7847</v>
      </c>
      <c r="CB36">
        <v>10964.946642308936</v>
      </c>
      <c r="CC36">
        <v>4267.4050421077873</v>
      </c>
      <c r="CD36" t="s">
        <v>687</v>
      </c>
      <c r="CE36">
        <v>7581.0912748302999</v>
      </c>
      <c r="CF36">
        <v>3805.6875857316904</v>
      </c>
      <c r="CG36" t="s">
        <v>687</v>
      </c>
      <c r="CH36">
        <v>9</v>
      </c>
      <c r="CI36">
        <v>17</v>
      </c>
      <c r="CJ36">
        <v>0</v>
      </c>
      <c r="CK36">
        <v>1</v>
      </c>
      <c r="CL36">
        <v>3</v>
      </c>
      <c r="CM36">
        <v>0</v>
      </c>
      <c r="CN36">
        <v>10131610.697493456</v>
      </c>
      <c r="CO36">
        <v>924</v>
      </c>
      <c r="CP36">
        <v>4335683.5227815118</v>
      </c>
      <c r="CQ36">
        <v>1016</v>
      </c>
      <c r="CR36">
        <v>0</v>
      </c>
      <c r="CS36">
        <v>0</v>
      </c>
      <c r="CT36">
        <v>568581.8456122725</v>
      </c>
      <c r="CU36">
        <v>75</v>
      </c>
      <c r="CV36">
        <v>380568.75857316906</v>
      </c>
      <c r="CW36">
        <v>100</v>
      </c>
      <c r="CX36">
        <v>0</v>
      </c>
      <c r="CY36">
        <v>0</v>
      </c>
      <c r="CZ36" s="246">
        <v>0.21169741382983256</v>
      </c>
      <c r="DA36" s="246">
        <v>0.25816304146065711</v>
      </c>
      <c r="DB36" s="123">
        <v>294689266.74000001</v>
      </c>
      <c r="DC36" s="174">
        <v>89.1</v>
      </c>
      <c r="DD36" s="174">
        <v>6.6</v>
      </c>
      <c r="DE36" s="174">
        <v>2.2999999999999998</v>
      </c>
      <c r="DF36" s="174">
        <v>67.7</v>
      </c>
      <c r="DG36" s="174">
        <v>12.7</v>
      </c>
      <c r="DH36" s="174">
        <v>6</v>
      </c>
      <c r="DI36" s="174">
        <v>98</v>
      </c>
      <c r="DJ36" s="174">
        <v>86.4</v>
      </c>
    </row>
    <row r="37" spans="1:114" x14ac:dyDescent="0.45">
      <c r="A37">
        <v>331</v>
      </c>
      <c r="B37" s="247">
        <v>3.1974420463629099E-4</v>
      </c>
      <c r="C37" s="169">
        <v>4.7577937649880102E-2</v>
      </c>
      <c r="D37" s="169">
        <v>1.8125910341479201E-2</v>
      </c>
      <c r="E37" s="169">
        <v>3.3122943302584001E-2</v>
      </c>
      <c r="F37" s="206">
        <v>6561</v>
      </c>
      <c r="G37" s="206">
        <v>2033</v>
      </c>
      <c r="H37" s="206">
        <v>160</v>
      </c>
      <c r="I37" s="206">
        <v>830</v>
      </c>
      <c r="J37" s="189">
        <v>7.8850945223960203E-2</v>
      </c>
      <c r="K37" s="189">
        <v>9.6867746523034495E-2</v>
      </c>
      <c r="L37" s="206">
        <v>0</v>
      </c>
      <c r="M37" s="206">
        <v>1145</v>
      </c>
      <c r="N37" s="4">
        <v>0</v>
      </c>
      <c r="O37" s="4">
        <v>0</v>
      </c>
      <c r="P37" s="4">
        <v>0</v>
      </c>
      <c r="Q37" s="4">
        <v>0</v>
      </c>
      <c r="R37" s="4">
        <v>0</v>
      </c>
      <c r="S37" s="4">
        <v>1470</v>
      </c>
      <c r="T37" s="4">
        <v>29460</v>
      </c>
      <c r="U37" s="4">
        <v>2765</v>
      </c>
      <c r="V37" s="4">
        <v>0</v>
      </c>
      <c r="W37" s="4">
        <v>0</v>
      </c>
      <c r="X37" s="4" t="s">
        <v>709</v>
      </c>
      <c r="Y37" s="4" t="s">
        <v>709</v>
      </c>
      <c r="Z37" s="4">
        <v>0</v>
      </c>
      <c r="AA37" s="4">
        <v>0</v>
      </c>
      <c r="AB37" s="4">
        <v>0</v>
      </c>
      <c r="AC37" s="4">
        <v>0</v>
      </c>
      <c r="AD37" s="4">
        <v>0</v>
      </c>
      <c r="AE37" s="4">
        <v>5064</v>
      </c>
      <c r="AF37" s="4">
        <v>13203</v>
      </c>
      <c r="AG37" s="4">
        <v>2808</v>
      </c>
      <c r="AH37" s="4">
        <v>1083</v>
      </c>
      <c r="AI37" s="4">
        <v>0</v>
      </c>
      <c r="AJ37" s="4" t="s">
        <v>709</v>
      </c>
      <c r="AK37" s="4" t="s">
        <v>709</v>
      </c>
      <c r="AL37" s="4">
        <v>0</v>
      </c>
      <c r="AM37" s="4">
        <v>0</v>
      </c>
      <c r="AN37" s="4">
        <v>0</v>
      </c>
      <c r="AO37" s="4">
        <v>0</v>
      </c>
      <c r="AP37" s="4">
        <v>0</v>
      </c>
      <c r="AQ37" s="4">
        <v>0</v>
      </c>
      <c r="AR37" s="4" t="s">
        <v>709</v>
      </c>
      <c r="AS37" s="4" t="s">
        <v>709</v>
      </c>
      <c r="AT37" s="4">
        <v>1419</v>
      </c>
      <c r="AU37" s="4">
        <v>4122</v>
      </c>
      <c r="AV37" s="4">
        <v>6697</v>
      </c>
      <c r="AW37" s="4">
        <v>4869</v>
      </c>
      <c r="AX37" s="4">
        <v>3111</v>
      </c>
      <c r="AY37" s="4">
        <v>1940</v>
      </c>
      <c r="AZ37" s="4">
        <v>0</v>
      </c>
      <c r="BA37" s="4">
        <v>0</v>
      </c>
      <c r="BB37" s="4">
        <v>0</v>
      </c>
      <c r="BC37" s="4">
        <v>0</v>
      </c>
      <c r="BD37" s="4">
        <v>0</v>
      </c>
      <c r="BE37" s="4">
        <v>0</v>
      </c>
      <c r="BF37" s="4" t="s">
        <v>709</v>
      </c>
      <c r="BG37" s="4" t="s">
        <v>709</v>
      </c>
      <c r="BH37" s="4">
        <v>840</v>
      </c>
      <c r="BI37" s="4">
        <v>3320</v>
      </c>
      <c r="BJ37" s="4">
        <v>24210</v>
      </c>
      <c r="BK37" s="4">
        <v>3360</v>
      </c>
      <c r="BL37" s="4">
        <v>315</v>
      </c>
      <c r="BM37" s="4">
        <v>1650</v>
      </c>
      <c r="BN37" s="4">
        <v>0</v>
      </c>
      <c r="BO37" s="4">
        <v>0</v>
      </c>
      <c r="BP37" s="4">
        <v>0</v>
      </c>
      <c r="BQ37" s="4">
        <v>0</v>
      </c>
      <c r="BR37" s="4">
        <v>0</v>
      </c>
      <c r="BS37" s="4">
        <v>0</v>
      </c>
      <c r="BT37" s="4" t="s">
        <v>709</v>
      </c>
      <c r="BU37" s="4" t="s">
        <v>709</v>
      </c>
      <c r="BV37" s="4">
        <v>1050</v>
      </c>
      <c r="BW37" s="4">
        <v>1470</v>
      </c>
      <c r="BX37" s="4">
        <v>23540</v>
      </c>
      <c r="BY37" s="4">
        <v>4095</v>
      </c>
      <c r="BZ37" s="4">
        <v>1890</v>
      </c>
      <c r="CA37" s="4">
        <v>1650</v>
      </c>
      <c r="CB37">
        <v>17607.750818354711</v>
      </c>
      <c r="CC37" t="s">
        <v>687</v>
      </c>
      <c r="CD37" t="s">
        <v>687</v>
      </c>
      <c r="CE37" t="s">
        <v>687</v>
      </c>
      <c r="CF37" t="s">
        <v>687</v>
      </c>
      <c r="CG37" t="s">
        <v>687</v>
      </c>
      <c r="CH37">
        <v>1</v>
      </c>
      <c r="CI37">
        <v>0</v>
      </c>
      <c r="CJ37">
        <v>0</v>
      </c>
      <c r="CK37">
        <v>0</v>
      </c>
      <c r="CL37">
        <v>0</v>
      </c>
      <c r="CM37">
        <v>0</v>
      </c>
      <c r="CN37">
        <v>3697627.671854489</v>
      </c>
      <c r="CO37">
        <v>210</v>
      </c>
      <c r="CP37">
        <v>0</v>
      </c>
      <c r="CQ37">
        <v>0</v>
      </c>
      <c r="CR37">
        <v>0</v>
      </c>
      <c r="CS37">
        <v>0</v>
      </c>
      <c r="CT37">
        <v>0</v>
      </c>
      <c r="CU37">
        <v>0</v>
      </c>
      <c r="CV37">
        <v>0</v>
      </c>
      <c r="CW37">
        <v>0</v>
      </c>
      <c r="CX37">
        <v>0</v>
      </c>
      <c r="CY37">
        <v>0</v>
      </c>
      <c r="CZ37" s="246">
        <v>0.25597486777746847</v>
      </c>
      <c r="DA37" s="246">
        <v>0.21631687851019804</v>
      </c>
      <c r="DB37" s="123">
        <v>84472943.099999994</v>
      </c>
      <c r="DC37" s="174">
        <v>94.8</v>
      </c>
      <c r="DD37" s="174">
        <v>4</v>
      </c>
      <c r="DE37" s="174">
        <v>0.5</v>
      </c>
      <c r="DF37" s="174">
        <v>77.2</v>
      </c>
      <c r="DG37" s="174">
        <v>11.5</v>
      </c>
      <c r="DH37" s="174">
        <v>3.7</v>
      </c>
      <c r="DI37" s="174">
        <v>99.3</v>
      </c>
      <c r="DJ37" s="174">
        <v>92.5</v>
      </c>
    </row>
    <row r="38" spans="1:114" x14ac:dyDescent="0.45">
      <c r="A38">
        <v>332</v>
      </c>
      <c r="B38" s="247">
        <v>6.4487599955779899E-3</v>
      </c>
      <c r="C38" s="169">
        <v>7.44371153775288E-3</v>
      </c>
      <c r="D38" s="169">
        <v>3.4170854271356799E-2</v>
      </c>
      <c r="E38" s="169">
        <v>3.3106710020691702E-3</v>
      </c>
      <c r="F38" s="206">
        <v>889</v>
      </c>
      <c r="G38" s="206">
        <v>0</v>
      </c>
      <c r="H38" s="206">
        <v>140</v>
      </c>
      <c r="I38" s="206">
        <v>90</v>
      </c>
      <c r="J38" s="189">
        <v>4.1772396829099598E-2</v>
      </c>
      <c r="K38" s="189">
        <v>0.101501066866493</v>
      </c>
      <c r="L38" s="206">
        <v>0</v>
      </c>
      <c r="M38" s="206">
        <v>645</v>
      </c>
      <c r="N38" s="4">
        <v>0</v>
      </c>
      <c r="O38" s="4">
        <v>15</v>
      </c>
      <c r="P38" s="4">
        <v>42</v>
      </c>
      <c r="Q38" s="4">
        <v>0</v>
      </c>
      <c r="R38" s="4">
        <v>0</v>
      </c>
      <c r="S38" s="4">
        <v>1844</v>
      </c>
      <c r="T38" s="4">
        <v>19652</v>
      </c>
      <c r="U38" s="4">
        <v>4362</v>
      </c>
      <c r="V38" s="4">
        <v>1050</v>
      </c>
      <c r="W38" s="4">
        <v>0</v>
      </c>
      <c r="X38" s="4">
        <v>0.26315789473684198</v>
      </c>
      <c r="Y38" s="4">
        <v>116</v>
      </c>
      <c r="Z38" s="4">
        <v>0</v>
      </c>
      <c r="AA38" s="4">
        <v>0</v>
      </c>
      <c r="AB38" s="4">
        <v>0</v>
      </c>
      <c r="AC38" s="4">
        <v>0</v>
      </c>
      <c r="AD38" s="4">
        <v>0</v>
      </c>
      <c r="AE38" s="4">
        <v>3475</v>
      </c>
      <c r="AF38" s="4">
        <v>11357</v>
      </c>
      <c r="AG38" s="4">
        <v>1630</v>
      </c>
      <c r="AH38" s="4">
        <v>900</v>
      </c>
      <c r="AI38" s="4">
        <v>0</v>
      </c>
      <c r="AJ38" s="4" t="s">
        <v>709</v>
      </c>
      <c r="AK38" s="4" t="s">
        <v>709</v>
      </c>
      <c r="AL38" s="4">
        <v>0</v>
      </c>
      <c r="AM38" s="4">
        <v>0</v>
      </c>
      <c r="AN38" s="4">
        <v>0</v>
      </c>
      <c r="AO38" s="4">
        <v>0</v>
      </c>
      <c r="AP38" s="4">
        <v>0</v>
      </c>
      <c r="AQ38" s="4">
        <v>0</v>
      </c>
      <c r="AR38" s="4" t="s">
        <v>709</v>
      </c>
      <c r="AS38" s="4" t="s">
        <v>709</v>
      </c>
      <c r="AT38" s="4">
        <v>0</v>
      </c>
      <c r="AU38" s="4">
        <v>2755</v>
      </c>
      <c r="AV38" s="4">
        <v>5866</v>
      </c>
      <c r="AW38" s="4">
        <v>8741</v>
      </c>
      <c r="AX38" s="4">
        <v>0</v>
      </c>
      <c r="AY38" s="4">
        <v>0</v>
      </c>
      <c r="AZ38" s="4">
        <v>0</v>
      </c>
      <c r="BA38" s="4">
        <v>15</v>
      </c>
      <c r="BB38" s="4">
        <v>42</v>
      </c>
      <c r="BC38" s="4">
        <v>0</v>
      </c>
      <c r="BD38" s="4">
        <v>0</v>
      </c>
      <c r="BE38" s="4">
        <v>0</v>
      </c>
      <c r="BF38" s="4">
        <v>0.26315789473684198</v>
      </c>
      <c r="BG38" s="4">
        <v>45</v>
      </c>
      <c r="BH38" s="4">
        <v>630</v>
      </c>
      <c r="BI38" s="4">
        <v>3349</v>
      </c>
      <c r="BJ38" s="4">
        <v>11057</v>
      </c>
      <c r="BK38" s="4">
        <v>7577</v>
      </c>
      <c r="BL38" s="4">
        <v>4295</v>
      </c>
      <c r="BM38" s="4">
        <v>0</v>
      </c>
      <c r="BN38" s="4">
        <v>0</v>
      </c>
      <c r="BO38" s="4">
        <v>0</v>
      </c>
      <c r="BP38" s="4">
        <v>57</v>
      </c>
      <c r="BQ38" s="4">
        <v>0</v>
      </c>
      <c r="BR38" s="4">
        <v>0</v>
      </c>
      <c r="BS38" s="4">
        <v>0</v>
      </c>
      <c r="BT38" s="4">
        <v>0</v>
      </c>
      <c r="BU38" s="4">
        <v>69</v>
      </c>
      <c r="BV38" s="4">
        <v>210</v>
      </c>
      <c r="BW38" s="4">
        <v>1724</v>
      </c>
      <c r="BX38" s="4">
        <v>13301</v>
      </c>
      <c r="BY38" s="4">
        <v>4436</v>
      </c>
      <c r="BZ38" s="4">
        <v>7237</v>
      </c>
      <c r="CA38" s="4">
        <v>0</v>
      </c>
      <c r="CB38">
        <v>15443.573915301702</v>
      </c>
      <c r="CC38" t="s">
        <v>687</v>
      </c>
      <c r="CD38" t="s">
        <v>687</v>
      </c>
      <c r="CE38" t="s">
        <v>687</v>
      </c>
      <c r="CF38" t="s">
        <v>687</v>
      </c>
      <c r="CG38" t="s">
        <v>687</v>
      </c>
      <c r="CH38">
        <v>9</v>
      </c>
      <c r="CI38">
        <v>0</v>
      </c>
      <c r="CJ38">
        <v>0</v>
      </c>
      <c r="CK38">
        <v>0</v>
      </c>
      <c r="CL38">
        <v>0</v>
      </c>
      <c r="CM38">
        <v>0</v>
      </c>
      <c r="CN38">
        <v>9188926.4796045125</v>
      </c>
      <c r="CO38">
        <v>595</v>
      </c>
      <c r="CP38">
        <v>0</v>
      </c>
      <c r="CQ38">
        <v>0</v>
      </c>
      <c r="CR38">
        <v>0</v>
      </c>
      <c r="CS38">
        <v>0</v>
      </c>
      <c r="CT38">
        <v>0</v>
      </c>
      <c r="CU38">
        <v>0</v>
      </c>
      <c r="CV38">
        <v>0</v>
      </c>
      <c r="CW38">
        <v>0</v>
      </c>
      <c r="CX38">
        <v>0</v>
      </c>
      <c r="CY38">
        <v>0</v>
      </c>
      <c r="CZ38" s="246">
        <v>0.11885597548518897</v>
      </c>
      <c r="DA38" s="246">
        <v>-7.9678172852322871E-2</v>
      </c>
      <c r="DB38" s="123">
        <v>30664155.280000001</v>
      </c>
      <c r="DC38" s="174">
        <v>92.3</v>
      </c>
      <c r="DD38" s="174">
        <v>4.7</v>
      </c>
      <c r="DE38" s="174">
        <v>1</v>
      </c>
      <c r="DF38" s="174">
        <v>82</v>
      </c>
      <c r="DG38" s="174">
        <v>9.6</v>
      </c>
      <c r="DH38" s="174">
        <v>2.6</v>
      </c>
      <c r="DI38" s="174">
        <v>98</v>
      </c>
      <c r="DJ38" s="174">
        <v>94.3</v>
      </c>
    </row>
    <row r="39" spans="1:114" x14ac:dyDescent="0.45">
      <c r="A39">
        <v>333</v>
      </c>
      <c r="B39" s="247">
        <v>-4.6631053920845296E-3</v>
      </c>
      <c r="C39" s="169">
        <v>2.8923058761030599E-3</v>
      </c>
      <c r="D39" s="169">
        <v>2.8817572673686301E-2</v>
      </c>
      <c r="E39" s="169">
        <v>1.18393873746788E-2</v>
      </c>
      <c r="F39" s="206">
        <v>5421</v>
      </c>
      <c r="G39" s="206">
        <v>2579</v>
      </c>
      <c r="H39" s="206">
        <v>480</v>
      </c>
      <c r="I39" s="206">
        <v>460</v>
      </c>
      <c r="J39" s="189">
        <v>3.57247500542218E-2</v>
      </c>
      <c r="K39" s="189">
        <v>5.5041256993542002E-2</v>
      </c>
      <c r="L39" s="206">
        <v>240</v>
      </c>
      <c r="M39" s="206">
        <v>1415</v>
      </c>
      <c r="N39" s="4">
        <v>0</v>
      </c>
      <c r="O39" s="4">
        <v>0</v>
      </c>
      <c r="P39" s="4">
        <v>0</v>
      </c>
      <c r="Q39" s="4">
        <v>0</v>
      </c>
      <c r="R39" s="4">
        <v>0</v>
      </c>
      <c r="S39" s="4">
        <v>6668</v>
      </c>
      <c r="T39" s="4">
        <v>20363</v>
      </c>
      <c r="U39" s="4">
        <v>6040</v>
      </c>
      <c r="V39" s="4">
        <v>762</v>
      </c>
      <c r="W39" s="4">
        <v>0</v>
      </c>
      <c r="X39" s="4" t="s">
        <v>709</v>
      </c>
      <c r="Y39" s="4" t="s">
        <v>709</v>
      </c>
      <c r="Z39" s="4">
        <v>0</v>
      </c>
      <c r="AA39" s="4">
        <v>0</v>
      </c>
      <c r="AB39" s="4">
        <v>0</v>
      </c>
      <c r="AC39" s="4">
        <v>0</v>
      </c>
      <c r="AD39" s="4">
        <v>0</v>
      </c>
      <c r="AE39" s="4">
        <v>4000</v>
      </c>
      <c r="AF39" s="4">
        <v>12602</v>
      </c>
      <c r="AG39" s="4">
        <v>4855</v>
      </c>
      <c r="AH39" s="4">
        <v>1476</v>
      </c>
      <c r="AI39" s="4">
        <v>0</v>
      </c>
      <c r="AJ39" s="4" t="s">
        <v>709</v>
      </c>
      <c r="AK39" s="4" t="s">
        <v>709</v>
      </c>
      <c r="AL39" s="4">
        <v>0</v>
      </c>
      <c r="AM39" s="4">
        <v>0</v>
      </c>
      <c r="AN39" s="4">
        <v>0</v>
      </c>
      <c r="AO39" s="4">
        <v>0</v>
      </c>
      <c r="AP39" s="4">
        <v>0</v>
      </c>
      <c r="AQ39" s="4">
        <v>0</v>
      </c>
      <c r="AR39" s="4" t="s">
        <v>709</v>
      </c>
      <c r="AS39" s="4" t="s">
        <v>709</v>
      </c>
      <c r="AT39" s="4">
        <v>0</v>
      </c>
      <c r="AU39" s="4">
        <v>2153</v>
      </c>
      <c r="AV39" s="4">
        <v>10573</v>
      </c>
      <c r="AW39" s="4">
        <v>7583</v>
      </c>
      <c r="AX39" s="4">
        <v>1394</v>
      </c>
      <c r="AY39" s="4">
        <v>1230</v>
      </c>
      <c r="AZ39" s="4">
        <v>0</v>
      </c>
      <c r="BA39" s="4">
        <v>0</v>
      </c>
      <c r="BB39" s="4">
        <v>0</v>
      </c>
      <c r="BC39" s="4">
        <v>0</v>
      </c>
      <c r="BD39" s="4">
        <v>0</v>
      </c>
      <c r="BE39" s="4">
        <v>0</v>
      </c>
      <c r="BF39" s="4" t="s">
        <v>709</v>
      </c>
      <c r="BG39" s="4" t="s">
        <v>709</v>
      </c>
      <c r="BH39" s="4">
        <v>4315</v>
      </c>
      <c r="BI39" s="4">
        <v>6504</v>
      </c>
      <c r="BJ39" s="4">
        <v>15716</v>
      </c>
      <c r="BK39" s="4">
        <v>3470</v>
      </c>
      <c r="BL39" s="4">
        <v>1882</v>
      </c>
      <c r="BM39" s="4">
        <v>1946</v>
      </c>
      <c r="BN39" s="4">
        <v>0</v>
      </c>
      <c r="BO39" s="4">
        <v>0</v>
      </c>
      <c r="BP39" s="4">
        <v>0</v>
      </c>
      <c r="BQ39" s="4">
        <v>0</v>
      </c>
      <c r="BR39" s="4">
        <v>0</v>
      </c>
      <c r="BS39" s="4">
        <v>0</v>
      </c>
      <c r="BT39" s="4" t="s">
        <v>709</v>
      </c>
      <c r="BU39" s="4" t="s">
        <v>709</v>
      </c>
      <c r="BV39" s="4">
        <v>1759</v>
      </c>
      <c r="BW39" s="4">
        <v>5288</v>
      </c>
      <c r="BX39" s="4">
        <v>19267</v>
      </c>
      <c r="BY39" s="4">
        <v>2657</v>
      </c>
      <c r="BZ39" s="4">
        <v>2916</v>
      </c>
      <c r="CA39" s="4">
        <v>1946</v>
      </c>
      <c r="CB39">
        <v>15320.290944446189</v>
      </c>
      <c r="CC39">
        <v>6800.7757922378096</v>
      </c>
      <c r="CD39" t="s">
        <v>687</v>
      </c>
      <c r="CE39">
        <v>22623.453293556468</v>
      </c>
      <c r="CF39" t="s">
        <v>687</v>
      </c>
      <c r="CG39">
        <v>27257.875671540314</v>
      </c>
      <c r="CH39">
        <v>6</v>
      </c>
      <c r="CI39">
        <v>11</v>
      </c>
      <c r="CJ39">
        <v>0</v>
      </c>
      <c r="CK39">
        <v>1</v>
      </c>
      <c r="CL39">
        <v>0</v>
      </c>
      <c r="CM39">
        <v>1</v>
      </c>
      <c r="CN39">
        <v>17986021.568779826</v>
      </c>
      <c r="CO39">
        <v>1174</v>
      </c>
      <c r="CP39">
        <v>2040232.7376713429</v>
      </c>
      <c r="CQ39">
        <v>300</v>
      </c>
      <c r="CR39">
        <v>0</v>
      </c>
      <c r="CS39">
        <v>0</v>
      </c>
      <c r="CT39">
        <v>6787035.9880669406</v>
      </c>
      <c r="CU39">
        <v>300</v>
      </c>
      <c r="CV39">
        <v>0</v>
      </c>
      <c r="CW39">
        <v>0</v>
      </c>
      <c r="CX39">
        <v>19625670.483509026</v>
      </c>
      <c r="CY39">
        <v>720</v>
      </c>
      <c r="CZ39" s="246">
        <v>0.29880553864881315</v>
      </c>
      <c r="DA39" s="246">
        <v>0.72584097859327212</v>
      </c>
      <c r="DB39" s="123">
        <v>111350997.27</v>
      </c>
      <c r="DC39" s="174">
        <v>91.2</v>
      </c>
      <c r="DD39" s="174">
        <v>4</v>
      </c>
      <c r="DE39" s="174">
        <v>1.3</v>
      </c>
      <c r="DF39" s="174">
        <v>73.3</v>
      </c>
      <c r="DG39" s="174">
        <v>11.9</v>
      </c>
      <c r="DH39" s="174">
        <v>4.4000000000000004</v>
      </c>
      <c r="DI39" s="174">
        <v>96.6</v>
      </c>
      <c r="DJ39" s="174">
        <v>89.6</v>
      </c>
    </row>
    <row r="40" spans="1:114" x14ac:dyDescent="0.45">
      <c r="A40">
        <v>334</v>
      </c>
      <c r="B40" s="247">
        <v>2.06288909992614E-2</v>
      </c>
      <c r="C40" s="169">
        <v>7.28078505856284E-3</v>
      </c>
      <c r="D40" s="169">
        <v>3.6415999999999997E-2</v>
      </c>
      <c r="E40" s="169">
        <v>1.6320000000000001E-2</v>
      </c>
      <c r="F40" s="206">
        <v>879</v>
      </c>
      <c r="G40" s="206">
        <v>1246</v>
      </c>
      <c r="H40" s="206">
        <v>160</v>
      </c>
      <c r="I40" s="206">
        <v>20</v>
      </c>
      <c r="J40" s="189">
        <v>4.5757021279231799E-2</v>
      </c>
      <c r="K40" s="189">
        <v>7.6469693564751806E-2</v>
      </c>
      <c r="L40" s="206">
        <v>513</v>
      </c>
      <c r="M40" s="206">
        <v>150</v>
      </c>
      <c r="N40" s="4">
        <v>30</v>
      </c>
      <c r="O40" s="4">
        <v>248</v>
      </c>
      <c r="P40" s="4">
        <v>0</v>
      </c>
      <c r="Q40" s="4">
        <v>0</v>
      </c>
      <c r="R40" s="4">
        <v>0</v>
      </c>
      <c r="S40" s="4">
        <v>4928</v>
      </c>
      <c r="T40" s="4">
        <v>11986</v>
      </c>
      <c r="U40" s="4">
        <v>2614</v>
      </c>
      <c r="V40" s="4">
        <v>0</v>
      </c>
      <c r="W40" s="4">
        <v>0</v>
      </c>
      <c r="X40" s="4">
        <v>1</v>
      </c>
      <c r="Y40" s="4">
        <v>1</v>
      </c>
      <c r="Z40" s="4">
        <v>30</v>
      </c>
      <c r="AA40" s="4">
        <v>55</v>
      </c>
      <c r="AB40" s="4">
        <v>0</v>
      </c>
      <c r="AC40" s="4">
        <v>0</v>
      </c>
      <c r="AD40" s="4">
        <v>0</v>
      </c>
      <c r="AE40" s="4">
        <v>4557</v>
      </c>
      <c r="AF40" s="4">
        <v>9310</v>
      </c>
      <c r="AG40" s="4">
        <v>4030</v>
      </c>
      <c r="AH40" s="4">
        <v>0</v>
      </c>
      <c r="AI40" s="4">
        <v>0</v>
      </c>
      <c r="AJ40" s="4">
        <v>1</v>
      </c>
      <c r="AK40" s="4">
        <v>1</v>
      </c>
      <c r="AL40" s="4">
        <v>30</v>
      </c>
      <c r="AM40" s="4">
        <v>0</v>
      </c>
      <c r="AN40" s="4">
        <v>55</v>
      </c>
      <c r="AO40" s="4">
        <v>0</v>
      </c>
      <c r="AP40" s="4">
        <v>0</v>
      </c>
      <c r="AQ40" s="4">
        <v>0</v>
      </c>
      <c r="AR40" s="4">
        <v>0.35294117647058798</v>
      </c>
      <c r="AS40" s="4">
        <v>54</v>
      </c>
      <c r="AT40" s="4">
        <v>1500</v>
      </c>
      <c r="AU40" s="4">
        <v>4231</v>
      </c>
      <c r="AV40" s="4">
        <v>9196</v>
      </c>
      <c r="AW40" s="4">
        <v>1250</v>
      </c>
      <c r="AX40" s="4">
        <v>1400</v>
      </c>
      <c r="AY40" s="4">
        <v>320</v>
      </c>
      <c r="AZ40" s="4">
        <v>105</v>
      </c>
      <c r="BA40" s="4">
        <v>120</v>
      </c>
      <c r="BB40" s="4">
        <v>0</v>
      </c>
      <c r="BC40" s="4">
        <v>53</v>
      </c>
      <c r="BD40" s="4">
        <v>0</v>
      </c>
      <c r="BE40" s="4">
        <v>0</v>
      </c>
      <c r="BF40" s="4">
        <v>0.80935251798561103</v>
      </c>
      <c r="BG40" s="4">
        <v>16</v>
      </c>
      <c r="BH40" s="4">
        <v>2608</v>
      </c>
      <c r="BI40" s="4">
        <v>1455</v>
      </c>
      <c r="BJ40" s="4">
        <v>8297</v>
      </c>
      <c r="BK40" s="4">
        <v>4922</v>
      </c>
      <c r="BL40" s="4">
        <v>210</v>
      </c>
      <c r="BM40" s="4">
        <v>2036</v>
      </c>
      <c r="BN40" s="4">
        <v>105</v>
      </c>
      <c r="BO40" s="4">
        <v>120</v>
      </c>
      <c r="BP40" s="4">
        <v>30</v>
      </c>
      <c r="BQ40" s="4">
        <v>23</v>
      </c>
      <c r="BR40" s="4">
        <v>0</v>
      </c>
      <c r="BS40" s="4">
        <v>0</v>
      </c>
      <c r="BT40" s="4">
        <v>0.80935251798561103</v>
      </c>
      <c r="BU40" s="4">
        <v>14</v>
      </c>
      <c r="BV40" s="4">
        <v>1365</v>
      </c>
      <c r="BW40" s="4">
        <v>1905</v>
      </c>
      <c r="BX40" s="4">
        <v>11243</v>
      </c>
      <c r="BY40" s="4">
        <v>1200</v>
      </c>
      <c r="BZ40" s="4">
        <v>1779</v>
      </c>
      <c r="CA40" s="4">
        <v>2036</v>
      </c>
      <c r="CB40">
        <v>18567.439250230284</v>
      </c>
      <c r="CC40">
        <v>3926.7304988689598</v>
      </c>
      <c r="CD40" t="s">
        <v>687</v>
      </c>
      <c r="CE40">
        <v>14223.354429540048</v>
      </c>
      <c r="CF40" t="s">
        <v>687</v>
      </c>
      <c r="CG40" t="s">
        <v>687</v>
      </c>
      <c r="CH40">
        <v>6</v>
      </c>
      <c r="CI40">
        <v>6</v>
      </c>
      <c r="CJ40">
        <v>0</v>
      </c>
      <c r="CK40">
        <v>1</v>
      </c>
      <c r="CL40">
        <v>0</v>
      </c>
      <c r="CM40">
        <v>0</v>
      </c>
      <c r="CN40">
        <v>9747905.606370898</v>
      </c>
      <c r="CO40">
        <v>525</v>
      </c>
      <c r="CP40">
        <v>530108.6173473096</v>
      </c>
      <c r="CQ40">
        <v>135</v>
      </c>
      <c r="CR40">
        <v>0</v>
      </c>
      <c r="CS40">
        <v>0</v>
      </c>
      <c r="CT40">
        <v>2133503.1644310071</v>
      </c>
      <c r="CU40">
        <v>150</v>
      </c>
      <c r="CV40">
        <v>0</v>
      </c>
      <c r="CW40">
        <v>0</v>
      </c>
      <c r="CX40">
        <v>0</v>
      </c>
      <c r="CY40">
        <v>0</v>
      </c>
      <c r="CZ40" s="246">
        <v>0.14422851791149613</v>
      </c>
      <c r="DA40" s="246">
        <v>0.33925962006819288</v>
      </c>
      <c r="DB40" s="123">
        <v>32580117.679999996</v>
      </c>
      <c r="DC40" s="174">
        <v>89.8</v>
      </c>
      <c r="DD40" s="174">
        <v>6.3</v>
      </c>
      <c r="DE40" s="174">
        <v>1.2</v>
      </c>
      <c r="DF40" s="174">
        <v>79.3</v>
      </c>
      <c r="DG40" s="174">
        <v>9.1</v>
      </c>
      <c r="DH40" s="174">
        <v>4</v>
      </c>
      <c r="DI40" s="174">
        <v>97.3</v>
      </c>
      <c r="DJ40" s="174">
        <v>92.4</v>
      </c>
    </row>
    <row r="41" spans="1:114" x14ac:dyDescent="0.45">
      <c r="A41">
        <v>335</v>
      </c>
      <c r="B41" s="247">
        <v>-2.47887323943662E-2</v>
      </c>
      <c r="C41" s="169">
        <v>-2.8544600938967099E-3</v>
      </c>
      <c r="D41" s="169">
        <v>3.0124992799953901E-2</v>
      </c>
      <c r="E41" s="169">
        <v>5.0688324405276201E-3</v>
      </c>
      <c r="F41" s="206">
        <v>2048</v>
      </c>
      <c r="G41" s="206">
        <v>0</v>
      </c>
      <c r="H41" s="206">
        <v>430</v>
      </c>
      <c r="I41" s="206">
        <v>220</v>
      </c>
      <c r="J41" s="189">
        <v>5.8806277918878602E-2</v>
      </c>
      <c r="K41" s="189">
        <v>4.12861218108126E-2</v>
      </c>
      <c r="L41" s="206">
        <v>660</v>
      </c>
      <c r="M41" s="206">
        <v>300</v>
      </c>
      <c r="N41" s="4">
        <v>180</v>
      </c>
      <c r="O41" s="4">
        <v>167</v>
      </c>
      <c r="P41" s="4">
        <v>0</v>
      </c>
      <c r="Q41" s="4">
        <v>0</v>
      </c>
      <c r="R41" s="4">
        <v>0</v>
      </c>
      <c r="S41" s="4">
        <v>3735</v>
      </c>
      <c r="T41" s="4">
        <v>17972</v>
      </c>
      <c r="U41" s="4">
        <v>4020</v>
      </c>
      <c r="V41" s="4">
        <v>840</v>
      </c>
      <c r="W41" s="4">
        <v>0</v>
      </c>
      <c r="X41" s="4">
        <v>1</v>
      </c>
      <c r="Y41" s="4">
        <v>1</v>
      </c>
      <c r="Z41" s="4">
        <v>164</v>
      </c>
      <c r="AA41" s="4">
        <v>0</v>
      </c>
      <c r="AB41" s="4">
        <v>100</v>
      </c>
      <c r="AC41" s="4">
        <v>0</v>
      </c>
      <c r="AD41" s="4">
        <v>0</v>
      </c>
      <c r="AE41" s="4">
        <v>3228</v>
      </c>
      <c r="AF41" s="4">
        <v>9387</v>
      </c>
      <c r="AG41" s="4">
        <v>9097</v>
      </c>
      <c r="AH41" s="4">
        <v>0</v>
      </c>
      <c r="AI41" s="4">
        <v>0</v>
      </c>
      <c r="AJ41" s="4">
        <v>0.62121212121212099</v>
      </c>
      <c r="AK41" s="4">
        <v>102</v>
      </c>
      <c r="AL41" s="4">
        <v>164</v>
      </c>
      <c r="AM41" s="4">
        <v>0</v>
      </c>
      <c r="AN41" s="4">
        <v>0</v>
      </c>
      <c r="AO41" s="4">
        <v>100</v>
      </c>
      <c r="AP41" s="4">
        <v>0</v>
      </c>
      <c r="AQ41" s="4">
        <v>0</v>
      </c>
      <c r="AR41" s="4">
        <v>0.62121212121212099</v>
      </c>
      <c r="AS41" s="4">
        <v>39</v>
      </c>
      <c r="AT41" s="4">
        <v>1728</v>
      </c>
      <c r="AU41" s="4">
        <v>2614</v>
      </c>
      <c r="AV41" s="4">
        <v>9456</v>
      </c>
      <c r="AW41" s="4">
        <v>6264</v>
      </c>
      <c r="AX41" s="4">
        <v>1350</v>
      </c>
      <c r="AY41" s="4">
        <v>300</v>
      </c>
      <c r="AZ41" s="4">
        <v>95</v>
      </c>
      <c r="BA41" s="4">
        <v>180</v>
      </c>
      <c r="BB41" s="4">
        <v>45</v>
      </c>
      <c r="BC41" s="4">
        <v>0</v>
      </c>
      <c r="BD41" s="4">
        <v>0</v>
      </c>
      <c r="BE41" s="4">
        <v>27</v>
      </c>
      <c r="BF41" s="4">
        <v>0.859375</v>
      </c>
      <c r="BG41" s="4">
        <v>14</v>
      </c>
      <c r="BH41" s="4">
        <v>2980</v>
      </c>
      <c r="BI41" s="4">
        <v>3678</v>
      </c>
      <c r="BJ41" s="4">
        <v>12991</v>
      </c>
      <c r="BK41" s="4">
        <v>3480</v>
      </c>
      <c r="BL41" s="4">
        <v>1155</v>
      </c>
      <c r="BM41" s="4">
        <v>2283</v>
      </c>
      <c r="BN41" s="4">
        <v>0</v>
      </c>
      <c r="BO41" s="4">
        <v>105</v>
      </c>
      <c r="BP41" s="4">
        <v>170</v>
      </c>
      <c r="BQ41" s="4">
        <v>45</v>
      </c>
      <c r="BR41" s="4">
        <v>0</v>
      </c>
      <c r="BS41" s="4">
        <v>27</v>
      </c>
      <c r="BT41" s="4">
        <v>0.328125</v>
      </c>
      <c r="BU41" s="4">
        <v>35</v>
      </c>
      <c r="BV41" s="4">
        <v>1775</v>
      </c>
      <c r="BW41" s="4">
        <v>3288</v>
      </c>
      <c r="BX41" s="4">
        <v>13431</v>
      </c>
      <c r="BY41" s="4">
        <v>3720</v>
      </c>
      <c r="BZ41" s="4">
        <v>2070</v>
      </c>
      <c r="CA41" s="4">
        <v>2283</v>
      </c>
      <c r="CB41">
        <v>25938.59321097668</v>
      </c>
      <c r="CC41" t="s">
        <v>687</v>
      </c>
      <c r="CD41" t="s">
        <v>687</v>
      </c>
      <c r="CE41" t="s">
        <v>687</v>
      </c>
      <c r="CF41" t="s">
        <v>687</v>
      </c>
      <c r="CG41" t="s">
        <v>687</v>
      </c>
      <c r="CH41">
        <v>2</v>
      </c>
      <c r="CI41">
        <v>0</v>
      </c>
      <c r="CJ41">
        <v>0</v>
      </c>
      <c r="CK41">
        <v>0</v>
      </c>
      <c r="CL41">
        <v>0</v>
      </c>
      <c r="CM41">
        <v>0</v>
      </c>
      <c r="CN41">
        <v>6121507.9977904968</v>
      </c>
      <c r="CO41">
        <v>236</v>
      </c>
      <c r="CP41">
        <v>0</v>
      </c>
      <c r="CQ41">
        <v>0</v>
      </c>
      <c r="CR41">
        <v>0</v>
      </c>
      <c r="CS41">
        <v>0</v>
      </c>
      <c r="CT41">
        <v>0</v>
      </c>
      <c r="CU41">
        <v>0</v>
      </c>
      <c r="CV41">
        <v>0</v>
      </c>
      <c r="CW41">
        <v>0</v>
      </c>
      <c r="CX41">
        <v>0</v>
      </c>
      <c r="CY41">
        <v>0</v>
      </c>
      <c r="CZ41" s="246">
        <v>0.18526028121831886</v>
      </c>
      <c r="DA41" s="246">
        <v>0.2594176338831195</v>
      </c>
      <c r="DB41" s="123">
        <v>56636835.619999997</v>
      </c>
      <c r="DC41" s="174">
        <v>89.5</v>
      </c>
      <c r="DD41" s="174">
        <v>5.5</v>
      </c>
      <c r="DE41" s="174">
        <v>1.7</v>
      </c>
      <c r="DF41" s="174">
        <v>72.900000000000006</v>
      </c>
      <c r="DG41" s="174">
        <v>12.4</v>
      </c>
      <c r="DH41" s="174">
        <v>4.3</v>
      </c>
      <c r="DI41" s="174">
        <v>96.7</v>
      </c>
      <c r="DJ41" s="174">
        <v>89.6</v>
      </c>
    </row>
    <row r="42" spans="1:114" x14ac:dyDescent="0.45">
      <c r="A42">
        <v>336</v>
      </c>
      <c r="B42" s="247">
        <v>-2.1371912375159302E-3</v>
      </c>
      <c r="C42" s="169">
        <v>8.2199662981381804E-4</v>
      </c>
      <c r="D42" s="169">
        <v>4.0126299171161697E-3</v>
      </c>
      <c r="E42" s="169">
        <v>1.8550190764373101E-2</v>
      </c>
      <c r="F42" s="206">
        <v>2208</v>
      </c>
      <c r="G42" s="206">
        <v>3345</v>
      </c>
      <c r="H42" s="206">
        <v>560</v>
      </c>
      <c r="I42" s="206">
        <v>50</v>
      </c>
      <c r="J42" s="189">
        <v>2.3693814284547102E-2</v>
      </c>
      <c r="K42" s="189">
        <v>5.57077592401507E-2</v>
      </c>
      <c r="L42" s="206">
        <v>270</v>
      </c>
      <c r="M42" s="206">
        <v>754</v>
      </c>
      <c r="N42" s="4">
        <v>0</v>
      </c>
      <c r="O42" s="4">
        <v>120</v>
      </c>
      <c r="P42" s="4">
        <v>0</v>
      </c>
      <c r="Q42" s="4">
        <v>0</v>
      </c>
      <c r="R42" s="4">
        <v>0</v>
      </c>
      <c r="S42" s="4">
        <v>3799</v>
      </c>
      <c r="T42" s="4">
        <v>18713</v>
      </c>
      <c r="U42" s="4">
        <v>983</v>
      </c>
      <c r="V42" s="4">
        <v>420</v>
      </c>
      <c r="W42" s="4">
        <v>0</v>
      </c>
      <c r="X42" s="4">
        <v>1</v>
      </c>
      <c r="Y42" s="4">
        <v>1</v>
      </c>
      <c r="Z42" s="4">
        <v>95</v>
      </c>
      <c r="AA42" s="4">
        <v>355</v>
      </c>
      <c r="AB42" s="4">
        <v>0</v>
      </c>
      <c r="AC42" s="4">
        <v>0</v>
      </c>
      <c r="AD42" s="4">
        <v>0</v>
      </c>
      <c r="AE42" s="4">
        <v>3264</v>
      </c>
      <c r="AF42" s="4">
        <v>9833</v>
      </c>
      <c r="AG42" s="4">
        <v>2937</v>
      </c>
      <c r="AH42" s="4">
        <v>0</v>
      </c>
      <c r="AI42" s="4">
        <v>0</v>
      </c>
      <c r="AJ42" s="4">
        <v>1</v>
      </c>
      <c r="AK42" s="4">
        <v>1</v>
      </c>
      <c r="AL42" s="4">
        <v>428</v>
      </c>
      <c r="AM42" s="4">
        <v>0</v>
      </c>
      <c r="AN42" s="4">
        <v>22</v>
      </c>
      <c r="AO42" s="4">
        <v>0</v>
      </c>
      <c r="AP42" s="4">
        <v>0</v>
      </c>
      <c r="AQ42" s="4">
        <v>0</v>
      </c>
      <c r="AR42" s="4">
        <v>0.95111111111111102</v>
      </c>
      <c r="AS42" s="4">
        <v>27</v>
      </c>
      <c r="AT42" s="4">
        <v>4281</v>
      </c>
      <c r="AU42" s="4">
        <v>2712</v>
      </c>
      <c r="AV42" s="4">
        <v>4706</v>
      </c>
      <c r="AW42" s="4">
        <v>1906</v>
      </c>
      <c r="AX42" s="4">
        <v>989</v>
      </c>
      <c r="AY42" s="4">
        <v>1440</v>
      </c>
      <c r="AZ42" s="4">
        <v>0</v>
      </c>
      <c r="BA42" s="4">
        <v>30</v>
      </c>
      <c r="BB42" s="4">
        <v>90</v>
      </c>
      <c r="BC42" s="4">
        <v>0</v>
      </c>
      <c r="BD42" s="4">
        <v>0</v>
      </c>
      <c r="BE42" s="4">
        <v>0</v>
      </c>
      <c r="BF42" s="4">
        <v>0.25</v>
      </c>
      <c r="BG42" s="4">
        <v>46</v>
      </c>
      <c r="BH42" s="4">
        <v>2198</v>
      </c>
      <c r="BI42" s="4">
        <v>3769</v>
      </c>
      <c r="BJ42" s="4">
        <v>13527</v>
      </c>
      <c r="BK42" s="4">
        <v>840</v>
      </c>
      <c r="BL42" s="4">
        <v>2143</v>
      </c>
      <c r="BM42" s="4">
        <v>1438</v>
      </c>
      <c r="BN42" s="4">
        <v>30</v>
      </c>
      <c r="BO42" s="4">
        <v>0</v>
      </c>
      <c r="BP42" s="4">
        <v>60</v>
      </c>
      <c r="BQ42" s="4">
        <v>0</v>
      </c>
      <c r="BR42" s="4">
        <v>30</v>
      </c>
      <c r="BS42" s="4">
        <v>0</v>
      </c>
      <c r="BT42" s="4">
        <v>0.25</v>
      </c>
      <c r="BU42" s="4">
        <v>41</v>
      </c>
      <c r="BV42" s="4">
        <v>4502</v>
      </c>
      <c r="BW42" s="4">
        <v>2402</v>
      </c>
      <c r="BX42" s="4">
        <v>12470</v>
      </c>
      <c r="BY42" s="4">
        <v>210</v>
      </c>
      <c r="BZ42" s="4">
        <v>2893</v>
      </c>
      <c r="CA42" s="4">
        <v>1438</v>
      </c>
      <c r="CB42">
        <v>21758.460181164221</v>
      </c>
      <c r="CC42">
        <v>16432.976919548255</v>
      </c>
      <c r="CD42" t="s">
        <v>687</v>
      </c>
      <c r="CE42" t="s">
        <v>687</v>
      </c>
      <c r="CF42" t="s">
        <v>687</v>
      </c>
      <c r="CG42" t="s">
        <v>687</v>
      </c>
      <c r="CH42">
        <v>6</v>
      </c>
      <c r="CI42">
        <v>8</v>
      </c>
      <c r="CJ42">
        <v>0</v>
      </c>
      <c r="CK42">
        <v>0</v>
      </c>
      <c r="CL42">
        <v>0</v>
      </c>
      <c r="CM42">
        <v>0</v>
      </c>
      <c r="CN42">
        <v>18059521.950366303</v>
      </c>
      <c r="CO42">
        <v>830</v>
      </c>
      <c r="CP42">
        <v>5915871.6910373718</v>
      </c>
      <c r="CQ42">
        <v>360</v>
      </c>
      <c r="CR42">
        <v>0</v>
      </c>
      <c r="CS42">
        <v>0</v>
      </c>
      <c r="CT42">
        <v>0</v>
      </c>
      <c r="CU42">
        <v>0</v>
      </c>
      <c r="CV42">
        <v>0</v>
      </c>
      <c r="CW42">
        <v>0</v>
      </c>
      <c r="CX42">
        <v>0</v>
      </c>
      <c r="CY42">
        <v>0</v>
      </c>
      <c r="CZ42" s="246">
        <v>0.32071339173967461</v>
      </c>
      <c r="DA42" s="246">
        <v>0.41165948451093587</v>
      </c>
      <c r="DB42" s="123">
        <v>47299625.989999995</v>
      </c>
      <c r="DC42" s="174">
        <v>87</v>
      </c>
      <c r="DD42" s="174">
        <v>7</v>
      </c>
      <c r="DE42" s="174">
        <v>2.1</v>
      </c>
      <c r="DF42" s="174">
        <v>71.7</v>
      </c>
      <c r="DG42" s="174">
        <v>10.8</v>
      </c>
      <c r="DH42" s="174">
        <v>4.9000000000000004</v>
      </c>
      <c r="DI42" s="174">
        <v>96.1</v>
      </c>
      <c r="DJ42" s="174">
        <v>87.3</v>
      </c>
    </row>
    <row r="43" spans="1:114" x14ac:dyDescent="0.45">
      <c r="A43">
        <v>340</v>
      </c>
      <c r="B43" s="247">
        <v>-1.24892670361408E-3</v>
      </c>
      <c r="C43" s="169">
        <v>1.91241901490906E-2</v>
      </c>
      <c r="D43" s="169">
        <v>7.5187969924812002E-4</v>
      </c>
      <c r="E43" s="169">
        <v>2.4436090225563901E-2</v>
      </c>
      <c r="F43" s="206">
        <v>0</v>
      </c>
      <c r="G43" s="206">
        <v>0</v>
      </c>
      <c r="H43" s="206">
        <v>30</v>
      </c>
      <c r="I43" s="206">
        <v>0</v>
      </c>
      <c r="J43" s="189">
        <v>7.5375330975620505E-2</v>
      </c>
      <c r="K43" s="189">
        <v>0.122981552394447</v>
      </c>
      <c r="L43" s="206">
        <v>0</v>
      </c>
      <c r="M43" s="206">
        <v>0</v>
      </c>
      <c r="N43" s="4">
        <v>30</v>
      </c>
      <c r="O43" s="4">
        <v>116</v>
      </c>
      <c r="P43" s="4">
        <v>0</v>
      </c>
      <c r="Q43" s="4">
        <v>0</v>
      </c>
      <c r="R43" s="4">
        <v>0</v>
      </c>
      <c r="S43" s="4">
        <v>1335</v>
      </c>
      <c r="T43" s="4">
        <v>10774</v>
      </c>
      <c r="U43" s="4">
        <v>1727</v>
      </c>
      <c r="V43" s="4">
        <v>0</v>
      </c>
      <c r="W43" s="4">
        <v>0</v>
      </c>
      <c r="X43" s="4">
        <v>1</v>
      </c>
      <c r="Y43" s="4">
        <v>1</v>
      </c>
      <c r="Z43" s="4">
        <v>0</v>
      </c>
      <c r="AA43" s="4">
        <v>60</v>
      </c>
      <c r="AB43" s="4">
        <v>0</v>
      </c>
      <c r="AC43" s="4">
        <v>0</v>
      </c>
      <c r="AD43" s="4">
        <v>0</v>
      </c>
      <c r="AE43" s="4">
        <v>0</v>
      </c>
      <c r="AF43" s="4">
        <v>1416</v>
      </c>
      <c r="AG43" s="4">
        <v>3505</v>
      </c>
      <c r="AH43" s="4">
        <v>2100</v>
      </c>
      <c r="AI43" s="4">
        <v>0</v>
      </c>
      <c r="AJ43" s="4">
        <v>1</v>
      </c>
      <c r="AK43" s="4">
        <v>1</v>
      </c>
      <c r="AL43" s="4">
        <v>0</v>
      </c>
      <c r="AM43" s="4">
        <v>0</v>
      </c>
      <c r="AN43" s="4">
        <v>0</v>
      </c>
      <c r="AO43" s="4">
        <v>0</v>
      </c>
      <c r="AP43" s="4">
        <v>60</v>
      </c>
      <c r="AQ43" s="4">
        <v>0</v>
      </c>
      <c r="AR43" s="4">
        <v>0</v>
      </c>
      <c r="AS43" s="4">
        <v>74</v>
      </c>
      <c r="AT43" s="4">
        <v>0</v>
      </c>
      <c r="AU43" s="4">
        <v>0</v>
      </c>
      <c r="AV43" s="4">
        <v>0</v>
      </c>
      <c r="AW43" s="4">
        <v>1100</v>
      </c>
      <c r="AX43" s="4">
        <v>5921</v>
      </c>
      <c r="AY43" s="4">
        <v>0</v>
      </c>
      <c r="AZ43" s="4">
        <v>0</v>
      </c>
      <c r="BA43" s="4">
        <v>0</v>
      </c>
      <c r="BB43" s="4">
        <v>100</v>
      </c>
      <c r="BC43" s="4">
        <v>0</v>
      </c>
      <c r="BD43" s="4">
        <v>46</v>
      </c>
      <c r="BE43" s="4">
        <v>0</v>
      </c>
      <c r="BF43" s="4">
        <v>0</v>
      </c>
      <c r="BG43" s="4">
        <v>68</v>
      </c>
      <c r="BH43" s="4">
        <v>2380</v>
      </c>
      <c r="BI43" s="4">
        <v>1777</v>
      </c>
      <c r="BJ43" s="4">
        <v>7510</v>
      </c>
      <c r="BK43" s="4">
        <v>630</v>
      </c>
      <c r="BL43" s="4">
        <v>1004</v>
      </c>
      <c r="BM43" s="4">
        <v>535</v>
      </c>
      <c r="BN43" s="4">
        <v>0</v>
      </c>
      <c r="BO43" s="4">
        <v>0</v>
      </c>
      <c r="BP43" s="4">
        <v>130</v>
      </c>
      <c r="BQ43" s="4">
        <v>0</v>
      </c>
      <c r="BR43" s="4">
        <v>16</v>
      </c>
      <c r="BS43" s="4">
        <v>0</v>
      </c>
      <c r="BT43" s="4">
        <v>0</v>
      </c>
      <c r="BU43" s="4">
        <v>69</v>
      </c>
      <c r="BV43" s="4">
        <v>1820</v>
      </c>
      <c r="BW43" s="4">
        <v>3562</v>
      </c>
      <c r="BX43" s="4">
        <v>6255</v>
      </c>
      <c r="BY43" s="4">
        <v>420</v>
      </c>
      <c r="BZ43" s="4">
        <v>1244</v>
      </c>
      <c r="CA43" s="4">
        <v>535</v>
      </c>
      <c r="CB43" t="s">
        <v>687</v>
      </c>
      <c r="CC43" t="s">
        <v>687</v>
      </c>
      <c r="CD43" t="s">
        <v>687</v>
      </c>
      <c r="CE43" t="s">
        <v>687</v>
      </c>
      <c r="CF43" t="s">
        <v>687</v>
      </c>
      <c r="CG43" t="s">
        <v>687</v>
      </c>
      <c r="CH43">
        <v>0</v>
      </c>
      <c r="CI43">
        <v>0</v>
      </c>
      <c r="CJ43">
        <v>0</v>
      </c>
      <c r="CK43">
        <v>0</v>
      </c>
      <c r="CL43">
        <v>0</v>
      </c>
      <c r="CM43">
        <v>0</v>
      </c>
      <c r="CN43">
        <v>0</v>
      </c>
      <c r="CO43">
        <v>0</v>
      </c>
      <c r="CP43">
        <v>0</v>
      </c>
      <c r="CQ43">
        <v>0</v>
      </c>
      <c r="CR43">
        <v>0</v>
      </c>
      <c r="CS43">
        <v>0</v>
      </c>
      <c r="CT43">
        <v>0</v>
      </c>
      <c r="CU43">
        <v>0</v>
      </c>
      <c r="CV43">
        <v>0</v>
      </c>
      <c r="CW43">
        <v>0</v>
      </c>
      <c r="CX43">
        <v>0</v>
      </c>
      <c r="CY43">
        <v>0</v>
      </c>
      <c r="CZ43" s="246">
        <v>8.6105836704367208E-2</v>
      </c>
      <c r="DA43" s="246">
        <v>-0.15084184377587634</v>
      </c>
      <c r="DB43" s="123">
        <v>3425336.4900000007</v>
      </c>
      <c r="DC43" s="174">
        <v>88.8</v>
      </c>
      <c r="DD43" s="174">
        <v>5.0999999999999996</v>
      </c>
      <c r="DE43" s="174">
        <v>2.1</v>
      </c>
      <c r="DF43" s="174">
        <v>79.3</v>
      </c>
      <c r="DG43" s="174">
        <v>9.1999999999999993</v>
      </c>
      <c r="DH43" s="174">
        <v>4.3</v>
      </c>
      <c r="DI43" s="174">
        <v>96</v>
      </c>
      <c r="DJ43" s="174">
        <v>92.9</v>
      </c>
    </row>
    <row r="44" spans="1:114" x14ac:dyDescent="0.45">
      <c r="A44">
        <v>341</v>
      </c>
      <c r="B44" s="247">
        <v>6.1357912223353496E-3</v>
      </c>
      <c r="C44" s="169">
        <v>-3.0277048389689698E-3</v>
      </c>
      <c r="D44" s="169">
        <v>2.12169900712726E-2</v>
      </c>
      <c r="E44" s="169">
        <v>1.6396819511391301E-2</v>
      </c>
      <c r="F44" s="206">
        <v>3423</v>
      </c>
      <c r="G44" s="206">
        <v>0</v>
      </c>
      <c r="H44" s="206">
        <v>990</v>
      </c>
      <c r="I44" s="206">
        <v>100</v>
      </c>
      <c r="J44" s="189">
        <v>6.4373972163809204E-2</v>
      </c>
      <c r="K44" s="189">
        <v>0.103550217229317</v>
      </c>
      <c r="L44" s="206">
        <v>60</v>
      </c>
      <c r="M44" s="206">
        <v>175</v>
      </c>
      <c r="N44" s="4">
        <v>263</v>
      </c>
      <c r="O44" s="4">
        <v>525</v>
      </c>
      <c r="P44" s="4">
        <v>66</v>
      </c>
      <c r="Q44" s="4">
        <v>0</v>
      </c>
      <c r="R44" s="4">
        <v>0</v>
      </c>
      <c r="S44" s="4">
        <v>6504</v>
      </c>
      <c r="T44" s="4">
        <v>26534</v>
      </c>
      <c r="U44" s="4">
        <v>4312</v>
      </c>
      <c r="V44" s="4">
        <v>945</v>
      </c>
      <c r="W44" s="4">
        <v>0</v>
      </c>
      <c r="X44" s="4">
        <v>0.92271662763466</v>
      </c>
      <c r="Y44" s="4">
        <v>93</v>
      </c>
      <c r="Z44" s="4">
        <v>290</v>
      </c>
      <c r="AA44" s="4">
        <v>0</v>
      </c>
      <c r="AB44" s="4">
        <v>296</v>
      </c>
      <c r="AC44" s="4">
        <v>0</v>
      </c>
      <c r="AD44" s="4">
        <v>0</v>
      </c>
      <c r="AE44" s="4">
        <v>3701</v>
      </c>
      <c r="AF44" s="4">
        <v>11447</v>
      </c>
      <c r="AG44" s="4">
        <v>14744</v>
      </c>
      <c r="AH44" s="4">
        <v>3890</v>
      </c>
      <c r="AI44" s="4">
        <v>0</v>
      </c>
      <c r="AJ44" s="4">
        <v>0.49488054607508503</v>
      </c>
      <c r="AK44" s="4">
        <v>107</v>
      </c>
      <c r="AL44" s="4">
        <v>249</v>
      </c>
      <c r="AM44" s="4">
        <v>0</v>
      </c>
      <c r="AN44" s="4">
        <v>41</v>
      </c>
      <c r="AO44" s="4">
        <v>96</v>
      </c>
      <c r="AP44" s="4">
        <v>50</v>
      </c>
      <c r="AQ44" s="4">
        <v>150</v>
      </c>
      <c r="AR44" s="4">
        <v>0.57110091743119296</v>
      </c>
      <c r="AS44" s="4">
        <v>44</v>
      </c>
      <c r="AT44" s="4">
        <v>2732</v>
      </c>
      <c r="AU44" s="4">
        <v>1882</v>
      </c>
      <c r="AV44" s="4">
        <v>9228</v>
      </c>
      <c r="AW44" s="4">
        <v>9115</v>
      </c>
      <c r="AX44" s="4">
        <v>9575</v>
      </c>
      <c r="AY44" s="4">
        <v>1250</v>
      </c>
      <c r="AZ44" s="4">
        <v>198</v>
      </c>
      <c r="BA44" s="4">
        <v>120</v>
      </c>
      <c r="BB44" s="4">
        <v>320</v>
      </c>
      <c r="BC44" s="4">
        <v>157</v>
      </c>
      <c r="BD44" s="4">
        <v>0</v>
      </c>
      <c r="BE44" s="4">
        <v>59</v>
      </c>
      <c r="BF44" s="4">
        <v>0.4</v>
      </c>
      <c r="BG44" s="4">
        <v>30</v>
      </c>
      <c r="BH44" s="4">
        <v>4618</v>
      </c>
      <c r="BI44" s="4">
        <v>3771</v>
      </c>
      <c r="BJ44" s="4">
        <v>19121</v>
      </c>
      <c r="BK44" s="4">
        <v>5845</v>
      </c>
      <c r="BL44" s="4">
        <v>2428</v>
      </c>
      <c r="BM44" s="4">
        <v>2512</v>
      </c>
      <c r="BN44" s="4">
        <v>0</v>
      </c>
      <c r="BO44" s="4">
        <v>33</v>
      </c>
      <c r="BP44" s="4">
        <v>727</v>
      </c>
      <c r="BQ44" s="4">
        <v>0</v>
      </c>
      <c r="BR44" s="4">
        <v>35</v>
      </c>
      <c r="BS44" s="4">
        <v>59</v>
      </c>
      <c r="BT44" s="4">
        <v>4.15094339622641E-2</v>
      </c>
      <c r="BU44" s="4">
        <v>67</v>
      </c>
      <c r="BV44" s="4">
        <v>4375</v>
      </c>
      <c r="BW44" s="4">
        <v>2291</v>
      </c>
      <c r="BX44" s="4">
        <v>22817</v>
      </c>
      <c r="BY44" s="4">
        <v>3828</v>
      </c>
      <c r="BZ44" s="4">
        <v>2472</v>
      </c>
      <c r="CA44" s="4">
        <v>2512</v>
      </c>
      <c r="CB44">
        <v>16177.082736220698</v>
      </c>
      <c r="CC44" t="s">
        <v>687</v>
      </c>
      <c r="CD44" t="s">
        <v>687</v>
      </c>
      <c r="CE44">
        <v>22861.943738946018</v>
      </c>
      <c r="CF44" t="s">
        <v>687</v>
      </c>
      <c r="CG44" t="s">
        <v>687</v>
      </c>
      <c r="CH44">
        <v>14</v>
      </c>
      <c r="CI44">
        <v>0</v>
      </c>
      <c r="CJ44">
        <v>0</v>
      </c>
      <c r="CK44">
        <v>1</v>
      </c>
      <c r="CL44">
        <v>0</v>
      </c>
      <c r="CM44">
        <v>0</v>
      </c>
      <c r="CN44">
        <v>19250728.456102632</v>
      </c>
      <c r="CO44">
        <v>1190</v>
      </c>
      <c r="CP44">
        <v>0</v>
      </c>
      <c r="CQ44">
        <v>0</v>
      </c>
      <c r="CR44">
        <v>0</v>
      </c>
      <c r="CS44">
        <v>0</v>
      </c>
      <c r="CT44">
        <v>2400504.0925893318</v>
      </c>
      <c r="CU44">
        <v>105</v>
      </c>
      <c r="CV44">
        <v>0</v>
      </c>
      <c r="CW44">
        <v>0</v>
      </c>
      <c r="CX44">
        <v>0</v>
      </c>
      <c r="CY44">
        <v>0</v>
      </c>
      <c r="CZ44" s="246">
        <v>0.2033673855467272</v>
      </c>
      <c r="DA44" s="246">
        <v>0.1525859439675831</v>
      </c>
      <c r="DB44" s="123">
        <v>59744068.579999998</v>
      </c>
      <c r="DC44" s="174">
        <v>87.5</v>
      </c>
      <c r="DD44" s="174">
        <v>6.3</v>
      </c>
      <c r="DE44" s="174">
        <v>1.9</v>
      </c>
      <c r="DF44" s="174">
        <v>70.5</v>
      </c>
      <c r="DG44" s="174">
        <v>12.5</v>
      </c>
      <c r="DH44" s="174">
        <v>5.4</v>
      </c>
      <c r="DI44" s="174">
        <v>95.6</v>
      </c>
      <c r="DJ44" s="174">
        <v>88.4</v>
      </c>
    </row>
    <row r="45" spans="1:114" x14ac:dyDescent="0.45">
      <c r="A45">
        <v>342</v>
      </c>
      <c r="B45" s="247">
        <v>4.1860779150631302E-3</v>
      </c>
      <c r="C45" s="169">
        <v>9.3173992303018007E-3</v>
      </c>
      <c r="D45" s="169">
        <v>-4.2996882726002404E-3</v>
      </c>
      <c r="E45" s="169">
        <v>9.6742986133505299E-4</v>
      </c>
      <c r="F45" s="206">
        <v>1271</v>
      </c>
      <c r="G45" s="206">
        <v>580</v>
      </c>
      <c r="H45" s="206">
        <v>120</v>
      </c>
      <c r="I45" s="206">
        <v>310</v>
      </c>
      <c r="J45" s="189">
        <v>9.7505291001368205E-2</v>
      </c>
      <c r="K45" s="189">
        <v>8.0169843735221097E-2</v>
      </c>
      <c r="L45" s="206">
        <v>210</v>
      </c>
      <c r="M45" s="206">
        <v>0</v>
      </c>
      <c r="N45" s="4">
        <v>0</v>
      </c>
      <c r="O45" s="4">
        <v>0</v>
      </c>
      <c r="P45" s="4">
        <v>0</v>
      </c>
      <c r="Q45" s="4">
        <v>0</v>
      </c>
      <c r="R45" s="4">
        <v>0</v>
      </c>
      <c r="S45" s="4">
        <v>3940</v>
      </c>
      <c r="T45" s="4">
        <v>9414</v>
      </c>
      <c r="U45" s="4">
        <v>2624</v>
      </c>
      <c r="V45" s="4">
        <v>0</v>
      </c>
      <c r="W45" s="4">
        <v>0</v>
      </c>
      <c r="X45" s="4" t="s">
        <v>709</v>
      </c>
      <c r="Y45" s="4" t="s">
        <v>709</v>
      </c>
      <c r="Z45" s="4">
        <v>0</v>
      </c>
      <c r="AA45" s="4">
        <v>0</v>
      </c>
      <c r="AB45" s="4">
        <v>0</v>
      </c>
      <c r="AC45" s="4">
        <v>0</v>
      </c>
      <c r="AD45" s="4">
        <v>0</v>
      </c>
      <c r="AE45" s="4">
        <v>0</v>
      </c>
      <c r="AF45" s="4">
        <v>7373</v>
      </c>
      <c r="AG45" s="4">
        <v>3636</v>
      </c>
      <c r="AH45" s="4">
        <v>750</v>
      </c>
      <c r="AI45" s="4">
        <v>0</v>
      </c>
      <c r="AJ45" s="4" t="s">
        <v>709</v>
      </c>
      <c r="AK45" s="4" t="s">
        <v>709</v>
      </c>
      <c r="AL45" s="4">
        <v>0</v>
      </c>
      <c r="AM45" s="4">
        <v>0</v>
      </c>
      <c r="AN45" s="4">
        <v>0</v>
      </c>
      <c r="AO45" s="4">
        <v>0</v>
      </c>
      <c r="AP45" s="4">
        <v>0</v>
      </c>
      <c r="AQ45" s="4">
        <v>0</v>
      </c>
      <c r="AR45" s="4" t="s">
        <v>709</v>
      </c>
      <c r="AS45" s="4" t="s">
        <v>709</v>
      </c>
      <c r="AT45" s="4">
        <v>0</v>
      </c>
      <c r="AU45" s="4">
        <v>0</v>
      </c>
      <c r="AV45" s="4">
        <v>5541</v>
      </c>
      <c r="AW45" s="4">
        <v>4386</v>
      </c>
      <c r="AX45" s="4">
        <v>1832</v>
      </c>
      <c r="AY45" s="4">
        <v>0</v>
      </c>
      <c r="AZ45" s="4">
        <v>0</v>
      </c>
      <c r="BA45" s="4">
        <v>0</v>
      </c>
      <c r="BB45" s="4">
        <v>0</v>
      </c>
      <c r="BC45" s="4">
        <v>0</v>
      </c>
      <c r="BD45" s="4">
        <v>0</v>
      </c>
      <c r="BE45" s="4">
        <v>0</v>
      </c>
      <c r="BF45" s="4" t="s">
        <v>709</v>
      </c>
      <c r="BG45" s="4" t="s">
        <v>709</v>
      </c>
      <c r="BH45" s="4">
        <v>420</v>
      </c>
      <c r="BI45" s="4">
        <v>2645</v>
      </c>
      <c r="BJ45" s="4">
        <v>9144</v>
      </c>
      <c r="BK45" s="4">
        <v>2749</v>
      </c>
      <c r="BL45" s="4">
        <v>630</v>
      </c>
      <c r="BM45" s="4">
        <v>390</v>
      </c>
      <c r="BN45" s="4">
        <v>0</v>
      </c>
      <c r="BO45" s="4">
        <v>0</v>
      </c>
      <c r="BP45" s="4">
        <v>0</v>
      </c>
      <c r="BQ45" s="4">
        <v>0</v>
      </c>
      <c r="BR45" s="4">
        <v>0</v>
      </c>
      <c r="BS45" s="4">
        <v>0</v>
      </c>
      <c r="BT45" s="4" t="s">
        <v>709</v>
      </c>
      <c r="BU45" s="4" t="s">
        <v>709</v>
      </c>
      <c r="BV45" s="4">
        <v>210</v>
      </c>
      <c r="BW45" s="4">
        <v>1680</v>
      </c>
      <c r="BX45" s="4">
        <v>12318</v>
      </c>
      <c r="BY45" s="4">
        <v>525</v>
      </c>
      <c r="BZ45" s="4">
        <v>855</v>
      </c>
      <c r="CA45" s="4">
        <v>390</v>
      </c>
      <c r="CB45">
        <v>6610.9376900830739</v>
      </c>
      <c r="CC45">
        <v>13506.292326774921</v>
      </c>
      <c r="CD45" t="s">
        <v>687</v>
      </c>
      <c r="CE45" t="s">
        <v>687</v>
      </c>
      <c r="CF45" t="s">
        <v>687</v>
      </c>
      <c r="CG45" t="s">
        <v>687</v>
      </c>
      <c r="CH45">
        <v>5</v>
      </c>
      <c r="CI45">
        <v>4</v>
      </c>
      <c r="CJ45">
        <v>0</v>
      </c>
      <c r="CK45">
        <v>0</v>
      </c>
      <c r="CL45">
        <v>0</v>
      </c>
      <c r="CM45">
        <v>0</v>
      </c>
      <c r="CN45">
        <v>2974921.9605373833</v>
      </c>
      <c r="CO45">
        <v>450</v>
      </c>
      <c r="CP45">
        <v>1012971.9245081191</v>
      </c>
      <c r="CQ45">
        <v>75</v>
      </c>
      <c r="CR45">
        <v>0</v>
      </c>
      <c r="CS45">
        <v>0</v>
      </c>
      <c r="CT45">
        <v>0</v>
      </c>
      <c r="CU45">
        <v>0</v>
      </c>
      <c r="CV45">
        <v>0</v>
      </c>
      <c r="CW45">
        <v>0</v>
      </c>
      <c r="CX45">
        <v>0</v>
      </c>
      <c r="CY45">
        <v>0</v>
      </c>
      <c r="CZ45" s="246">
        <v>9.2750612154040221E-2</v>
      </c>
      <c r="DA45" s="246">
        <v>6.4005790507703442E-2</v>
      </c>
      <c r="DB45" s="123">
        <v>21182518.190000001</v>
      </c>
      <c r="DC45" s="174">
        <v>92.4</v>
      </c>
      <c r="DD45" s="174">
        <v>4.5999999999999996</v>
      </c>
      <c r="DE45" s="174">
        <v>1.1000000000000001</v>
      </c>
      <c r="DF45" s="174">
        <v>90.8</v>
      </c>
      <c r="DG45" s="174">
        <v>4.5999999999999996</v>
      </c>
      <c r="DH45" s="174">
        <v>1.2</v>
      </c>
      <c r="DI45" s="174">
        <v>98.1</v>
      </c>
      <c r="DJ45" s="174">
        <v>96.6</v>
      </c>
    </row>
    <row r="46" spans="1:114" x14ac:dyDescent="0.45">
      <c r="A46">
        <v>343</v>
      </c>
      <c r="B46" s="247">
        <v>-1.22801194822436E-2</v>
      </c>
      <c r="C46" s="169">
        <v>-6.2585937129581298E-3</v>
      </c>
      <c r="D46" s="169">
        <v>2.46190744920993E-2</v>
      </c>
      <c r="E46" s="169">
        <v>1.8481941309255099E-2</v>
      </c>
      <c r="F46" s="206">
        <v>0</v>
      </c>
      <c r="G46" s="206">
        <v>0</v>
      </c>
      <c r="H46" s="206">
        <v>60</v>
      </c>
      <c r="I46" s="206">
        <v>60</v>
      </c>
      <c r="J46" s="189">
        <v>5.56857317841103E-2</v>
      </c>
      <c r="K46" s="189">
        <v>0.15445332475894599</v>
      </c>
      <c r="L46" s="206">
        <v>0</v>
      </c>
      <c r="M46" s="206">
        <v>0</v>
      </c>
      <c r="N46" s="4">
        <v>0</v>
      </c>
      <c r="O46" s="4">
        <v>0</v>
      </c>
      <c r="P46" s="4">
        <v>0</v>
      </c>
      <c r="Q46" s="4">
        <v>0</v>
      </c>
      <c r="R46" s="4">
        <v>0</v>
      </c>
      <c r="S46" s="4">
        <v>2737</v>
      </c>
      <c r="T46" s="4">
        <v>18734</v>
      </c>
      <c r="U46" s="4">
        <v>420</v>
      </c>
      <c r="V46" s="4">
        <v>210</v>
      </c>
      <c r="W46" s="4">
        <v>0</v>
      </c>
      <c r="X46" s="4" t="s">
        <v>709</v>
      </c>
      <c r="Y46" s="4" t="s">
        <v>709</v>
      </c>
      <c r="Z46" s="4">
        <v>0</v>
      </c>
      <c r="AA46" s="4">
        <v>0</v>
      </c>
      <c r="AB46" s="4">
        <v>0</v>
      </c>
      <c r="AC46" s="4">
        <v>0</v>
      </c>
      <c r="AD46" s="4">
        <v>0</v>
      </c>
      <c r="AE46" s="4">
        <v>2936</v>
      </c>
      <c r="AF46" s="4">
        <v>5444</v>
      </c>
      <c r="AG46" s="4">
        <v>8483</v>
      </c>
      <c r="AH46" s="4">
        <v>1779</v>
      </c>
      <c r="AI46" s="4">
        <v>0</v>
      </c>
      <c r="AJ46" s="4" t="s">
        <v>709</v>
      </c>
      <c r="AK46" s="4" t="s">
        <v>709</v>
      </c>
      <c r="AL46" s="4">
        <v>0</v>
      </c>
      <c r="AM46" s="4">
        <v>0</v>
      </c>
      <c r="AN46" s="4">
        <v>0</v>
      </c>
      <c r="AO46" s="4">
        <v>0</v>
      </c>
      <c r="AP46" s="4">
        <v>0</v>
      </c>
      <c r="AQ46" s="4">
        <v>0</v>
      </c>
      <c r="AR46" s="4" t="s">
        <v>709</v>
      </c>
      <c r="AS46" s="4" t="s">
        <v>709</v>
      </c>
      <c r="AT46" s="4">
        <v>0</v>
      </c>
      <c r="AU46" s="4">
        <v>1030</v>
      </c>
      <c r="AV46" s="4">
        <v>6614</v>
      </c>
      <c r="AW46" s="4">
        <v>5891</v>
      </c>
      <c r="AX46" s="4">
        <v>5107</v>
      </c>
      <c r="AY46" s="4">
        <v>0</v>
      </c>
      <c r="AZ46" s="4">
        <v>0</v>
      </c>
      <c r="BA46" s="4">
        <v>0</v>
      </c>
      <c r="BB46" s="4">
        <v>0</v>
      </c>
      <c r="BC46" s="4">
        <v>0</v>
      </c>
      <c r="BD46" s="4">
        <v>0</v>
      </c>
      <c r="BE46" s="4">
        <v>0</v>
      </c>
      <c r="BF46" s="4" t="s">
        <v>709</v>
      </c>
      <c r="BG46" s="4" t="s">
        <v>709</v>
      </c>
      <c r="BH46" s="4">
        <v>1825</v>
      </c>
      <c r="BI46" s="4">
        <v>3466</v>
      </c>
      <c r="BJ46" s="4">
        <v>11111</v>
      </c>
      <c r="BK46" s="4">
        <v>3104</v>
      </c>
      <c r="BL46" s="4">
        <v>630</v>
      </c>
      <c r="BM46" s="4">
        <v>1965</v>
      </c>
      <c r="BN46" s="4">
        <v>0</v>
      </c>
      <c r="BO46" s="4">
        <v>0</v>
      </c>
      <c r="BP46" s="4">
        <v>0</v>
      </c>
      <c r="BQ46" s="4">
        <v>0</v>
      </c>
      <c r="BR46" s="4">
        <v>0</v>
      </c>
      <c r="BS46" s="4">
        <v>0</v>
      </c>
      <c r="BT46" s="4" t="s">
        <v>709</v>
      </c>
      <c r="BU46" s="4" t="s">
        <v>709</v>
      </c>
      <c r="BV46" s="4">
        <v>1378</v>
      </c>
      <c r="BW46" s="4">
        <v>2351</v>
      </c>
      <c r="BX46" s="4">
        <v>12093</v>
      </c>
      <c r="BY46" s="4">
        <v>1345</v>
      </c>
      <c r="BZ46" s="4">
        <v>2969</v>
      </c>
      <c r="CA46" s="4">
        <v>1965</v>
      </c>
      <c r="CB46">
        <v>11517.987744607994</v>
      </c>
      <c r="CC46" t="s">
        <v>687</v>
      </c>
      <c r="CD46" t="s">
        <v>687</v>
      </c>
      <c r="CE46" t="s">
        <v>687</v>
      </c>
      <c r="CF46" t="s">
        <v>687</v>
      </c>
      <c r="CG46" t="s">
        <v>687</v>
      </c>
      <c r="CH46">
        <v>2</v>
      </c>
      <c r="CI46">
        <v>0</v>
      </c>
      <c r="CJ46">
        <v>0</v>
      </c>
      <c r="CK46">
        <v>0</v>
      </c>
      <c r="CL46">
        <v>0</v>
      </c>
      <c r="CM46">
        <v>0</v>
      </c>
      <c r="CN46">
        <v>2764317.0587059185</v>
      </c>
      <c r="CO46">
        <v>240</v>
      </c>
      <c r="CP46">
        <v>0</v>
      </c>
      <c r="CQ46">
        <v>0</v>
      </c>
      <c r="CR46">
        <v>0</v>
      </c>
      <c r="CS46">
        <v>0</v>
      </c>
      <c r="CT46">
        <v>0</v>
      </c>
      <c r="CU46">
        <v>0</v>
      </c>
      <c r="CV46">
        <v>0</v>
      </c>
      <c r="CW46">
        <v>0</v>
      </c>
      <c r="CX46">
        <v>0</v>
      </c>
      <c r="CY46">
        <v>0</v>
      </c>
      <c r="CZ46" s="246">
        <v>7.1026615969581749E-2</v>
      </c>
      <c r="DA46" s="246">
        <v>-0.10733890214797136</v>
      </c>
      <c r="DB46" s="123">
        <v>11696194.91</v>
      </c>
      <c r="DC46" s="174">
        <v>93.7</v>
      </c>
      <c r="DD46" s="174">
        <v>4.4000000000000004</v>
      </c>
      <c r="DE46" s="174">
        <v>0.8</v>
      </c>
      <c r="DF46" s="174">
        <v>86.6</v>
      </c>
      <c r="DG46" s="174">
        <v>9</v>
      </c>
      <c r="DH46" s="174">
        <v>1.7</v>
      </c>
      <c r="DI46" s="174">
        <v>98.9</v>
      </c>
      <c r="DJ46" s="174">
        <v>97.3</v>
      </c>
    </row>
    <row r="47" spans="1:114" x14ac:dyDescent="0.45">
      <c r="A47">
        <v>344</v>
      </c>
      <c r="B47" s="247">
        <v>2.0063276487383298E-2</v>
      </c>
      <c r="C47" s="169">
        <v>5.3244849139594099E-3</v>
      </c>
      <c r="D47" s="169">
        <v>2.1643804812232999E-2</v>
      </c>
      <c r="E47" s="169">
        <v>1.33798066111986E-2</v>
      </c>
      <c r="F47" s="206">
        <v>825</v>
      </c>
      <c r="G47" s="206">
        <v>0</v>
      </c>
      <c r="H47" s="206">
        <v>60</v>
      </c>
      <c r="I47" s="206">
        <v>0</v>
      </c>
      <c r="J47" s="189">
        <v>0.10903655605703801</v>
      </c>
      <c r="K47" s="189">
        <v>0.13418029633262599</v>
      </c>
      <c r="L47" s="206">
        <v>120</v>
      </c>
      <c r="M47" s="206">
        <v>180</v>
      </c>
      <c r="N47" s="4">
        <v>48</v>
      </c>
      <c r="O47" s="4">
        <v>153</v>
      </c>
      <c r="P47" s="4">
        <v>23</v>
      </c>
      <c r="Q47" s="4">
        <v>0</v>
      </c>
      <c r="R47" s="4">
        <v>0</v>
      </c>
      <c r="S47" s="4">
        <v>5394</v>
      </c>
      <c r="T47" s="4">
        <v>18916</v>
      </c>
      <c r="U47" s="4">
        <v>2941</v>
      </c>
      <c r="V47" s="4">
        <v>0</v>
      </c>
      <c r="W47" s="4">
        <v>0</v>
      </c>
      <c r="X47" s="4">
        <v>0.89732142857142905</v>
      </c>
      <c r="Y47" s="4">
        <v>97</v>
      </c>
      <c r="Z47" s="4">
        <v>400</v>
      </c>
      <c r="AA47" s="4">
        <v>421</v>
      </c>
      <c r="AB47" s="4">
        <v>104</v>
      </c>
      <c r="AC47" s="4">
        <v>0</v>
      </c>
      <c r="AD47" s="4">
        <v>0</v>
      </c>
      <c r="AE47" s="4">
        <v>8762</v>
      </c>
      <c r="AF47" s="4">
        <v>9216</v>
      </c>
      <c r="AG47" s="4">
        <v>3039</v>
      </c>
      <c r="AH47" s="4">
        <v>0</v>
      </c>
      <c r="AI47" s="4">
        <v>0</v>
      </c>
      <c r="AJ47" s="4">
        <v>0.88756756756756805</v>
      </c>
      <c r="AK47" s="4">
        <v>83</v>
      </c>
      <c r="AL47" s="4">
        <v>214</v>
      </c>
      <c r="AM47" s="4">
        <v>379</v>
      </c>
      <c r="AN47" s="4">
        <v>202</v>
      </c>
      <c r="AO47" s="4">
        <v>24</v>
      </c>
      <c r="AP47" s="4">
        <v>106</v>
      </c>
      <c r="AQ47" s="4">
        <v>0</v>
      </c>
      <c r="AR47" s="4">
        <v>0.64108108108108097</v>
      </c>
      <c r="AS47" s="4">
        <v>37</v>
      </c>
      <c r="AT47" s="4">
        <v>3496</v>
      </c>
      <c r="AU47" s="4">
        <v>6860</v>
      </c>
      <c r="AV47" s="4">
        <v>7158</v>
      </c>
      <c r="AW47" s="4">
        <v>1069</v>
      </c>
      <c r="AX47" s="4">
        <v>2434</v>
      </c>
      <c r="AY47" s="4">
        <v>0</v>
      </c>
      <c r="AZ47" s="4">
        <v>0</v>
      </c>
      <c r="BA47" s="4">
        <v>88</v>
      </c>
      <c r="BB47" s="4">
        <v>115</v>
      </c>
      <c r="BC47" s="4">
        <v>0</v>
      </c>
      <c r="BD47" s="4">
        <v>21</v>
      </c>
      <c r="BE47" s="4">
        <v>0</v>
      </c>
      <c r="BF47" s="4">
        <v>0.39285714285714302</v>
      </c>
      <c r="BG47" s="4">
        <v>31</v>
      </c>
      <c r="BH47" s="4">
        <v>1260</v>
      </c>
      <c r="BI47" s="4">
        <v>2626</v>
      </c>
      <c r="BJ47" s="4">
        <v>15376</v>
      </c>
      <c r="BK47" s="4">
        <v>4671</v>
      </c>
      <c r="BL47" s="4">
        <v>1299</v>
      </c>
      <c r="BM47" s="4">
        <v>2019</v>
      </c>
      <c r="BN47" s="4">
        <v>88</v>
      </c>
      <c r="BO47" s="4">
        <v>0</v>
      </c>
      <c r="BP47" s="4">
        <v>92</v>
      </c>
      <c r="BQ47" s="4">
        <v>44</v>
      </c>
      <c r="BR47" s="4">
        <v>0</v>
      </c>
      <c r="BS47" s="4">
        <v>0</v>
      </c>
      <c r="BT47" s="4">
        <v>0.39285714285714302</v>
      </c>
      <c r="BU47" s="4">
        <v>27</v>
      </c>
      <c r="BV47" s="4">
        <v>1540</v>
      </c>
      <c r="BW47" s="4">
        <v>2052</v>
      </c>
      <c r="BX47" s="4">
        <v>14971</v>
      </c>
      <c r="BY47" s="4">
        <v>3963</v>
      </c>
      <c r="BZ47" s="4">
        <v>2706</v>
      </c>
      <c r="CA47" s="4">
        <v>2019</v>
      </c>
      <c r="CB47">
        <v>10562.52667922689</v>
      </c>
      <c r="CC47" t="s">
        <v>687</v>
      </c>
      <c r="CD47" t="s">
        <v>687</v>
      </c>
      <c r="CE47" t="s">
        <v>687</v>
      </c>
      <c r="CF47" t="s">
        <v>687</v>
      </c>
      <c r="CG47" t="s">
        <v>687</v>
      </c>
      <c r="CH47">
        <v>3</v>
      </c>
      <c r="CI47">
        <v>0</v>
      </c>
      <c r="CJ47">
        <v>0</v>
      </c>
      <c r="CK47">
        <v>0</v>
      </c>
      <c r="CL47">
        <v>0</v>
      </c>
      <c r="CM47">
        <v>0</v>
      </c>
      <c r="CN47">
        <v>2492756.296297546</v>
      </c>
      <c r="CO47">
        <v>236</v>
      </c>
      <c r="CP47">
        <v>0</v>
      </c>
      <c r="CQ47">
        <v>0</v>
      </c>
      <c r="CR47">
        <v>0</v>
      </c>
      <c r="CS47">
        <v>0</v>
      </c>
      <c r="CT47">
        <v>0</v>
      </c>
      <c r="CU47">
        <v>0</v>
      </c>
      <c r="CV47">
        <v>0</v>
      </c>
      <c r="CW47">
        <v>0</v>
      </c>
      <c r="CX47">
        <v>0</v>
      </c>
      <c r="CY47">
        <v>0</v>
      </c>
      <c r="CZ47" s="246">
        <v>7.7846843418326359E-2</v>
      </c>
      <c r="DA47" s="246">
        <v>1.9736130636963341E-2</v>
      </c>
      <c r="DB47" s="123">
        <v>10319571.82</v>
      </c>
      <c r="DC47" s="174">
        <v>91.7</v>
      </c>
      <c r="DD47" s="174">
        <v>5.2</v>
      </c>
      <c r="DE47" s="174">
        <v>1.2</v>
      </c>
      <c r="DF47" s="174">
        <v>87.6</v>
      </c>
      <c r="DG47" s="174">
        <v>7.9</v>
      </c>
      <c r="DH47" s="174">
        <v>1.6</v>
      </c>
      <c r="DI47" s="174">
        <v>98.1</v>
      </c>
      <c r="DJ47" s="174">
        <v>97.1</v>
      </c>
    </row>
    <row r="48" spans="1:114" x14ac:dyDescent="0.45">
      <c r="A48">
        <v>350</v>
      </c>
      <c r="B48" s="247">
        <v>-1.11454229226564E-2</v>
      </c>
      <c r="C48" s="169">
        <v>5.5017215064068403E-3</v>
      </c>
      <c r="D48" s="169">
        <v>1.21828545881301E-2</v>
      </c>
      <c r="E48" s="169">
        <v>7.2650050296188702E-4</v>
      </c>
      <c r="F48" s="206">
        <v>4983</v>
      </c>
      <c r="G48" s="206">
        <v>2153</v>
      </c>
      <c r="H48" s="206">
        <v>560</v>
      </c>
      <c r="I48" s="206">
        <v>40</v>
      </c>
      <c r="J48" s="189">
        <v>3.6689891396388202E-2</v>
      </c>
      <c r="K48" s="189">
        <v>7.1020280875548805E-2</v>
      </c>
      <c r="L48" s="206">
        <v>295</v>
      </c>
      <c r="M48" s="206">
        <v>1733</v>
      </c>
      <c r="N48" s="4">
        <v>75</v>
      </c>
      <c r="O48" s="4">
        <v>0</v>
      </c>
      <c r="P48" s="4">
        <v>0</v>
      </c>
      <c r="Q48" s="4">
        <v>0</v>
      </c>
      <c r="R48" s="4">
        <v>0</v>
      </c>
      <c r="S48" s="4">
        <v>8070</v>
      </c>
      <c r="T48" s="4">
        <v>17258</v>
      </c>
      <c r="U48" s="4">
        <v>2647</v>
      </c>
      <c r="V48" s="4">
        <v>210</v>
      </c>
      <c r="W48" s="4">
        <v>0</v>
      </c>
      <c r="X48" s="4">
        <v>1</v>
      </c>
      <c r="Y48" s="4">
        <v>1</v>
      </c>
      <c r="Z48" s="4">
        <v>134</v>
      </c>
      <c r="AA48" s="4">
        <v>150</v>
      </c>
      <c r="AB48" s="4">
        <v>0</v>
      </c>
      <c r="AC48" s="4">
        <v>0</v>
      </c>
      <c r="AD48" s="4">
        <v>0</v>
      </c>
      <c r="AE48" s="4">
        <v>3998</v>
      </c>
      <c r="AF48" s="4">
        <v>11010</v>
      </c>
      <c r="AG48" s="4">
        <v>6075</v>
      </c>
      <c r="AH48" s="4">
        <v>0</v>
      </c>
      <c r="AI48" s="4">
        <v>0</v>
      </c>
      <c r="AJ48" s="4">
        <v>1</v>
      </c>
      <c r="AK48" s="4">
        <v>1</v>
      </c>
      <c r="AL48" s="4">
        <v>134</v>
      </c>
      <c r="AM48" s="4">
        <v>0</v>
      </c>
      <c r="AN48" s="4">
        <v>0</v>
      </c>
      <c r="AO48" s="4">
        <v>150</v>
      </c>
      <c r="AP48" s="4">
        <v>0</v>
      </c>
      <c r="AQ48" s="4">
        <v>0</v>
      </c>
      <c r="AR48" s="4">
        <v>0.471830985915493</v>
      </c>
      <c r="AS48" s="4">
        <v>49</v>
      </c>
      <c r="AT48" s="4">
        <v>2313</v>
      </c>
      <c r="AU48" s="4">
        <v>900</v>
      </c>
      <c r="AV48" s="4">
        <v>5293</v>
      </c>
      <c r="AW48" s="4">
        <v>10252</v>
      </c>
      <c r="AX48" s="4">
        <v>1725</v>
      </c>
      <c r="AY48" s="4">
        <v>600</v>
      </c>
      <c r="AZ48" s="4">
        <v>0</v>
      </c>
      <c r="BA48" s="4">
        <v>0</v>
      </c>
      <c r="BB48" s="4">
        <v>75</v>
      </c>
      <c r="BC48" s="4">
        <v>0</v>
      </c>
      <c r="BD48" s="4">
        <v>0</v>
      </c>
      <c r="BE48" s="4">
        <v>0</v>
      </c>
      <c r="BF48" s="4">
        <v>0</v>
      </c>
      <c r="BG48" s="4">
        <v>68</v>
      </c>
      <c r="BH48" s="4">
        <v>5370</v>
      </c>
      <c r="BI48" s="4">
        <v>4725</v>
      </c>
      <c r="BJ48" s="4">
        <v>14850</v>
      </c>
      <c r="BK48" s="4">
        <v>1260</v>
      </c>
      <c r="BL48" s="4">
        <v>1380</v>
      </c>
      <c r="BM48" s="4">
        <v>600</v>
      </c>
      <c r="BN48" s="4">
        <v>75</v>
      </c>
      <c r="BO48" s="4">
        <v>0</v>
      </c>
      <c r="BP48" s="4">
        <v>0</v>
      </c>
      <c r="BQ48" s="4">
        <v>0</v>
      </c>
      <c r="BR48" s="4">
        <v>0</v>
      </c>
      <c r="BS48" s="4">
        <v>0</v>
      </c>
      <c r="BT48" s="4">
        <v>1</v>
      </c>
      <c r="BU48" s="4">
        <v>1</v>
      </c>
      <c r="BV48" s="4">
        <v>1920</v>
      </c>
      <c r="BW48" s="4">
        <v>3330</v>
      </c>
      <c r="BX48" s="4">
        <v>19185</v>
      </c>
      <c r="BY48" s="4">
        <v>1470</v>
      </c>
      <c r="BZ48" s="4">
        <v>1680</v>
      </c>
      <c r="CA48" s="4">
        <v>600</v>
      </c>
      <c r="CB48">
        <v>16823.870327183718</v>
      </c>
      <c r="CC48">
        <v>10363.404935849427</v>
      </c>
      <c r="CD48">
        <v>53174.603174603159</v>
      </c>
      <c r="CE48" t="s">
        <v>687</v>
      </c>
      <c r="CF48" t="s">
        <v>687</v>
      </c>
      <c r="CG48" t="s">
        <v>687</v>
      </c>
      <c r="CH48">
        <v>1</v>
      </c>
      <c r="CI48">
        <v>4</v>
      </c>
      <c r="CJ48">
        <v>1</v>
      </c>
      <c r="CK48">
        <v>0</v>
      </c>
      <c r="CL48">
        <v>0</v>
      </c>
      <c r="CM48">
        <v>0</v>
      </c>
      <c r="CN48">
        <v>1177670.9229028602</v>
      </c>
      <c r="CO48">
        <v>70</v>
      </c>
      <c r="CP48">
        <v>1243608.5923019312</v>
      </c>
      <c r="CQ48">
        <v>120</v>
      </c>
      <c r="CR48">
        <v>1595238.0952380947</v>
      </c>
      <c r="CS48">
        <v>30</v>
      </c>
      <c r="CT48">
        <v>0</v>
      </c>
      <c r="CU48">
        <v>0</v>
      </c>
      <c r="CV48">
        <v>0</v>
      </c>
      <c r="CW48">
        <v>0</v>
      </c>
      <c r="CX48">
        <v>0</v>
      </c>
      <c r="CY48">
        <v>0</v>
      </c>
      <c r="CZ48" s="246">
        <v>0.2617172028341328</v>
      </c>
      <c r="DA48" s="246">
        <v>0.2789292980671414</v>
      </c>
      <c r="DB48" s="123">
        <v>66415938.590000004</v>
      </c>
      <c r="DC48" s="174">
        <v>88</v>
      </c>
      <c r="DD48" s="174">
        <v>6.3</v>
      </c>
      <c r="DE48" s="174">
        <v>2.2999999999999998</v>
      </c>
      <c r="DF48" s="174">
        <v>75.2</v>
      </c>
      <c r="DG48" s="174">
        <v>11.9</v>
      </c>
      <c r="DH48" s="174">
        <v>4.2</v>
      </c>
      <c r="DI48" s="174">
        <v>96.5</v>
      </c>
      <c r="DJ48" s="174">
        <v>91.3</v>
      </c>
    </row>
    <row r="49" spans="1:114" x14ac:dyDescent="0.45">
      <c r="A49">
        <v>351</v>
      </c>
      <c r="B49" s="247">
        <v>-2.6637997969300602E-2</v>
      </c>
      <c r="C49" s="169">
        <v>-6.7490891715940998E-3</v>
      </c>
      <c r="D49" s="169">
        <v>3.1740338922263099E-2</v>
      </c>
      <c r="E49" s="169">
        <v>2.0711916076392001E-2</v>
      </c>
      <c r="F49" s="206">
        <v>1311</v>
      </c>
      <c r="G49" s="206">
        <v>0</v>
      </c>
      <c r="H49" s="206">
        <v>90</v>
      </c>
      <c r="I49" s="206">
        <v>310</v>
      </c>
      <c r="J49" s="189">
        <v>7.2034044644036593E-2</v>
      </c>
      <c r="K49" s="189">
        <v>3.4555014313183197E-2</v>
      </c>
      <c r="L49" s="206">
        <v>175</v>
      </c>
      <c r="M49" s="206">
        <v>0</v>
      </c>
      <c r="N49" s="4">
        <v>0</v>
      </c>
      <c r="O49" s="4">
        <v>0</v>
      </c>
      <c r="P49" s="4">
        <v>0</v>
      </c>
      <c r="Q49" s="4">
        <v>0</v>
      </c>
      <c r="R49" s="4">
        <v>0</v>
      </c>
      <c r="S49" s="4">
        <v>2544</v>
      </c>
      <c r="T49" s="4">
        <v>11624</v>
      </c>
      <c r="U49" s="4">
        <v>2222</v>
      </c>
      <c r="V49" s="4">
        <v>338</v>
      </c>
      <c r="W49" s="4">
        <v>0</v>
      </c>
      <c r="X49" s="4" t="s">
        <v>709</v>
      </c>
      <c r="Y49" s="4" t="s">
        <v>709</v>
      </c>
      <c r="Z49" s="4">
        <v>0</v>
      </c>
      <c r="AA49" s="4">
        <v>0</v>
      </c>
      <c r="AB49" s="4">
        <v>186</v>
      </c>
      <c r="AC49" s="4">
        <v>0</v>
      </c>
      <c r="AD49" s="4">
        <v>0</v>
      </c>
      <c r="AE49" s="4">
        <v>0</v>
      </c>
      <c r="AF49" s="4">
        <v>4914</v>
      </c>
      <c r="AG49" s="4">
        <v>1964</v>
      </c>
      <c r="AH49" s="4">
        <v>3060</v>
      </c>
      <c r="AI49" s="4">
        <v>0</v>
      </c>
      <c r="AJ49" s="4">
        <v>0</v>
      </c>
      <c r="AK49" s="4">
        <v>111</v>
      </c>
      <c r="AL49" s="4">
        <v>0</v>
      </c>
      <c r="AM49" s="4">
        <v>0</v>
      </c>
      <c r="AN49" s="4">
        <v>0</v>
      </c>
      <c r="AO49" s="4">
        <v>186</v>
      </c>
      <c r="AP49" s="4">
        <v>0</v>
      </c>
      <c r="AQ49" s="4">
        <v>0</v>
      </c>
      <c r="AR49" s="4">
        <v>0</v>
      </c>
      <c r="AS49" s="4">
        <v>74</v>
      </c>
      <c r="AT49" s="4">
        <v>0</v>
      </c>
      <c r="AU49" s="4">
        <v>900</v>
      </c>
      <c r="AV49" s="4">
        <v>3641</v>
      </c>
      <c r="AW49" s="4">
        <v>4409</v>
      </c>
      <c r="AX49" s="4">
        <v>0</v>
      </c>
      <c r="AY49" s="4">
        <v>988</v>
      </c>
      <c r="AZ49" s="4">
        <v>0</v>
      </c>
      <c r="BA49" s="4">
        <v>0</v>
      </c>
      <c r="BB49" s="4">
        <v>0</v>
      </c>
      <c r="BC49" s="4">
        <v>0</v>
      </c>
      <c r="BD49" s="4">
        <v>0</v>
      </c>
      <c r="BE49" s="4">
        <v>0</v>
      </c>
      <c r="BF49" s="4" t="s">
        <v>709</v>
      </c>
      <c r="BG49" s="4" t="s">
        <v>709</v>
      </c>
      <c r="BH49" s="4">
        <v>1040</v>
      </c>
      <c r="BI49" s="4">
        <v>2706</v>
      </c>
      <c r="BJ49" s="4">
        <v>11484</v>
      </c>
      <c r="BK49" s="4">
        <v>950</v>
      </c>
      <c r="BL49" s="4">
        <v>338</v>
      </c>
      <c r="BM49" s="4">
        <v>210</v>
      </c>
      <c r="BN49" s="4">
        <v>0</v>
      </c>
      <c r="BO49" s="4">
        <v>0</v>
      </c>
      <c r="BP49" s="4">
        <v>0</v>
      </c>
      <c r="BQ49" s="4">
        <v>0</v>
      </c>
      <c r="BR49" s="4">
        <v>0</v>
      </c>
      <c r="BS49" s="4">
        <v>0</v>
      </c>
      <c r="BT49" s="4" t="s">
        <v>709</v>
      </c>
      <c r="BU49" s="4" t="s">
        <v>709</v>
      </c>
      <c r="BV49" s="4">
        <v>1273</v>
      </c>
      <c r="BW49" s="4">
        <v>2225</v>
      </c>
      <c r="BX49" s="4">
        <v>12180</v>
      </c>
      <c r="BY49" s="4">
        <v>420</v>
      </c>
      <c r="BZ49" s="4">
        <v>420</v>
      </c>
      <c r="CA49" s="4">
        <v>210</v>
      </c>
      <c r="CB49">
        <v>17336.463218525831</v>
      </c>
      <c r="CC49">
        <v>2436.5605301438486</v>
      </c>
      <c r="CD49" t="s">
        <v>687</v>
      </c>
      <c r="CE49" t="s">
        <v>687</v>
      </c>
      <c r="CF49" t="s">
        <v>687</v>
      </c>
      <c r="CG49" t="s">
        <v>687</v>
      </c>
      <c r="CH49">
        <v>3</v>
      </c>
      <c r="CI49">
        <v>1</v>
      </c>
      <c r="CJ49">
        <v>0</v>
      </c>
      <c r="CK49">
        <v>0</v>
      </c>
      <c r="CL49">
        <v>0</v>
      </c>
      <c r="CM49">
        <v>0</v>
      </c>
      <c r="CN49">
        <v>2427104.8505936163</v>
      </c>
      <c r="CO49">
        <v>140</v>
      </c>
      <c r="CP49">
        <v>36548.40795215773</v>
      </c>
      <c r="CQ49">
        <v>15</v>
      </c>
      <c r="CR49">
        <v>0</v>
      </c>
      <c r="CS49">
        <v>0</v>
      </c>
      <c r="CT49">
        <v>0</v>
      </c>
      <c r="CU49">
        <v>0</v>
      </c>
      <c r="CV49">
        <v>0</v>
      </c>
      <c r="CW49">
        <v>0</v>
      </c>
      <c r="CX49">
        <v>0</v>
      </c>
      <c r="CY49">
        <v>0</v>
      </c>
      <c r="CZ49" s="246">
        <v>0.10785254214060573</v>
      </c>
      <c r="DA49" s="246">
        <v>4.7948902482907521E-2</v>
      </c>
      <c r="DB49" s="123">
        <v>24028737.100000001</v>
      </c>
      <c r="DC49" s="174">
        <v>88.4</v>
      </c>
      <c r="DD49" s="174">
        <v>6.6</v>
      </c>
      <c r="DE49" s="174">
        <v>1.4</v>
      </c>
      <c r="DF49" s="174">
        <v>79</v>
      </c>
      <c r="DG49" s="174">
        <v>10</v>
      </c>
      <c r="DH49" s="174">
        <v>2.8</v>
      </c>
      <c r="DI49" s="174">
        <v>96.4</v>
      </c>
      <c r="DJ49" s="174">
        <v>91.8</v>
      </c>
    </row>
    <row r="50" spans="1:114" x14ac:dyDescent="0.45">
      <c r="A50">
        <v>352</v>
      </c>
      <c r="B50" s="247">
        <v>6.8989785248934302E-2</v>
      </c>
      <c r="C50" s="169">
        <v>8.9479610713423894E-3</v>
      </c>
      <c r="D50" s="169">
        <v>7.9887251578834695E-2</v>
      </c>
      <c r="E50" s="169">
        <v>1.4949869768437599E-2</v>
      </c>
      <c r="F50" s="206">
        <v>13733</v>
      </c>
      <c r="G50" s="206">
        <v>10534</v>
      </c>
      <c r="H50" s="206">
        <v>2870</v>
      </c>
      <c r="I50" s="206">
        <v>0</v>
      </c>
      <c r="J50" s="189">
        <v>0.104110750455765</v>
      </c>
      <c r="K50" s="189">
        <v>5.4601204799363298E-2</v>
      </c>
      <c r="L50" s="206">
        <v>30</v>
      </c>
      <c r="M50" s="206">
        <v>1280</v>
      </c>
      <c r="N50" s="4">
        <v>487</v>
      </c>
      <c r="O50" s="4">
        <v>360</v>
      </c>
      <c r="P50" s="4">
        <v>105</v>
      </c>
      <c r="Q50" s="4">
        <v>0</v>
      </c>
      <c r="R50" s="4">
        <v>420</v>
      </c>
      <c r="S50" s="4">
        <v>10655</v>
      </c>
      <c r="T50" s="4">
        <v>38275</v>
      </c>
      <c r="U50" s="4">
        <v>3449</v>
      </c>
      <c r="V50" s="4">
        <v>0</v>
      </c>
      <c r="W50" s="4">
        <v>0</v>
      </c>
      <c r="X50" s="4">
        <v>0.88970588235294101</v>
      </c>
      <c r="Y50" s="4">
        <v>98</v>
      </c>
      <c r="Z50" s="4">
        <v>0</v>
      </c>
      <c r="AA50" s="4">
        <v>570</v>
      </c>
      <c r="AB50" s="4">
        <v>100</v>
      </c>
      <c r="AC50" s="4">
        <v>0</v>
      </c>
      <c r="AD50" s="4">
        <v>1200</v>
      </c>
      <c r="AE50" s="4">
        <v>6138</v>
      </c>
      <c r="AF50" s="4">
        <v>18199</v>
      </c>
      <c r="AG50" s="4">
        <v>3900</v>
      </c>
      <c r="AH50" s="4">
        <v>2550</v>
      </c>
      <c r="AI50" s="4">
        <v>2650</v>
      </c>
      <c r="AJ50" s="4">
        <v>0.85074626865671599</v>
      </c>
      <c r="AK50" s="4">
        <v>85</v>
      </c>
      <c r="AL50" s="4">
        <v>0</v>
      </c>
      <c r="AM50" s="4">
        <v>0</v>
      </c>
      <c r="AN50" s="4">
        <v>570</v>
      </c>
      <c r="AO50" s="4">
        <v>0</v>
      </c>
      <c r="AP50" s="4">
        <v>100</v>
      </c>
      <c r="AQ50" s="4">
        <v>1200</v>
      </c>
      <c r="AR50" s="4">
        <v>0</v>
      </c>
      <c r="AS50" s="4">
        <v>74</v>
      </c>
      <c r="AT50" s="4">
        <v>2652</v>
      </c>
      <c r="AU50" s="4">
        <v>4936</v>
      </c>
      <c r="AV50" s="4">
        <v>11439</v>
      </c>
      <c r="AW50" s="4">
        <v>3720</v>
      </c>
      <c r="AX50" s="4">
        <v>6840</v>
      </c>
      <c r="AY50" s="4">
        <v>3850</v>
      </c>
      <c r="AZ50" s="4">
        <v>180</v>
      </c>
      <c r="BA50" s="4">
        <v>0</v>
      </c>
      <c r="BB50" s="4">
        <v>60</v>
      </c>
      <c r="BC50" s="4">
        <v>427</v>
      </c>
      <c r="BD50" s="4">
        <v>105</v>
      </c>
      <c r="BE50" s="4">
        <v>600</v>
      </c>
      <c r="BF50" s="4">
        <v>0.233160621761658</v>
      </c>
      <c r="BG50" s="4">
        <v>48</v>
      </c>
      <c r="BH50" s="4">
        <v>9703</v>
      </c>
      <c r="BI50" s="4">
        <v>12196</v>
      </c>
      <c r="BJ50" s="4">
        <v>21428</v>
      </c>
      <c r="BK50" s="4">
        <v>4177</v>
      </c>
      <c r="BL50" s="4">
        <v>2955</v>
      </c>
      <c r="BM50" s="4">
        <v>1920</v>
      </c>
      <c r="BN50" s="4">
        <v>0</v>
      </c>
      <c r="BO50" s="4">
        <v>487</v>
      </c>
      <c r="BP50" s="4">
        <v>285</v>
      </c>
      <c r="BQ50" s="4">
        <v>0</v>
      </c>
      <c r="BR50" s="4">
        <v>0</v>
      </c>
      <c r="BS50" s="4">
        <v>600</v>
      </c>
      <c r="BT50" s="4">
        <v>0.63082901554404103</v>
      </c>
      <c r="BU50" s="4">
        <v>17</v>
      </c>
      <c r="BV50" s="4">
        <v>6617</v>
      </c>
      <c r="BW50" s="4">
        <v>7064</v>
      </c>
      <c r="BX50" s="4">
        <v>28182</v>
      </c>
      <c r="BY50" s="4">
        <v>4096</v>
      </c>
      <c r="BZ50" s="4">
        <v>4500</v>
      </c>
      <c r="CA50" s="4">
        <v>1920</v>
      </c>
      <c r="CB50">
        <v>14323.589998972129</v>
      </c>
      <c r="CC50">
        <v>6780.0446752821508</v>
      </c>
      <c r="CD50" t="s">
        <v>687</v>
      </c>
      <c r="CE50">
        <v>19253.876215894037</v>
      </c>
      <c r="CF50">
        <v>8341.6123788794557</v>
      </c>
      <c r="CG50">
        <v>31675.416391845065</v>
      </c>
      <c r="CH50">
        <v>6</v>
      </c>
      <c r="CI50">
        <v>9</v>
      </c>
      <c r="CJ50">
        <v>0</v>
      </c>
      <c r="CK50">
        <v>3</v>
      </c>
      <c r="CL50">
        <v>3</v>
      </c>
      <c r="CM50">
        <v>2</v>
      </c>
      <c r="CN50">
        <v>13607410.499023523</v>
      </c>
      <c r="CO50">
        <v>950</v>
      </c>
      <c r="CP50">
        <v>4271428.1454277551</v>
      </c>
      <c r="CQ50">
        <v>630</v>
      </c>
      <c r="CR50">
        <v>0</v>
      </c>
      <c r="CS50">
        <v>0</v>
      </c>
      <c r="CT50">
        <v>20216570.02668874</v>
      </c>
      <c r="CU50">
        <v>1050</v>
      </c>
      <c r="CV50">
        <v>875869.29978234286</v>
      </c>
      <c r="CW50">
        <v>105</v>
      </c>
      <c r="CX50">
        <v>38010499.670214079</v>
      </c>
      <c r="CY50">
        <v>1200</v>
      </c>
      <c r="CZ50" s="246">
        <v>0.42109968708091194</v>
      </c>
      <c r="DA50" s="246">
        <v>0.82178327692393049</v>
      </c>
      <c r="DB50" s="123">
        <v>333587176.19</v>
      </c>
      <c r="DC50" s="174">
        <v>90.9</v>
      </c>
      <c r="DD50" s="174">
        <v>4.8</v>
      </c>
      <c r="DE50" s="174">
        <v>1.5</v>
      </c>
      <c r="DF50" s="174">
        <v>76.7</v>
      </c>
      <c r="DG50" s="174">
        <v>11.1</v>
      </c>
      <c r="DH50" s="174">
        <v>4.2</v>
      </c>
      <c r="DI50" s="174">
        <v>97.2</v>
      </c>
      <c r="DJ50" s="174">
        <v>92.1</v>
      </c>
    </row>
    <row r="51" spans="1:114" x14ac:dyDescent="0.45">
      <c r="A51">
        <v>353</v>
      </c>
      <c r="B51" s="247">
        <v>6.9030461840812296E-2</v>
      </c>
      <c r="C51" s="169">
        <v>2.8209957418932199E-2</v>
      </c>
      <c r="D51" s="169">
        <v>8.5115836242462703E-2</v>
      </c>
      <c r="E51" s="169">
        <v>3.7892732465883802E-2</v>
      </c>
      <c r="F51" s="206">
        <v>2583</v>
      </c>
      <c r="G51" s="206">
        <v>958</v>
      </c>
      <c r="H51" s="206">
        <v>400</v>
      </c>
      <c r="I51" s="206">
        <v>190</v>
      </c>
      <c r="J51" s="189">
        <v>5.0491856933911998E-2</v>
      </c>
      <c r="K51" s="189">
        <v>1.49652163602528E-2</v>
      </c>
      <c r="L51" s="206">
        <v>630</v>
      </c>
      <c r="M51" s="206">
        <v>858</v>
      </c>
      <c r="N51" s="4">
        <v>20</v>
      </c>
      <c r="O51" s="4">
        <v>35</v>
      </c>
      <c r="P51" s="4">
        <v>0</v>
      </c>
      <c r="Q51" s="4">
        <v>0</v>
      </c>
      <c r="R51" s="4">
        <v>0</v>
      </c>
      <c r="S51" s="4">
        <v>4835</v>
      </c>
      <c r="T51" s="4">
        <v>15395</v>
      </c>
      <c r="U51" s="4">
        <v>3475</v>
      </c>
      <c r="V51" s="4">
        <v>315</v>
      </c>
      <c r="W51" s="4">
        <v>0</v>
      </c>
      <c r="X51" s="4">
        <v>1</v>
      </c>
      <c r="Y51" s="4">
        <v>1</v>
      </c>
      <c r="Z51" s="4">
        <v>0</v>
      </c>
      <c r="AA51" s="4">
        <v>150</v>
      </c>
      <c r="AB51" s="4">
        <v>0</v>
      </c>
      <c r="AC51" s="4">
        <v>0</v>
      </c>
      <c r="AD51" s="4">
        <v>1500</v>
      </c>
      <c r="AE51" s="4">
        <v>3037</v>
      </c>
      <c r="AF51" s="4">
        <v>7939</v>
      </c>
      <c r="AG51" s="4">
        <v>1500</v>
      </c>
      <c r="AH51" s="4">
        <v>1500</v>
      </c>
      <c r="AI51" s="4">
        <v>0</v>
      </c>
      <c r="AJ51" s="4">
        <v>1</v>
      </c>
      <c r="AK51" s="4">
        <v>1</v>
      </c>
      <c r="AL51" s="4">
        <v>0</v>
      </c>
      <c r="AM51" s="4">
        <v>0</v>
      </c>
      <c r="AN51" s="4">
        <v>0</v>
      </c>
      <c r="AO51" s="4">
        <v>150</v>
      </c>
      <c r="AP51" s="4">
        <v>0</v>
      </c>
      <c r="AQ51" s="4">
        <v>1500</v>
      </c>
      <c r="AR51" s="4">
        <v>0</v>
      </c>
      <c r="AS51" s="4">
        <v>74</v>
      </c>
      <c r="AT51" s="4">
        <v>0</v>
      </c>
      <c r="AU51" s="4">
        <v>1537</v>
      </c>
      <c r="AV51" s="4">
        <v>2250</v>
      </c>
      <c r="AW51" s="4">
        <v>7339</v>
      </c>
      <c r="AX51" s="4">
        <v>2850</v>
      </c>
      <c r="AY51" s="4">
        <v>0</v>
      </c>
      <c r="AZ51" s="4">
        <v>20</v>
      </c>
      <c r="BA51" s="4">
        <v>0</v>
      </c>
      <c r="BB51" s="4">
        <v>35</v>
      </c>
      <c r="BC51" s="4">
        <v>0</v>
      </c>
      <c r="BD51" s="4">
        <v>0</v>
      </c>
      <c r="BE51" s="4">
        <v>0</v>
      </c>
      <c r="BF51" s="4">
        <v>0.36363636363636398</v>
      </c>
      <c r="BG51" s="4">
        <v>35</v>
      </c>
      <c r="BH51" s="4">
        <v>4145</v>
      </c>
      <c r="BI51" s="4">
        <v>6480</v>
      </c>
      <c r="BJ51" s="4">
        <v>10020</v>
      </c>
      <c r="BK51" s="4">
        <v>1995</v>
      </c>
      <c r="BL51" s="4">
        <v>420</v>
      </c>
      <c r="BM51" s="4">
        <v>960</v>
      </c>
      <c r="BN51" s="4">
        <v>0</v>
      </c>
      <c r="BO51" s="4">
        <v>20</v>
      </c>
      <c r="BP51" s="4">
        <v>0</v>
      </c>
      <c r="BQ51" s="4">
        <v>35</v>
      </c>
      <c r="BR51" s="4">
        <v>0</v>
      </c>
      <c r="BS51" s="4">
        <v>0</v>
      </c>
      <c r="BT51" s="4">
        <v>0.36363636363636398</v>
      </c>
      <c r="BU51" s="4">
        <v>30</v>
      </c>
      <c r="BV51" s="4">
        <v>2305</v>
      </c>
      <c r="BW51" s="4">
        <v>3830</v>
      </c>
      <c r="BX51" s="4">
        <v>13870</v>
      </c>
      <c r="BY51" s="4">
        <v>1375</v>
      </c>
      <c r="BZ51" s="4">
        <v>1680</v>
      </c>
      <c r="CA51" s="4">
        <v>960</v>
      </c>
      <c r="CB51">
        <v>9416.3425729087867</v>
      </c>
      <c r="CC51" t="s">
        <v>687</v>
      </c>
      <c r="CD51">
        <v>16374.567705968215</v>
      </c>
      <c r="CE51" t="s">
        <v>687</v>
      </c>
      <c r="CF51" t="s">
        <v>687</v>
      </c>
      <c r="CG51" t="s">
        <v>687</v>
      </c>
      <c r="CH51">
        <v>5</v>
      </c>
      <c r="CI51">
        <v>0</v>
      </c>
      <c r="CJ51">
        <v>1</v>
      </c>
      <c r="CK51">
        <v>0</v>
      </c>
      <c r="CL51">
        <v>0</v>
      </c>
      <c r="CM51">
        <v>0</v>
      </c>
      <c r="CN51">
        <v>6591439.8010361511</v>
      </c>
      <c r="CO51">
        <v>700</v>
      </c>
      <c r="CP51">
        <v>0</v>
      </c>
      <c r="CQ51">
        <v>0</v>
      </c>
      <c r="CR51">
        <v>10315977.654759975</v>
      </c>
      <c r="CS51">
        <v>630</v>
      </c>
      <c r="CT51">
        <v>0</v>
      </c>
      <c r="CU51">
        <v>0</v>
      </c>
      <c r="CV51">
        <v>0</v>
      </c>
      <c r="CW51">
        <v>0</v>
      </c>
      <c r="CX51">
        <v>0</v>
      </c>
      <c r="CY51">
        <v>0</v>
      </c>
      <c r="CZ51" s="246">
        <v>0.19060434372049104</v>
      </c>
      <c r="DA51" s="246">
        <v>0.18049654806160381</v>
      </c>
      <c r="DB51" s="123">
        <v>80818192.620000005</v>
      </c>
      <c r="DC51" s="174">
        <v>92.9</v>
      </c>
      <c r="DD51" s="174">
        <v>3.9</v>
      </c>
      <c r="DE51" s="174">
        <v>0.9</v>
      </c>
      <c r="DF51" s="174">
        <v>74.599999999999994</v>
      </c>
      <c r="DG51" s="174">
        <v>10.8</v>
      </c>
      <c r="DH51" s="174">
        <v>3.7</v>
      </c>
      <c r="DI51" s="174">
        <v>97.7</v>
      </c>
      <c r="DJ51" s="174">
        <v>89.1</v>
      </c>
    </row>
    <row r="52" spans="1:114" x14ac:dyDescent="0.45">
      <c r="A52">
        <v>354</v>
      </c>
      <c r="B52" s="247">
        <v>-4.6601393334588601E-3</v>
      </c>
      <c r="C52" s="169">
        <v>8.2846921483712994E-3</v>
      </c>
      <c r="D52" s="169">
        <v>3.5714285714285698E-2</v>
      </c>
      <c r="E52" s="169">
        <v>1.20358716173694E-2</v>
      </c>
      <c r="F52" s="206">
        <v>3104</v>
      </c>
      <c r="G52" s="206">
        <v>0</v>
      </c>
      <c r="H52" s="206">
        <v>560</v>
      </c>
      <c r="I52" s="206">
        <v>540</v>
      </c>
      <c r="J52" s="189">
        <v>3.75554471774764E-2</v>
      </c>
      <c r="K52" s="189">
        <v>2.5496353390358401E-2</v>
      </c>
      <c r="L52" s="206">
        <v>88</v>
      </c>
      <c r="M52" s="206">
        <v>120</v>
      </c>
      <c r="N52" s="4">
        <v>0</v>
      </c>
      <c r="O52" s="4">
        <v>280</v>
      </c>
      <c r="P52" s="4">
        <v>0</v>
      </c>
      <c r="Q52" s="4">
        <v>0</v>
      </c>
      <c r="R52" s="4">
        <v>0</v>
      </c>
      <c r="S52" s="4">
        <v>3673</v>
      </c>
      <c r="T52" s="4">
        <v>16462</v>
      </c>
      <c r="U52" s="4">
        <v>1470</v>
      </c>
      <c r="V52" s="4">
        <v>210</v>
      </c>
      <c r="W52" s="4">
        <v>0</v>
      </c>
      <c r="X52" s="4">
        <v>1</v>
      </c>
      <c r="Y52" s="4">
        <v>1</v>
      </c>
      <c r="Z52" s="4">
        <v>0</v>
      </c>
      <c r="AA52" s="4">
        <v>300</v>
      </c>
      <c r="AB52" s="4">
        <v>0</v>
      </c>
      <c r="AC52" s="4">
        <v>0</v>
      </c>
      <c r="AD52" s="4">
        <v>0</v>
      </c>
      <c r="AE52" s="4">
        <v>1350</v>
      </c>
      <c r="AF52" s="4">
        <v>7830</v>
      </c>
      <c r="AG52" s="4">
        <v>4650</v>
      </c>
      <c r="AH52" s="4">
        <v>0</v>
      </c>
      <c r="AI52" s="4">
        <v>0</v>
      </c>
      <c r="AJ52" s="4">
        <v>1</v>
      </c>
      <c r="AK52" s="4">
        <v>1</v>
      </c>
      <c r="AL52" s="4">
        <v>0</v>
      </c>
      <c r="AM52" s="4">
        <v>0</v>
      </c>
      <c r="AN52" s="4">
        <v>0</v>
      </c>
      <c r="AO52" s="4">
        <v>300</v>
      </c>
      <c r="AP52" s="4">
        <v>0</v>
      </c>
      <c r="AQ52" s="4">
        <v>0</v>
      </c>
      <c r="AR52" s="4">
        <v>0</v>
      </c>
      <c r="AS52" s="4">
        <v>74</v>
      </c>
      <c r="AT52" s="4">
        <v>750</v>
      </c>
      <c r="AU52" s="4">
        <v>0</v>
      </c>
      <c r="AV52" s="4">
        <v>4800</v>
      </c>
      <c r="AW52" s="4">
        <v>5130</v>
      </c>
      <c r="AX52" s="4">
        <v>3150</v>
      </c>
      <c r="AY52" s="4">
        <v>0</v>
      </c>
      <c r="AZ52" s="4">
        <v>100</v>
      </c>
      <c r="BA52" s="4">
        <v>75</v>
      </c>
      <c r="BB52" s="4">
        <v>90</v>
      </c>
      <c r="BC52" s="4">
        <v>15</v>
      </c>
      <c r="BD52" s="4">
        <v>0</v>
      </c>
      <c r="BE52" s="4">
        <v>0</v>
      </c>
      <c r="BF52" s="4">
        <v>0.625</v>
      </c>
      <c r="BG52" s="4">
        <v>21</v>
      </c>
      <c r="BH52" s="4">
        <v>3205</v>
      </c>
      <c r="BI52" s="4">
        <v>2202</v>
      </c>
      <c r="BJ52" s="4">
        <v>12095</v>
      </c>
      <c r="BK52" s="4">
        <v>2999</v>
      </c>
      <c r="BL52" s="4">
        <v>1314</v>
      </c>
      <c r="BM52" s="4">
        <v>0</v>
      </c>
      <c r="BN52" s="4">
        <v>60</v>
      </c>
      <c r="BO52" s="4">
        <v>0</v>
      </c>
      <c r="BP52" s="4">
        <v>220</v>
      </c>
      <c r="BQ52" s="4">
        <v>0</v>
      </c>
      <c r="BR52" s="4">
        <v>0</v>
      </c>
      <c r="BS52" s="4">
        <v>0</v>
      </c>
      <c r="BT52" s="4">
        <v>0.214285714285714</v>
      </c>
      <c r="BU52" s="4">
        <v>44</v>
      </c>
      <c r="BV52" s="4">
        <v>2038</v>
      </c>
      <c r="BW52" s="4">
        <v>945</v>
      </c>
      <c r="BX52" s="4">
        <v>14790</v>
      </c>
      <c r="BY52" s="4">
        <v>2978</v>
      </c>
      <c r="BZ52" s="4">
        <v>1064</v>
      </c>
      <c r="CA52" s="4">
        <v>0</v>
      </c>
      <c r="CB52">
        <v>13846.085673971307</v>
      </c>
      <c r="CC52">
        <v>2895.5557522608055</v>
      </c>
      <c r="CD52" t="s">
        <v>687</v>
      </c>
      <c r="CE52">
        <v>9662.9967698845576</v>
      </c>
      <c r="CF52" t="s">
        <v>687</v>
      </c>
      <c r="CG52" t="s">
        <v>687</v>
      </c>
      <c r="CH52">
        <v>5</v>
      </c>
      <c r="CI52">
        <v>4</v>
      </c>
      <c r="CJ52">
        <v>0</v>
      </c>
      <c r="CK52">
        <v>5</v>
      </c>
      <c r="CL52">
        <v>0</v>
      </c>
      <c r="CM52">
        <v>0</v>
      </c>
      <c r="CN52">
        <v>5399973.4128488097</v>
      </c>
      <c r="CO52">
        <v>390</v>
      </c>
      <c r="CP52">
        <v>347466.69027129665</v>
      </c>
      <c r="CQ52">
        <v>120</v>
      </c>
      <c r="CR52">
        <v>0</v>
      </c>
      <c r="CS52">
        <v>0</v>
      </c>
      <c r="CT52">
        <v>4444978.5141468961</v>
      </c>
      <c r="CU52">
        <v>460</v>
      </c>
      <c r="CV52">
        <v>0</v>
      </c>
      <c r="CW52">
        <v>0</v>
      </c>
      <c r="CX52">
        <v>0</v>
      </c>
      <c r="CY52">
        <v>0</v>
      </c>
      <c r="CZ52" s="246">
        <v>0.23540605585716684</v>
      </c>
      <c r="DA52" s="246">
        <v>0.19789915966386554</v>
      </c>
      <c r="DB52" s="123">
        <v>62594960.490000002</v>
      </c>
      <c r="DC52" s="174">
        <v>92.6</v>
      </c>
      <c r="DD52" s="174">
        <v>4.5</v>
      </c>
      <c r="DE52" s="174">
        <v>0.9</v>
      </c>
      <c r="DF52" s="174">
        <v>87.9</v>
      </c>
      <c r="DG52" s="174">
        <v>6.7</v>
      </c>
      <c r="DH52" s="174">
        <v>1.3</v>
      </c>
      <c r="DI52" s="174">
        <v>98</v>
      </c>
      <c r="DJ52" s="174">
        <v>95.9</v>
      </c>
    </row>
    <row r="53" spans="1:114" x14ac:dyDescent="0.45">
      <c r="A53">
        <v>355</v>
      </c>
      <c r="B53" s="247">
        <v>1.5873750462791599E-2</v>
      </c>
      <c r="C53" s="169">
        <v>1.5827471306923399E-2</v>
      </c>
      <c r="D53" s="169">
        <v>-1.9159127195316698E-2</v>
      </c>
      <c r="E53" s="169">
        <v>-1.2329253148837999E-2</v>
      </c>
      <c r="F53" s="206">
        <v>4380</v>
      </c>
      <c r="G53" s="206">
        <v>0</v>
      </c>
      <c r="H53" s="206">
        <v>240</v>
      </c>
      <c r="I53" s="206">
        <v>50</v>
      </c>
      <c r="J53" s="189">
        <v>7.9214331875930397E-2</v>
      </c>
      <c r="K53" s="189">
        <v>5.7431349328475399E-2</v>
      </c>
      <c r="L53" s="206">
        <v>0</v>
      </c>
      <c r="M53" s="206">
        <v>135</v>
      </c>
      <c r="N53" s="4">
        <v>0</v>
      </c>
      <c r="O53" s="4">
        <v>195</v>
      </c>
      <c r="P53" s="4">
        <v>0</v>
      </c>
      <c r="Q53" s="4">
        <v>0</v>
      </c>
      <c r="R53" s="4">
        <v>0</v>
      </c>
      <c r="S53" s="4">
        <v>4635</v>
      </c>
      <c r="T53" s="4">
        <v>15613</v>
      </c>
      <c r="U53" s="4">
        <v>2084</v>
      </c>
      <c r="V53" s="4">
        <v>660</v>
      </c>
      <c r="W53" s="4">
        <v>0</v>
      </c>
      <c r="X53" s="4">
        <v>1</v>
      </c>
      <c r="Y53" s="4">
        <v>1</v>
      </c>
      <c r="Z53" s="4">
        <v>0</v>
      </c>
      <c r="AA53" s="4">
        <v>0</v>
      </c>
      <c r="AB53" s="4">
        <v>50</v>
      </c>
      <c r="AC53" s="4">
        <v>0</v>
      </c>
      <c r="AD53" s="4">
        <v>0</v>
      </c>
      <c r="AE53" s="4">
        <v>900</v>
      </c>
      <c r="AF53" s="4">
        <v>5375</v>
      </c>
      <c r="AG53" s="4">
        <v>4775</v>
      </c>
      <c r="AH53" s="4">
        <v>960</v>
      </c>
      <c r="AI53" s="4">
        <v>0</v>
      </c>
      <c r="AJ53" s="4">
        <v>0</v>
      </c>
      <c r="AK53" s="4">
        <v>111</v>
      </c>
      <c r="AL53" s="4">
        <v>0</v>
      </c>
      <c r="AM53" s="4">
        <v>0</v>
      </c>
      <c r="AN53" s="4">
        <v>0</v>
      </c>
      <c r="AO53" s="4">
        <v>0</v>
      </c>
      <c r="AP53" s="4">
        <v>0</v>
      </c>
      <c r="AQ53" s="4">
        <v>50</v>
      </c>
      <c r="AR53" s="4" t="s">
        <v>709</v>
      </c>
      <c r="AS53" s="4" t="s">
        <v>709</v>
      </c>
      <c r="AT53" s="4">
        <v>1175</v>
      </c>
      <c r="AU53" s="4">
        <v>600</v>
      </c>
      <c r="AV53" s="4">
        <v>2400</v>
      </c>
      <c r="AW53" s="4">
        <v>0</v>
      </c>
      <c r="AX53" s="4">
        <v>5010</v>
      </c>
      <c r="AY53" s="4">
        <v>2825</v>
      </c>
      <c r="AZ53" s="4">
        <v>0</v>
      </c>
      <c r="BA53" s="4">
        <v>195</v>
      </c>
      <c r="BB53" s="4">
        <v>0</v>
      </c>
      <c r="BC53" s="4">
        <v>0</v>
      </c>
      <c r="BD53" s="4">
        <v>0</v>
      </c>
      <c r="BE53" s="4">
        <v>0</v>
      </c>
      <c r="BF53" s="4">
        <v>1</v>
      </c>
      <c r="BG53" s="4">
        <v>1</v>
      </c>
      <c r="BH53" s="4">
        <v>2625</v>
      </c>
      <c r="BI53" s="4">
        <v>4230</v>
      </c>
      <c r="BJ53" s="4">
        <v>12743</v>
      </c>
      <c r="BK53" s="4">
        <v>2074</v>
      </c>
      <c r="BL53" s="4">
        <v>600</v>
      </c>
      <c r="BM53" s="4">
        <v>720</v>
      </c>
      <c r="BN53" s="4">
        <v>0</v>
      </c>
      <c r="BO53" s="4">
        <v>195</v>
      </c>
      <c r="BP53" s="4">
        <v>0</v>
      </c>
      <c r="BQ53" s="4">
        <v>0</v>
      </c>
      <c r="BR53" s="4">
        <v>0</v>
      </c>
      <c r="BS53" s="4">
        <v>0</v>
      </c>
      <c r="BT53" s="4">
        <v>1</v>
      </c>
      <c r="BU53" s="4">
        <v>1</v>
      </c>
      <c r="BV53" s="4">
        <v>2475</v>
      </c>
      <c r="BW53" s="4">
        <v>3960</v>
      </c>
      <c r="BX53" s="4">
        <v>13227</v>
      </c>
      <c r="BY53" s="4">
        <v>675</v>
      </c>
      <c r="BZ53" s="4">
        <v>1935</v>
      </c>
      <c r="CA53" s="4">
        <v>720</v>
      </c>
      <c r="CB53">
        <v>11214.456260074292</v>
      </c>
      <c r="CC53">
        <v>6737.0568759222351</v>
      </c>
      <c r="CD53" t="s">
        <v>687</v>
      </c>
      <c r="CE53" t="s">
        <v>687</v>
      </c>
      <c r="CF53">
        <v>5865.7938688648219</v>
      </c>
      <c r="CG53" t="s">
        <v>687</v>
      </c>
      <c r="CH53">
        <v>10</v>
      </c>
      <c r="CI53">
        <v>7</v>
      </c>
      <c r="CJ53">
        <v>0</v>
      </c>
      <c r="CK53">
        <v>0</v>
      </c>
      <c r="CL53">
        <v>1</v>
      </c>
      <c r="CM53">
        <v>0</v>
      </c>
      <c r="CN53">
        <v>21195322.331540413</v>
      </c>
      <c r="CO53">
        <v>1890</v>
      </c>
      <c r="CP53">
        <v>1515837.7970825029</v>
      </c>
      <c r="CQ53">
        <v>225</v>
      </c>
      <c r="CR53">
        <v>0</v>
      </c>
      <c r="CS53">
        <v>0</v>
      </c>
      <c r="CT53">
        <v>0</v>
      </c>
      <c r="CU53">
        <v>0</v>
      </c>
      <c r="CV53">
        <v>175973.81606594464</v>
      </c>
      <c r="CW53">
        <v>30</v>
      </c>
      <c r="CX53">
        <v>0</v>
      </c>
      <c r="CY53">
        <v>0</v>
      </c>
      <c r="CZ53" s="246">
        <v>0.30197250448296475</v>
      </c>
      <c r="DA53" s="246">
        <v>0.24861367837338263</v>
      </c>
      <c r="DB53" s="123">
        <v>58319403.429999992</v>
      </c>
      <c r="DC53" s="174">
        <v>92.3</v>
      </c>
      <c r="DD53" s="174">
        <v>4.0999999999999996</v>
      </c>
      <c r="DE53" s="174">
        <v>1.1000000000000001</v>
      </c>
      <c r="DF53" s="174">
        <v>80.599999999999994</v>
      </c>
      <c r="DG53" s="174">
        <v>8.1999999999999993</v>
      </c>
      <c r="DH53" s="174">
        <v>2.5</v>
      </c>
      <c r="DI53" s="174">
        <v>97.5</v>
      </c>
      <c r="DJ53" s="174">
        <v>91.3</v>
      </c>
    </row>
    <row r="54" spans="1:114" x14ac:dyDescent="0.45">
      <c r="A54">
        <v>356</v>
      </c>
      <c r="B54" s="247">
        <v>5.3163211057947904E-4</v>
      </c>
      <c r="C54" s="169">
        <v>2.6581605528973999E-3</v>
      </c>
      <c r="D54" s="169">
        <v>1.8178004614416599E-2</v>
      </c>
      <c r="E54" s="169">
        <v>1.41928266797175E-2</v>
      </c>
      <c r="F54" s="206">
        <v>4462</v>
      </c>
      <c r="G54" s="206">
        <v>466</v>
      </c>
      <c r="H54" s="206">
        <v>80</v>
      </c>
      <c r="I54" s="206">
        <v>30</v>
      </c>
      <c r="J54" s="189">
        <v>9.4497535376888195E-2</v>
      </c>
      <c r="K54" s="189">
        <v>0.101108874024757</v>
      </c>
      <c r="L54" s="206">
        <v>195</v>
      </c>
      <c r="M54" s="206">
        <v>0</v>
      </c>
      <c r="N54" s="4">
        <v>0</v>
      </c>
      <c r="O54" s="4">
        <v>0</v>
      </c>
      <c r="P54" s="4">
        <v>0</v>
      </c>
      <c r="Q54" s="4">
        <v>0</v>
      </c>
      <c r="R54" s="4">
        <v>420</v>
      </c>
      <c r="S54" s="4">
        <v>6077</v>
      </c>
      <c r="T54" s="4">
        <v>18144</v>
      </c>
      <c r="U54" s="4">
        <v>1444</v>
      </c>
      <c r="V54" s="4">
        <v>630</v>
      </c>
      <c r="W54" s="4">
        <v>0</v>
      </c>
      <c r="X54" s="4" t="s">
        <v>709</v>
      </c>
      <c r="Y54" s="4" t="s">
        <v>709</v>
      </c>
      <c r="Z54" s="4">
        <v>0</v>
      </c>
      <c r="AA54" s="4">
        <v>92</v>
      </c>
      <c r="AB54" s="4">
        <v>245</v>
      </c>
      <c r="AC54" s="4">
        <v>0</v>
      </c>
      <c r="AD54" s="4">
        <v>1050</v>
      </c>
      <c r="AE54" s="4">
        <v>2852</v>
      </c>
      <c r="AF54" s="4">
        <v>7334</v>
      </c>
      <c r="AG54" s="4">
        <v>4739</v>
      </c>
      <c r="AH54" s="4">
        <v>0</v>
      </c>
      <c r="AI54" s="4">
        <v>0</v>
      </c>
      <c r="AJ54" s="4">
        <v>0.27299703264094999</v>
      </c>
      <c r="AK54" s="4">
        <v>110</v>
      </c>
      <c r="AL54" s="4">
        <v>0</v>
      </c>
      <c r="AM54" s="4">
        <v>0</v>
      </c>
      <c r="AN54" s="4">
        <v>171</v>
      </c>
      <c r="AO54" s="4">
        <v>0</v>
      </c>
      <c r="AP54" s="4">
        <v>166</v>
      </c>
      <c r="AQ54" s="4">
        <v>1050</v>
      </c>
      <c r="AR54" s="4">
        <v>0</v>
      </c>
      <c r="AS54" s="4">
        <v>74</v>
      </c>
      <c r="AT54" s="4">
        <v>1568</v>
      </c>
      <c r="AU54" s="4">
        <v>2189</v>
      </c>
      <c r="AV54" s="4">
        <v>9168</v>
      </c>
      <c r="AW54" s="4">
        <v>750</v>
      </c>
      <c r="AX54" s="4">
        <v>1250</v>
      </c>
      <c r="AY54" s="4">
        <v>0</v>
      </c>
      <c r="AZ54" s="4">
        <v>0</v>
      </c>
      <c r="BA54" s="4">
        <v>0</v>
      </c>
      <c r="BB54" s="4">
        <v>0</v>
      </c>
      <c r="BC54" s="4">
        <v>0</v>
      </c>
      <c r="BD54" s="4">
        <v>0</v>
      </c>
      <c r="BE54" s="4">
        <v>420</v>
      </c>
      <c r="BF54" s="4" t="s">
        <v>709</v>
      </c>
      <c r="BG54" s="4" t="s">
        <v>709</v>
      </c>
      <c r="BH54" s="4">
        <v>2100</v>
      </c>
      <c r="BI54" s="4">
        <v>4868</v>
      </c>
      <c r="BJ54" s="4">
        <v>12734</v>
      </c>
      <c r="BK54" s="4">
        <v>4184</v>
      </c>
      <c r="BL54" s="4">
        <v>1095</v>
      </c>
      <c r="BM54" s="4">
        <v>1314</v>
      </c>
      <c r="BN54" s="4">
        <v>0</v>
      </c>
      <c r="BO54" s="4">
        <v>0</v>
      </c>
      <c r="BP54" s="4">
        <v>0</v>
      </c>
      <c r="BQ54" s="4">
        <v>0</v>
      </c>
      <c r="BR54" s="4">
        <v>0</v>
      </c>
      <c r="BS54" s="4">
        <v>420</v>
      </c>
      <c r="BT54" s="4" t="s">
        <v>709</v>
      </c>
      <c r="BU54" s="4" t="s">
        <v>709</v>
      </c>
      <c r="BV54" s="4">
        <v>2310</v>
      </c>
      <c r="BW54" s="4">
        <v>2000</v>
      </c>
      <c r="BX54" s="4">
        <v>18677</v>
      </c>
      <c r="BY54" s="4">
        <v>959</v>
      </c>
      <c r="BZ54" s="4">
        <v>1035</v>
      </c>
      <c r="CA54" s="4">
        <v>1314</v>
      </c>
      <c r="CB54">
        <v>16335.670807020384</v>
      </c>
      <c r="CC54" t="s">
        <v>687</v>
      </c>
      <c r="CD54" t="s">
        <v>687</v>
      </c>
      <c r="CE54" t="s">
        <v>687</v>
      </c>
      <c r="CF54" t="s">
        <v>687</v>
      </c>
      <c r="CG54" t="s">
        <v>687</v>
      </c>
      <c r="CH54">
        <v>8</v>
      </c>
      <c r="CI54">
        <v>0</v>
      </c>
      <c r="CJ54">
        <v>0</v>
      </c>
      <c r="CK54">
        <v>0</v>
      </c>
      <c r="CL54">
        <v>0</v>
      </c>
      <c r="CM54">
        <v>0</v>
      </c>
      <c r="CN54">
        <v>22869939.129828539</v>
      </c>
      <c r="CO54">
        <v>1400</v>
      </c>
      <c r="CP54">
        <v>0</v>
      </c>
      <c r="CQ54">
        <v>0</v>
      </c>
      <c r="CR54">
        <v>0</v>
      </c>
      <c r="CS54">
        <v>0</v>
      </c>
      <c r="CT54">
        <v>0</v>
      </c>
      <c r="CU54">
        <v>0</v>
      </c>
      <c r="CV54">
        <v>0</v>
      </c>
      <c r="CW54">
        <v>0</v>
      </c>
      <c r="CX54">
        <v>0</v>
      </c>
      <c r="CY54">
        <v>0</v>
      </c>
      <c r="CZ54" s="246">
        <v>0.17625933729170656</v>
      </c>
      <c r="DA54" s="246">
        <v>0.10611574966102905</v>
      </c>
      <c r="DB54" s="123">
        <v>43807468.869999997</v>
      </c>
      <c r="DC54" s="174">
        <v>91.4</v>
      </c>
      <c r="DD54" s="174">
        <v>5.4</v>
      </c>
      <c r="DE54" s="174">
        <v>1.4</v>
      </c>
      <c r="DF54" s="174">
        <v>81</v>
      </c>
      <c r="DG54" s="174">
        <v>9</v>
      </c>
      <c r="DH54" s="174">
        <v>3.3</v>
      </c>
      <c r="DI54" s="174">
        <v>98.3</v>
      </c>
      <c r="DJ54" s="174">
        <v>93.2</v>
      </c>
    </row>
    <row r="55" spans="1:114" x14ac:dyDescent="0.45">
      <c r="A55">
        <v>357</v>
      </c>
      <c r="B55" s="247">
        <v>1.4238773274917901E-2</v>
      </c>
      <c r="C55" s="169">
        <v>9.8576122672508204E-3</v>
      </c>
      <c r="D55" s="169">
        <v>3.5006357992370403E-2</v>
      </c>
      <c r="E55" s="169">
        <v>1.7652778816665399E-2</v>
      </c>
      <c r="F55" s="206">
        <v>3554</v>
      </c>
      <c r="G55" s="206">
        <v>27</v>
      </c>
      <c r="H55" s="206">
        <v>30</v>
      </c>
      <c r="I55" s="206">
        <v>160</v>
      </c>
      <c r="J55" s="189">
        <v>6.4263552819076794E-2</v>
      </c>
      <c r="K55" s="189">
        <v>1.8511608801351401E-2</v>
      </c>
      <c r="L55" s="206">
        <v>90</v>
      </c>
      <c r="M55" s="206">
        <v>540</v>
      </c>
      <c r="N55" s="4">
        <v>0</v>
      </c>
      <c r="O55" s="4">
        <v>116</v>
      </c>
      <c r="P55" s="4">
        <v>0</v>
      </c>
      <c r="Q55" s="4">
        <v>0</v>
      </c>
      <c r="R55" s="4">
        <v>0</v>
      </c>
      <c r="S55" s="4">
        <v>1259</v>
      </c>
      <c r="T55" s="4">
        <v>18076</v>
      </c>
      <c r="U55" s="4">
        <v>2816</v>
      </c>
      <c r="V55" s="4">
        <v>0</v>
      </c>
      <c r="W55" s="4">
        <v>0</v>
      </c>
      <c r="X55" s="4">
        <v>1</v>
      </c>
      <c r="Y55" s="4">
        <v>1</v>
      </c>
      <c r="Z55" s="4">
        <v>120</v>
      </c>
      <c r="AA55" s="4">
        <v>30</v>
      </c>
      <c r="AB55" s="4">
        <v>30</v>
      </c>
      <c r="AC55" s="4">
        <v>0</v>
      </c>
      <c r="AD55" s="4">
        <v>1050</v>
      </c>
      <c r="AE55" s="4">
        <v>2586</v>
      </c>
      <c r="AF55" s="4">
        <v>7423</v>
      </c>
      <c r="AG55" s="4">
        <v>2400</v>
      </c>
      <c r="AH55" s="4">
        <v>750</v>
      </c>
      <c r="AI55" s="4">
        <v>0</v>
      </c>
      <c r="AJ55" s="4">
        <v>0.83333333333333304</v>
      </c>
      <c r="AK55" s="4">
        <v>87</v>
      </c>
      <c r="AL55" s="4">
        <v>0</v>
      </c>
      <c r="AM55" s="4">
        <v>0</v>
      </c>
      <c r="AN55" s="4">
        <v>180</v>
      </c>
      <c r="AO55" s="4">
        <v>0</v>
      </c>
      <c r="AP55" s="4">
        <v>0</v>
      </c>
      <c r="AQ55" s="4">
        <v>1050</v>
      </c>
      <c r="AR55" s="4">
        <v>0</v>
      </c>
      <c r="AS55" s="4">
        <v>74</v>
      </c>
      <c r="AT55" s="4">
        <v>0</v>
      </c>
      <c r="AU55" s="4">
        <v>3946</v>
      </c>
      <c r="AV55" s="4">
        <v>3344</v>
      </c>
      <c r="AW55" s="4">
        <v>2944</v>
      </c>
      <c r="AX55" s="4">
        <v>2925</v>
      </c>
      <c r="AY55" s="4">
        <v>0</v>
      </c>
      <c r="AZ55" s="4">
        <v>23</v>
      </c>
      <c r="BA55" s="4">
        <v>0</v>
      </c>
      <c r="BB55" s="4">
        <v>60</v>
      </c>
      <c r="BC55" s="4">
        <v>33</v>
      </c>
      <c r="BD55" s="4">
        <v>0</v>
      </c>
      <c r="BE55" s="4">
        <v>0</v>
      </c>
      <c r="BF55" s="4">
        <v>0.198275862068966</v>
      </c>
      <c r="BG55" s="4">
        <v>52</v>
      </c>
      <c r="BH55" s="4">
        <v>4514</v>
      </c>
      <c r="BI55" s="4">
        <v>2824</v>
      </c>
      <c r="BJ55" s="4">
        <v>8641</v>
      </c>
      <c r="BK55" s="4">
        <v>2216</v>
      </c>
      <c r="BL55" s="4">
        <v>1080</v>
      </c>
      <c r="BM55" s="4">
        <v>2876</v>
      </c>
      <c r="BN55" s="4">
        <v>0</v>
      </c>
      <c r="BO55" s="4">
        <v>0</v>
      </c>
      <c r="BP55" s="4">
        <v>116</v>
      </c>
      <c r="BQ55" s="4">
        <v>0</v>
      </c>
      <c r="BR55" s="4">
        <v>0</v>
      </c>
      <c r="BS55" s="4">
        <v>0</v>
      </c>
      <c r="BT55" s="4">
        <v>0</v>
      </c>
      <c r="BU55" s="4">
        <v>69</v>
      </c>
      <c r="BV55" s="4">
        <v>2593</v>
      </c>
      <c r="BW55" s="4">
        <v>2568</v>
      </c>
      <c r="BX55" s="4">
        <v>12194</v>
      </c>
      <c r="BY55" s="4">
        <v>420</v>
      </c>
      <c r="BZ55" s="4">
        <v>1500</v>
      </c>
      <c r="CA55" s="4">
        <v>2876</v>
      </c>
      <c r="CB55">
        <v>10459.087881698879</v>
      </c>
      <c r="CC55">
        <v>2920.7540688223903</v>
      </c>
      <c r="CD55">
        <v>1225.409506251417</v>
      </c>
      <c r="CE55">
        <v>17973.524944258636</v>
      </c>
      <c r="CF55" t="s">
        <v>687</v>
      </c>
      <c r="CG55" t="s">
        <v>687</v>
      </c>
      <c r="CH55">
        <v>2</v>
      </c>
      <c r="CI55">
        <v>4</v>
      </c>
      <c r="CJ55">
        <v>1</v>
      </c>
      <c r="CK55">
        <v>2</v>
      </c>
      <c r="CL55">
        <v>0</v>
      </c>
      <c r="CM55">
        <v>0</v>
      </c>
      <c r="CN55">
        <v>1045908.7881698878</v>
      </c>
      <c r="CO55">
        <v>100</v>
      </c>
      <c r="CP55">
        <v>350490.48825868685</v>
      </c>
      <c r="CQ55">
        <v>120</v>
      </c>
      <c r="CR55">
        <v>128667.99815639878</v>
      </c>
      <c r="CS55">
        <v>105</v>
      </c>
      <c r="CT55">
        <v>3594704.988851727</v>
      </c>
      <c r="CU55">
        <v>200</v>
      </c>
      <c r="CV55">
        <v>0</v>
      </c>
      <c r="CW55">
        <v>0</v>
      </c>
      <c r="CX55">
        <v>0</v>
      </c>
      <c r="CY55">
        <v>0</v>
      </c>
      <c r="CZ55" s="246">
        <v>0.21782745772427631</v>
      </c>
      <c r="DA55" s="246">
        <v>0.31693562380704493</v>
      </c>
      <c r="DB55" s="123">
        <v>54977165.680000007</v>
      </c>
      <c r="DC55" s="174">
        <v>91.4</v>
      </c>
      <c r="DD55" s="174">
        <v>4.5999999999999996</v>
      </c>
      <c r="DE55" s="174">
        <v>1.5</v>
      </c>
      <c r="DF55" s="174">
        <v>83.5</v>
      </c>
      <c r="DG55" s="174">
        <v>9</v>
      </c>
      <c r="DH55" s="174">
        <v>1.9</v>
      </c>
      <c r="DI55" s="174">
        <v>97.5</v>
      </c>
      <c r="DJ55" s="174">
        <v>94.4</v>
      </c>
    </row>
    <row r="56" spans="1:114" x14ac:dyDescent="0.45">
      <c r="A56">
        <v>358</v>
      </c>
      <c r="B56" s="247">
        <v>1.2569368685670899E-2</v>
      </c>
      <c r="C56" s="169">
        <v>-1.42294739837784E-3</v>
      </c>
      <c r="D56" s="169">
        <v>-8.6744200989526399E-3</v>
      </c>
      <c r="E56" s="169">
        <v>-8.7386750626485907E-3</v>
      </c>
      <c r="F56" s="206">
        <v>3363</v>
      </c>
      <c r="G56" s="206">
        <v>1202</v>
      </c>
      <c r="H56" s="206">
        <v>330</v>
      </c>
      <c r="I56" s="206">
        <v>520</v>
      </c>
      <c r="J56" s="189">
        <v>4.44716882313059E-2</v>
      </c>
      <c r="K56" s="189">
        <v>4.6877460163374102E-2</v>
      </c>
      <c r="L56" s="206">
        <v>175</v>
      </c>
      <c r="M56" s="206">
        <v>185</v>
      </c>
      <c r="N56" s="4">
        <v>187</v>
      </c>
      <c r="O56" s="4">
        <v>30</v>
      </c>
      <c r="P56" s="4">
        <v>0</v>
      </c>
      <c r="Q56" s="4">
        <v>0</v>
      </c>
      <c r="R56" s="4">
        <v>0</v>
      </c>
      <c r="S56" s="4">
        <v>9724</v>
      </c>
      <c r="T56" s="4">
        <v>10736</v>
      </c>
      <c r="U56" s="4">
        <v>280</v>
      </c>
      <c r="V56" s="4">
        <v>0</v>
      </c>
      <c r="W56" s="4">
        <v>0</v>
      </c>
      <c r="X56" s="4">
        <v>1</v>
      </c>
      <c r="Y56" s="4">
        <v>1</v>
      </c>
      <c r="Z56" s="4">
        <v>53</v>
      </c>
      <c r="AA56" s="4">
        <v>51</v>
      </c>
      <c r="AB56" s="4">
        <v>0</v>
      </c>
      <c r="AC56" s="4">
        <v>0</v>
      </c>
      <c r="AD56" s="4">
        <v>0</v>
      </c>
      <c r="AE56" s="4">
        <v>8280</v>
      </c>
      <c r="AF56" s="4">
        <v>9932</v>
      </c>
      <c r="AG56" s="4">
        <v>1634</v>
      </c>
      <c r="AH56" s="4">
        <v>0</v>
      </c>
      <c r="AI56" s="4">
        <v>0</v>
      </c>
      <c r="AJ56" s="4">
        <v>1</v>
      </c>
      <c r="AK56" s="4">
        <v>1</v>
      </c>
      <c r="AL56" s="4">
        <v>0</v>
      </c>
      <c r="AM56" s="4">
        <v>51</v>
      </c>
      <c r="AN56" s="4">
        <v>53</v>
      </c>
      <c r="AO56" s="4">
        <v>0</v>
      </c>
      <c r="AP56" s="4">
        <v>0</v>
      </c>
      <c r="AQ56" s="4">
        <v>0</v>
      </c>
      <c r="AR56" s="4">
        <v>0.49038461538461497</v>
      </c>
      <c r="AS56" s="4">
        <v>48</v>
      </c>
      <c r="AT56" s="4">
        <v>4381</v>
      </c>
      <c r="AU56" s="4">
        <v>4700</v>
      </c>
      <c r="AV56" s="4">
        <v>6756</v>
      </c>
      <c r="AW56" s="4">
        <v>3283</v>
      </c>
      <c r="AX56" s="4">
        <v>726</v>
      </c>
      <c r="AY56" s="4">
        <v>0</v>
      </c>
      <c r="AZ56" s="4">
        <v>30</v>
      </c>
      <c r="BA56" s="4">
        <v>187</v>
      </c>
      <c r="BB56" s="4">
        <v>0</v>
      </c>
      <c r="BC56" s="4">
        <v>0</v>
      </c>
      <c r="BD56" s="4">
        <v>0</v>
      </c>
      <c r="BE56" s="4">
        <v>0</v>
      </c>
      <c r="BF56" s="4">
        <v>1</v>
      </c>
      <c r="BG56" s="4">
        <v>1</v>
      </c>
      <c r="BH56" s="4">
        <v>6852</v>
      </c>
      <c r="BI56" s="4">
        <v>5731</v>
      </c>
      <c r="BJ56" s="4">
        <v>6682</v>
      </c>
      <c r="BK56" s="4">
        <v>560</v>
      </c>
      <c r="BL56" s="4">
        <v>0</v>
      </c>
      <c r="BM56" s="4">
        <v>915</v>
      </c>
      <c r="BN56" s="4">
        <v>30</v>
      </c>
      <c r="BO56" s="4">
        <v>187</v>
      </c>
      <c r="BP56" s="4">
        <v>0</v>
      </c>
      <c r="BQ56" s="4">
        <v>0</v>
      </c>
      <c r="BR56" s="4">
        <v>0</v>
      </c>
      <c r="BS56" s="4">
        <v>0</v>
      </c>
      <c r="BT56" s="4">
        <v>1</v>
      </c>
      <c r="BU56" s="4">
        <v>1</v>
      </c>
      <c r="BV56" s="4">
        <v>5156</v>
      </c>
      <c r="BW56" s="4">
        <v>6556</v>
      </c>
      <c r="BX56" s="4">
        <v>7798</v>
      </c>
      <c r="BY56" s="4">
        <v>315</v>
      </c>
      <c r="BZ56" s="4">
        <v>0</v>
      </c>
      <c r="CA56" s="4">
        <v>915</v>
      </c>
      <c r="CB56">
        <v>15737.256535147442</v>
      </c>
      <c r="CC56" t="s">
        <v>687</v>
      </c>
      <c r="CD56" t="s">
        <v>687</v>
      </c>
      <c r="CE56" t="s">
        <v>687</v>
      </c>
      <c r="CF56" t="s">
        <v>687</v>
      </c>
      <c r="CG56" t="s">
        <v>687</v>
      </c>
      <c r="CH56">
        <v>6</v>
      </c>
      <c r="CI56">
        <v>0</v>
      </c>
      <c r="CJ56">
        <v>0</v>
      </c>
      <c r="CK56">
        <v>0</v>
      </c>
      <c r="CL56">
        <v>0</v>
      </c>
      <c r="CM56">
        <v>0</v>
      </c>
      <c r="CN56">
        <v>13219295.489523852</v>
      </c>
      <c r="CO56">
        <v>840</v>
      </c>
      <c r="CP56">
        <v>0</v>
      </c>
      <c r="CQ56">
        <v>0</v>
      </c>
      <c r="CR56">
        <v>0</v>
      </c>
      <c r="CS56">
        <v>0</v>
      </c>
      <c r="CT56">
        <v>0</v>
      </c>
      <c r="CU56">
        <v>0</v>
      </c>
      <c r="CV56">
        <v>0</v>
      </c>
      <c r="CW56">
        <v>0</v>
      </c>
      <c r="CX56">
        <v>0</v>
      </c>
      <c r="CY56">
        <v>0</v>
      </c>
      <c r="CZ56" s="246">
        <v>0.20858123569794051</v>
      </c>
      <c r="DA56" s="246">
        <v>0.20004163197335553</v>
      </c>
      <c r="DB56" s="123">
        <v>77896483.060000002</v>
      </c>
      <c r="DC56" s="174">
        <v>89.6</v>
      </c>
      <c r="DD56" s="174">
        <v>5.5</v>
      </c>
      <c r="DE56" s="174">
        <v>1.9</v>
      </c>
      <c r="DF56" s="174">
        <v>79.099999999999994</v>
      </c>
      <c r="DG56" s="174">
        <v>12.2</v>
      </c>
      <c r="DH56" s="174">
        <v>3.8</v>
      </c>
      <c r="DI56" s="174">
        <v>97</v>
      </c>
      <c r="DJ56" s="174">
        <v>95</v>
      </c>
    </row>
    <row r="57" spans="1:114" x14ac:dyDescent="0.45">
      <c r="A57">
        <v>359</v>
      </c>
      <c r="B57" s="247">
        <v>1.6515837104072398E-2</v>
      </c>
      <c r="C57" s="169">
        <v>9.8039215686274508E-4</v>
      </c>
      <c r="D57" s="169">
        <v>2.3845677970867799E-2</v>
      </c>
      <c r="E57" s="169">
        <v>1.29913953096001E-2</v>
      </c>
      <c r="F57" s="206">
        <v>1485</v>
      </c>
      <c r="G57" s="206">
        <v>253</v>
      </c>
      <c r="H57" s="206">
        <v>480</v>
      </c>
      <c r="I57" s="206">
        <v>300</v>
      </c>
      <c r="J57" s="189">
        <v>6.2353919793258598E-2</v>
      </c>
      <c r="K57" s="189">
        <v>5.2002766450651897E-2</v>
      </c>
      <c r="L57" s="206">
        <v>105</v>
      </c>
      <c r="M57" s="206">
        <v>0</v>
      </c>
      <c r="N57" s="4">
        <v>21</v>
      </c>
      <c r="O57" s="4">
        <v>0</v>
      </c>
      <c r="P57" s="4">
        <v>0</v>
      </c>
      <c r="Q57" s="4">
        <v>0</v>
      </c>
      <c r="R57" s="4">
        <v>0</v>
      </c>
      <c r="S57" s="4">
        <v>8008</v>
      </c>
      <c r="T57" s="4">
        <v>18029</v>
      </c>
      <c r="U57" s="4">
        <v>690</v>
      </c>
      <c r="V57" s="4">
        <v>0</v>
      </c>
      <c r="W57" s="4">
        <v>0</v>
      </c>
      <c r="X57" s="4">
        <v>1</v>
      </c>
      <c r="Y57" s="4">
        <v>1</v>
      </c>
      <c r="Z57" s="4">
        <v>0</v>
      </c>
      <c r="AA57" s="4">
        <v>0</v>
      </c>
      <c r="AB57" s="4">
        <v>0</v>
      </c>
      <c r="AC57" s="4">
        <v>0</v>
      </c>
      <c r="AD57" s="4">
        <v>0</v>
      </c>
      <c r="AE57" s="4">
        <v>0</v>
      </c>
      <c r="AF57" s="4">
        <v>14821</v>
      </c>
      <c r="AG57" s="4">
        <v>3896</v>
      </c>
      <c r="AH57" s="4">
        <v>0</v>
      </c>
      <c r="AI57" s="4">
        <v>0</v>
      </c>
      <c r="AJ57" s="4" t="s">
        <v>709</v>
      </c>
      <c r="AK57" s="4" t="s">
        <v>709</v>
      </c>
      <c r="AL57" s="4">
        <v>0</v>
      </c>
      <c r="AM57" s="4">
        <v>0</v>
      </c>
      <c r="AN57" s="4">
        <v>0</v>
      </c>
      <c r="AO57" s="4">
        <v>0</v>
      </c>
      <c r="AP57" s="4">
        <v>0</v>
      </c>
      <c r="AQ57" s="4">
        <v>0</v>
      </c>
      <c r="AR57" s="4" t="s">
        <v>709</v>
      </c>
      <c r="AS57" s="4" t="s">
        <v>709</v>
      </c>
      <c r="AT57" s="4">
        <v>909</v>
      </c>
      <c r="AU57" s="4">
        <v>1300</v>
      </c>
      <c r="AV57" s="4">
        <v>3550</v>
      </c>
      <c r="AW57" s="4">
        <v>9736</v>
      </c>
      <c r="AX57" s="4">
        <v>2722</v>
      </c>
      <c r="AY57" s="4">
        <v>500</v>
      </c>
      <c r="AZ57" s="4">
        <v>0</v>
      </c>
      <c r="BA57" s="4">
        <v>0</v>
      </c>
      <c r="BB57" s="4">
        <v>0</v>
      </c>
      <c r="BC57" s="4">
        <v>0</v>
      </c>
      <c r="BD57" s="4">
        <v>0</v>
      </c>
      <c r="BE57" s="4">
        <v>21</v>
      </c>
      <c r="BF57" s="4" t="s">
        <v>709</v>
      </c>
      <c r="BG57" s="4" t="s">
        <v>709</v>
      </c>
      <c r="BH57" s="4">
        <v>3705</v>
      </c>
      <c r="BI57" s="4">
        <v>3179</v>
      </c>
      <c r="BJ57" s="4">
        <v>15696</v>
      </c>
      <c r="BK57" s="4">
        <v>2065</v>
      </c>
      <c r="BL57" s="4">
        <v>805</v>
      </c>
      <c r="BM57" s="4">
        <v>1277</v>
      </c>
      <c r="BN57" s="4">
        <v>0</v>
      </c>
      <c r="BO57" s="4">
        <v>0</v>
      </c>
      <c r="BP57" s="4">
        <v>0</v>
      </c>
      <c r="BQ57" s="4">
        <v>0</v>
      </c>
      <c r="BR57" s="4">
        <v>0</v>
      </c>
      <c r="BS57" s="4">
        <v>21</v>
      </c>
      <c r="BT57" s="4" t="s">
        <v>709</v>
      </c>
      <c r="BU57" s="4" t="s">
        <v>709</v>
      </c>
      <c r="BV57" s="4">
        <v>1851</v>
      </c>
      <c r="BW57" s="4">
        <v>3009</v>
      </c>
      <c r="BX57" s="4">
        <v>16326</v>
      </c>
      <c r="BY57" s="4">
        <v>1918</v>
      </c>
      <c r="BZ57" s="4">
        <v>2346</v>
      </c>
      <c r="CA57" s="4">
        <v>1277</v>
      </c>
      <c r="CB57">
        <v>13254.889942146654</v>
      </c>
      <c r="CC57">
        <v>7214.0602880637307</v>
      </c>
      <c r="CD57" t="s">
        <v>687</v>
      </c>
      <c r="CE57">
        <v>16131.283848939025</v>
      </c>
      <c r="CF57" t="s">
        <v>687</v>
      </c>
      <c r="CG57" t="s">
        <v>687</v>
      </c>
      <c r="CH57">
        <v>3</v>
      </c>
      <c r="CI57">
        <v>4</v>
      </c>
      <c r="CJ57">
        <v>0</v>
      </c>
      <c r="CK57">
        <v>4</v>
      </c>
      <c r="CL57">
        <v>0</v>
      </c>
      <c r="CM57">
        <v>0</v>
      </c>
      <c r="CN57">
        <v>4241564.7814869294</v>
      </c>
      <c r="CO57">
        <v>320</v>
      </c>
      <c r="CP57">
        <v>757476.33024669171</v>
      </c>
      <c r="CQ57">
        <v>105</v>
      </c>
      <c r="CR57">
        <v>0</v>
      </c>
      <c r="CS57">
        <v>0</v>
      </c>
      <c r="CT57">
        <v>10001395.986342195</v>
      </c>
      <c r="CU57">
        <v>620</v>
      </c>
      <c r="CV57">
        <v>0</v>
      </c>
      <c r="CW57">
        <v>0</v>
      </c>
      <c r="CX57">
        <v>0</v>
      </c>
      <c r="CY57">
        <v>0</v>
      </c>
      <c r="CZ57" s="246">
        <v>0.10604462816889526</v>
      </c>
      <c r="DA57" s="246">
        <v>6.3923506660936824E-2</v>
      </c>
      <c r="DB57" s="123">
        <v>47148545.749999993</v>
      </c>
      <c r="DC57" s="174">
        <v>93.5</v>
      </c>
      <c r="DD57" s="174">
        <v>4.0999999999999996</v>
      </c>
      <c r="DE57" s="174">
        <v>1</v>
      </c>
      <c r="DF57" s="174">
        <v>89.3</v>
      </c>
      <c r="DG57" s="174">
        <v>6.6</v>
      </c>
      <c r="DH57" s="174">
        <v>0.9</v>
      </c>
      <c r="DI57" s="174">
        <v>98.7</v>
      </c>
      <c r="DJ57" s="174">
        <v>96.9</v>
      </c>
    </row>
    <row r="58" spans="1:114" x14ac:dyDescent="0.45">
      <c r="A58">
        <v>370</v>
      </c>
      <c r="B58" s="247">
        <v>-4.2122620296807099E-2</v>
      </c>
      <c r="C58" s="169">
        <v>2.49837605556388E-3</v>
      </c>
      <c r="D58" s="169">
        <v>-1.7415534656914001E-4</v>
      </c>
      <c r="E58" s="169">
        <v>2.1072796934865901E-2</v>
      </c>
      <c r="F58" s="206">
        <v>1733</v>
      </c>
      <c r="G58" s="206">
        <v>0</v>
      </c>
      <c r="H58" s="206">
        <v>110</v>
      </c>
      <c r="I58" s="206">
        <v>100</v>
      </c>
      <c r="J58" s="189">
        <v>5.3983841960806397E-2</v>
      </c>
      <c r="K58" s="189">
        <v>3.9792029951536502E-2</v>
      </c>
      <c r="L58" s="206">
        <v>0</v>
      </c>
      <c r="M58" s="206">
        <v>290</v>
      </c>
      <c r="N58" s="4">
        <v>0</v>
      </c>
      <c r="O58" s="4">
        <v>30</v>
      </c>
      <c r="P58" s="4">
        <v>0</v>
      </c>
      <c r="Q58" s="4">
        <v>0</v>
      </c>
      <c r="R58" s="4">
        <v>0</v>
      </c>
      <c r="S58" s="4">
        <v>4755</v>
      </c>
      <c r="T58" s="4">
        <v>12025</v>
      </c>
      <c r="U58" s="4">
        <v>3841</v>
      </c>
      <c r="V58" s="4">
        <v>0</v>
      </c>
      <c r="W58" s="4">
        <v>0</v>
      </c>
      <c r="X58" s="4">
        <v>1</v>
      </c>
      <c r="Y58" s="4">
        <v>1</v>
      </c>
      <c r="Z58" s="4">
        <v>0</v>
      </c>
      <c r="AA58" s="4">
        <v>0</v>
      </c>
      <c r="AB58" s="4">
        <v>0</v>
      </c>
      <c r="AC58" s="4">
        <v>0</v>
      </c>
      <c r="AD58" s="4">
        <v>0</v>
      </c>
      <c r="AE58" s="4">
        <v>0</v>
      </c>
      <c r="AF58" s="4">
        <v>6300</v>
      </c>
      <c r="AG58" s="4">
        <v>3300</v>
      </c>
      <c r="AH58" s="4">
        <v>0</v>
      </c>
      <c r="AI58" s="4">
        <v>0</v>
      </c>
      <c r="AJ58" s="4" t="s">
        <v>709</v>
      </c>
      <c r="AK58" s="4" t="s">
        <v>709</v>
      </c>
      <c r="AL58" s="4">
        <v>0</v>
      </c>
      <c r="AM58" s="4">
        <v>0</v>
      </c>
      <c r="AN58" s="4">
        <v>0</v>
      </c>
      <c r="AO58" s="4">
        <v>0</v>
      </c>
      <c r="AP58" s="4">
        <v>0</v>
      </c>
      <c r="AQ58" s="4">
        <v>0</v>
      </c>
      <c r="AR58" s="4" t="s">
        <v>709</v>
      </c>
      <c r="AS58" s="4" t="s">
        <v>709</v>
      </c>
      <c r="AT58" s="4">
        <v>0</v>
      </c>
      <c r="AU58" s="4">
        <v>1700</v>
      </c>
      <c r="AV58" s="4">
        <v>6700</v>
      </c>
      <c r="AW58" s="4">
        <v>0</v>
      </c>
      <c r="AX58" s="4">
        <v>0</v>
      </c>
      <c r="AY58" s="4">
        <v>1200</v>
      </c>
      <c r="AZ58" s="4">
        <v>30</v>
      </c>
      <c r="BA58" s="4">
        <v>0</v>
      </c>
      <c r="BB58" s="4">
        <v>0</v>
      </c>
      <c r="BC58" s="4">
        <v>0</v>
      </c>
      <c r="BD58" s="4">
        <v>0</v>
      </c>
      <c r="BE58" s="4">
        <v>0</v>
      </c>
      <c r="BF58" s="4">
        <v>1</v>
      </c>
      <c r="BG58" s="4">
        <v>1</v>
      </c>
      <c r="BH58" s="4">
        <v>4045</v>
      </c>
      <c r="BI58" s="4">
        <v>3260</v>
      </c>
      <c r="BJ58" s="4">
        <v>10525</v>
      </c>
      <c r="BK58" s="4">
        <v>1226</v>
      </c>
      <c r="BL58" s="4">
        <v>1565</v>
      </c>
      <c r="BM58" s="4">
        <v>0</v>
      </c>
      <c r="BN58" s="4">
        <v>0</v>
      </c>
      <c r="BO58" s="4">
        <v>0</v>
      </c>
      <c r="BP58" s="4">
        <v>30</v>
      </c>
      <c r="BQ58" s="4">
        <v>0</v>
      </c>
      <c r="BR58" s="4">
        <v>0</v>
      </c>
      <c r="BS58" s="4">
        <v>0</v>
      </c>
      <c r="BT58" s="4">
        <v>0</v>
      </c>
      <c r="BU58" s="4">
        <v>69</v>
      </c>
      <c r="BV58" s="4">
        <v>1045</v>
      </c>
      <c r="BW58" s="4">
        <v>2195</v>
      </c>
      <c r="BX58" s="4">
        <v>13855</v>
      </c>
      <c r="BY58" s="4">
        <v>1610</v>
      </c>
      <c r="BZ58" s="4">
        <v>1916</v>
      </c>
      <c r="CA58" s="4">
        <v>0</v>
      </c>
      <c r="CB58">
        <v>13213.759896950562</v>
      </c>
      <c r="CC58">
        <v>7539.3330276113638</v>
      </c>
      <c r="CD58" t="s">
        <v>687</v>
      </c>
      <c r="CE58" t="s">
        <v>687</v>
      </c>
      <c r="CF58" t="s">
        <v>687</v>
      </c>
      <c r="CG58" t="s">
        <v>687</v>
      </c>
      <c r="CH58">
        <v>10</v>
      </c>
      <c r="CI58">
        <v>8</v>
      </c>
      <c r="CJ58">
        <v>0</v>
      </c>
      <c r="CK58">
        <v>0</v>
      </c>
      <c r="CL58">
        <v>0</v>
      </c>
      <c r="CM58">
        <v>0</v>
      </c>
      <c r="CN58">
        <v>8258599.9355941005</v>
      </c>
      <c r="CO58">
        <v>625</v>
      </c>
      <c r="CP58">
        <v>1545563.2706603296</v>
      </c>
      <c r="CQ58">
        <v>205</v>
      </c>
      <c r="CR58">
        <v>0</v>
      </c>
      <c r="CS58">
        <v>0</v>
      </c>
      <c r="CT58">
        <v>0</v>
      </c>
      <c r="CU58">
        <v>0</v>
      </c>
      <c r="CV58">
        <v>0</v>
      </c>
      <c r="CW58">
        <v>0</v>
      </c>
      <c r="CX58">
        <v>0</v>
      </c>
      <c r="CY58">
        <v>0</v>
      </c>
      <c r="CZ58" s="246">
        <v>0.19878344061890982</v>
      </c>
      <c r="DA58" s="246">
        <v>4.6282619399310686E-2</v>
      </c>
      <c r="DB58" s="123">
        <v>30289536.73</v>
      </c>
      <c r="DC58" s="174">
        <v>90.5</v>
      </c>
      <c r="DD58" s="174">
        <v>6</v>
      </c>
      <c r="DE58" s="174">
        <v>0.9</v>
      </c>
      <c r="DF58" s="174">
        <v>94.5</v>
      </c>
      <c r="DG58" s="174">
        <v>3.4</v>
      </c>
      <c r="DH58" s="174">
        <v>0.5</v>
      </c>
      <c r="DI58" s="174">
        <v>97.4</v>
      </c>
      <c r="DJ58" s="174">
        <v>98.4</v>
      </c>
    </row>
    <row r="59" spans="1:114" x14ac:dyDescent="0.45">
      <c r="A59">
        <v>371</v>
      </c>
      <c r="B59" s="247">
        <v>2.7956989247311801E-2</v>
      </c>
      <c r="C59" s="169">
        <v>7.8341013824884797E-3</v>
      </c>
      <c r="D59" s="169">
        <v>8.1022777742529001E-2</v>
      </c>
      <c r="E59" s="169">
        <v>2.7219085083433799E-2</v>
      </c>
      <c r="F59" s="206">
        <v>2696</v>
      </c>
      <c r="G59" s="206">
        <v>0</v>
      </c>
      <c r="H59" s="206">
        <v>20</v>
      </c>
      <c r="I59" s="206">
        <v>90</v>
      </c>
      <c r="J59" s="189">
        <v>0.136065684499308</v>
      </c>
      <c r="K59" s="189">
        <v>0.181164991259645</v>
      </c>
      <c r="L59" s="206">
        <v>301</v>
      </c>
      <c r="M59" s="206">
        <v>690</v>
      </c>
      <c r="N59" s="4">
        <v>0</v>
      </c>
      <c r="O59" s="4">
        <v>327</v>
      </c>
      <c r="P59" s="4">
        <v>0</v>
      </c>
      <c r="Q59" s="4">
        <v>0</v>
      </c>
      <c r="R59" s="4">
        <v>0</v>
      </c>
      <c r="S59" s="4">
        <v>3105</v>
      </c>
      <c r="T59" s="4">
        <v>16022</v>
      </c>
      <c r="U59" s="4">
        <v>6086</v>
      </c>
      <c r="V59" s="4">
        <v>1387</v>
      </c>
      <c r="W59" s="4">
        <v>0</v>
      </c>
      <c r="X59" s="4">
        <v>1</v>
      </c>
      <c r="Y59" s="4">
        <v>1</v>
      </c>
      <c r="Z59" s="4">
        <v>0</v>
      </c>
      <c r="AA59" s="4">
        <v>0</v>
      </c>
      <c r="AB59" s="4">
        <v>0</v>
      </c>
      <c r="AC59" s="4">
        <v>0</v>
      </c>
      <c r="AD59" s="4">
        <v>0</v>
      </c>
      <c r="AE59" s="4">
        <v>1503</v>
      </c>
      <c r="AF59" s="4">
        <v>9223</v>
      </c>
      <c r="AG59" s="4">
        <v>7927</v>
      </c>
      <c r="AH59" s="4">
        <v>1166</v>
      </c>
      <c r="AI59" s="4">
        <v>329</v>
      </c>
      <c r="AJ59" s="4" t="s">
        <v>709</v>
      </c>
      <c r="AK59" s="4" t="s">
        <v>709</v>
      </c>
      <c r="AL59" s="4">
        <v>0</v>
      </c>
      <c r="AM59" s="4">
        <v>0</v>
      </c>
      <c r="AN59" s="4">
        <v>0</v>
      </c>
      <c r="AO59" s="4">
        <v>0</v>
      </c>
      <c r="AP59" s="4">
        <v>0</v>
      </c>
      <c r="AQ59" s="4">
        <v>0</v>
      </c>
      <c r="AR59" s="4" t="s">
        <v>709</v>
      </c>
      <c r="AS59" s="4" t="s">
        <v>709</v>
      </c>
      <c r="AT59" s="4">
        <v>845</v>
      </c>
      <c r="AU59" s="4">
        <v>5927</v>
      </c>
      <c r="AV59" s="4">
        <v>7924</v>
      </c>
      <c r="AW59" s="4">
        <v>3957</v>
      </c>
      <c r="AX59" s="4">
        <v>1166</v>
      </c>
      <c r="AY59" s="4">
        <v>329</v>
      </c>
      <c r="AZ59" s="4">
        <v>0</v>
      </c>
      <c r="BA59" s="4">
        <v>0</v>
      </c>
      <c r="BB59" s="4">
        <v>297</v>
      </c>
      <c r="BC59" s="4">
        <v>0</v>
      </c>
      <c r="BD59" s="4">
        <v>0</v>
      </c>
      <c r="BE59" s="4">
        <v>30</v>
      </c>
      <c r="BF59" s="4">
        <v>0</v>
      </c>
      <c r="BG59" s="4">
        <v>68</v>
      </c>
      <c r="BH59" s="4">
        <v>1820</v>
      </c>
      <c r="BI59" s="4">
        <v>1807</v>
      </c>
      <c r="BJ59" s="4">
        <v>15175</v>
      </c>
      <c r="BK59" s="4">
        <v>1679</v>
      </c>
      <c r="BL59" s="4">
        <v>2890</v>
      </c>
      <c r="BM59" s="4">
        <v>3229</v>
      </c>
      <c r="BN59" s="4">
        <v>0</v>
      </c>
      <c r="BO59" s="4">
        <v>0</v>
      </c>
      <c r="BP59" s="4">
        <v>120</v>
      </c>
      <c r="BQ59" s="4">
        <v>177</v>
      </c>
      <c r="BR59" s="4">
        <v>0</v>
      </c>
      <c r="BS59" s="4">
        <v>30</v>
      </c>
      <c r="BT59" s="4">
        <v>0</v>
      </c>
      <c r="BU59" s="4">
        <v>69</v>
      </c>
      <c r="BV59" s="4">
        <v>2304</v>
      </c>
      <c r="BW59" s="4">
        <v>680</v>
      </c>
      <c r="BX59" s="4">
        <v>11238</v>
      </c>
      <c r="BY59" s="4">
        <v>4019</v>
      </c>
      <c r="BZ59" s="4">
        <v>5130</v>
      </c>
      <c r="CA59" s="4">
        <v>3229</v>
      </c>
      <c r="CB59">
        <v>17748.734861753856</v>
      </c>
      <c r="CC59">
        <v>6080.3622815108738</v>
      </c>
      <c r="CD59">
        <v>13866.596482667928</v>
      </c>
      <c r="CE59" t="s">
        <v>687</v>
      </c>
      <c r="CF59" t="s">
        <v>687</v>
      </c>
      <c r="CG59" t="s">
        <v>687</v>
      </c>
      <c r="CH59">
        <v>7</v>
      </c>
      <c r="CI59">
        <v>2</v>
      </c>
      <c r="CJ59">
        <v>1</v>
      </c>
      <c r="CK59">
        <v>0</v>
      </c>
      <c r="CL59">
        <v>0</v>
      </c>
      <c r="CM59">
        <v>0</v>
      </c>
      <c r="CN59">
        <v>11288195.372075452</v>
      </c>
      <c r="CO59">
        <v>636</v>
      </c>
      <c r="CP59">
        <v>243214.49126043494</v>
      </c>
      <c r="CQ59">
        <v>40</v>
      </c>
      <c r="CR59">
        <v>6545033.539819262</v>
      </c>
      <c r="CS59">
        <v>472</v>
      </c>
      <c r="CT59">
        <v>0</v>
      </c>
      <c r="CU59">
        <v>0</v>
      </c>
      <c r="CV59">
        <v>0</v>
      </c>
      <c r="CW59">
        <v>0</v>
      </c>
      <c r="CX59">
        <v>0</v>
      </c>
      <c r="CY59">
        <v>0</v>
      </c>
      <c r="CZ59" s="246">
        <v>0.13805480171583648</v>
      </c>
      <c r="DA59" s="246">
        <v>0.20969498910675383</v>
      </c>
      <c r="DB59" s="123">
        <v>36128888.25</v>
      </c>
      <c r="DC59" s="174">
        <v>95.5</v>
      </c>
      <c r="DD59" s="174">
        <v>1.8</v>
      </c>
      <c r="DE59" s="174">
        <v>0.5</v>
      </c>
      <c r="DF59" s="174">
        <v>86.7</v>
      </c>
      <c r="DG59" s="174">
        <v>4</v>
      </c>
      <c r="DH59" s="174">
        <v>4.8</v>
      </c>
      <c r="DI59" s="174">
        <v>97.8</v>
      </c>
      <c r="DJ59" s="174">
        <v>95.6</v>
      </c>
    </row>
    <row r="60" spans="1:114" x14ac:dyDescent="0.45">
      <c r="A60">
        <v>372</v>
      </c>
      <c r="B60" s="247">
        <v>1.4584763212079599E-2</v>
      </c>
      <c r="C60" s="169">
        <v>9.6516815374056292E-3</v>
      </c>
      <c r="D60" s="169">
        <v>1.6373336603912401E-2</v>
      </c>
      <c r="E60" s="169">
        <v>2.01753848040719E-2</v>
      </c>
      <c r="F60" s="206">
        <v>2700</v>
      </c>
      <c r="G60" s="206">
        <v>691</v>
      </c>
      <c r="H60" s="206">
        <v>10</v>
      </c>
      <c r="I60" s="206">
        <v>330</v>
      </c>
      <c r="J60" s="189">
        <v>0.112382300850908</v>
      </c>
      <c r="K60" s="189">
        <v>9.5190898116273195E-2</v>
      </c>
      <c r="L60" s="206">
        <v>315</v>
      </c>
      <c r="M60" s="206">
        <v>375</v>
      </c>
      <c r="N60" s="4">
        <v>0</v>
      </c>
      <c r="O60" s="4">
        <v>105</v>
      </c>
      <c r="P60" s="4">
        <v>0</v>
      </c>
      <c r="Q60" s="4">
        <v>0</v>
      </c>
      <c r="R60" s="4">
        <v>0</v>
      </c>
      <c r="S60" s="4">
        <v>3832</v>
      </c>
      <c r="T60" s="4">
        <v>15443</v>
      </c>
      <c r="U60" s="4">
        <v>3915</v>
      </c>
      <c r="V60" s="4">
        <v>916</v>
      </c>
      <c r="W60" s="4">
        <v>0</v>
      </c>
      <c r="X60" s="4">
        <v>1</v>
      </c>
      <c r="Y60" s="4">
        <v>1</v>
      </c>
      <c r="Z60" s="4">
        <v>0</v>
      </c>
      <c r="AA60" s="4">
        <v>150</v>
      </c>
      <c r="AB60" s="4">
        <v>0</v>
      </c>
      <c r="AC60" s="4">
        <v>0</v>
      </c>
      <c r="AD60" s="4">
        <v>0</v>
      </c>
      <c r="AE60" s="4">
        <v>2980</v>
      </c>
      <c r="AF60" s="4">
        <v>10928</v>
      </c>
      <c r="AG60" s="4">
        <v>1444</v>
      </c>
      <c r="AH60" s="4">
        <v>704</v>
      </c>
      <c r="AI60" s="4">
        <v>0</v>
      </c>
      <c r="AJ60" s="4">
        <v>1</v>
      </c>
      <c r="AK60" s="4">
        <v>1</v>
      </c>
      <c r="AL60" s="4">
        <v>0</v>
      </c>
      <c r="AM60" s="4">
        <v>0</v>
      </c>
      <c r="AN60" s="4">
        <v>0</v>
      </c>
      <c r="AO60" s="4">
        <v>150</v>
      </c>
      <c r="AP60" s="4">
        <v>0</v>
      </c>
      <c r="AQ60" s="4">
        <v>0</v>
      </c>
      <c r="AR60" s="4">
        <v>0</v>
      </c>
      <c r="AS60" s="4">
        <v>74</v>
      </c>
      <c r="AT60" s="4">
        <v>0</v>
      </c>
      <c r="AU60" s="4">
        <v>2280</v>
      </c>
      <c r="AV60" s="4">
        <v>4605</v>
      </c>
      <c r="AW60" s="4">
        <v>8467</v>
      </c>
      <c r="AX60" s="4">
        <v>704</v>
      </c>
      <c r="AY60" s="4">
        <v>0</v>
      </c>
      <c r="AZ60" s="4">
        <v>0</v>
      </c>
      <c r="BA60" s="4">
        <v>0</v>
      </c>
      <c r="BB60" s="4">
        <v>105</v>
      </c>
      <c r="BC60" s="4">
        <v>0</v>
      </c>
      <c r="BD60" s="4">
        <v>0</v>
      </c>
      <c r="BE60" s="4">
        <v>0</v>
      </c>
      <c r="BF60" s="4">
        <v>0</v>
      </c>
      <c r="BG60" s="4">
        <v>68</v>
      </c>
      <c r="BH60" s="4">
        <v>2279</v>
      </c>
      <c r="BI60" s="4">
        <v>1730</v>
      </c>
      <c r="BJ60" s="4">
        <v>12883</v>
      </c>
      <c r="BK60" s="4">
        <v>3250</v>
      </c>
      <c r="BL60" s="4">
        <v>1612</v>
      </c>
      <c r="BM60" s="4">
        <v>2352</v>
      </c>
      <c r="BN60" s="4">
        <v>0</v>
      </c>
      <c r="BO60" s="4">
        <v>0</v>
      </c>
      <c r="BP60" s="4">
        <v>105</v>
      </c>
      <c r="BQ60" s="4">
        <v>0</v>
      </c>
      <c r="BR60" s="4">
        <v>0</v>
      </c>
      <c r="BS60" s="4">
        <v>0</v>
      </c>
      <c r="BT60" s="4">
        <v>0</v>
      </c>
      <c r="BU60" s="4">
        <v>69</v>
      </c>
      <c r="BV60" s="4">
        <v>735</v>
      </c>
      <c r="BW60" s="4">
        <v>629</v>
      </c>
      <c r="BX60" s="4">
        <v>13769</v>
      </c>
      <c r="BY60" s="4">
        <v>1873</v>
      </c>
      <c r="BZ60" s="4">
        <v>4748</v>
      </c>
      <c r="CA60" s="4">
        <v>2352</v>
      </c>
      <c r="CB60">
        <v>12495.020323009045</v>
      </c>
      <c r="CC60" t="s">
        <v>687</v>
      </c>
      <c r="CD60">
        <v>27903.750352729974</v>
      </c>
      <c r="CE60">
        <v>16147.276847665969</v>
      </c>
      <c r="CF60" t="s">
        <v>687</v>
      </c>
      <c r="CG60" t="s">
        <v>687</v>
      </c>
      <c r="CH60">
        <v>4</v>
      </c>
      <c r="CI60">
        <v>0</v>
      </c>
      <c r="CJ60">
        <v>1</v>
      </c>
      <c r="CK60">
        <v>1</v>
      </c>
      <c r="CL60">
        <v>0</v>
      </c>
      <c r="CM60">
        <v>0</v>
      </c>
      <c r="CN60">
        <v>1649342.6826371939</v>
      </c>
      <c r="CO60">
        <v>132</v>
      </c>
      <c r="CP60">
        <v>0</v>
      </c>
      <c r="CQ60">
        <v>0</v>
      </c>
      <c r="CR60">
        <v>8789681.3611099422</v>
      </c>
      <c r="CS60">
        <v>315</v>
      </c>
      <c r="CT60">
        <v>4440501.1331081418</v>
      </c>
      <c r="CU60">
        <v>275</v>
      </c>
      <c r="CV60">
        <v>0</v>
      </c>
      <c r="CW60">
        <v>0</v>
      </c>
      <c r="CX60">
        <v>0</v>
      </c>
      <c r="CY60">
        <v>0</v>
      </c>
      <c r="CZ60" s="246">
        <v>0.1304559625876851</v>
      </c>
      <c r="DA60" s="246">
        <v>9.1270812928501463E-2</v>
      </c>
      <c r="DB60" s="123">
        <v>31058098.27</v>
      </c>
      <c r="DC60" s="174">
        <v>97.1</v>
      </c>
      <c r="DD60" s="174">
        <v>1.8</v>
      </c>
      <c r="DE60" s="174">
        <v>0.2</v>
      </c>
      <c r="DF60" s="174">
        <v>92.5</v>
      </c>
      <c r="DG60" s="174">
        <v>4</v>
      </c>
      <c r="DH60" s="174">
        <v>0.9</v>
      </c>
      <c r="DI60" s="174">
        <v>99.1</v>
      </c>
      <c r="DJ60" s="174">
        <v>97.3</v>
      </c>
    </row>
    <row r="61" spans="1:114" x14ac:dyDescent="0.45">
      <c r="A61">
        <v>373</v>
      </c>
      <c r="B61" s="247">
        <v>3.3212736792431599E-2</v>
      </c>
      <c r="C61" s="169">
        <v>1.2022201748275301E-2</v>
      </c>
      <c r="D61" s="169">
        <v>2.2798455823439399E-2</v>
      </c>
      <c r="E61" s="169">
        <v>1.3074513802899E-2</v>
      </c>
      <c r="F61" s="206">
        <v>4213</v>
      </c>
      <c r="G61" s="206">
        <v>5683</v>
      </c>
      <c r="H61" s="206">
        <v>570</v>
      </c>
      <c r="I61" s="206">
        <v>620</v>
      </c>
      <c r="J61" s="189">
        <v>6.9111880899547395E-2</v>
      </c>
      <c r="K61" s="189">
        <v>8.0340374642415405E-2</v>
      </c>
      <c r="L61" s="206">
        <v>0</v>
      </c>
      <c r="M61" s="206">
        <v>135</v>
      </c>
      <c r="N61" s="4">
        <v>212</v>
      </c>
      <c r="O61" s="4">
        <v>63</v>
      </c>
      <c r="P61" s="4">
        <v>0</v>
      </c>
      <c r="Q61" s="4">
        <v>0</v>
      </c>
      <c r="R61" s="4">
        <v>420</v>
      </c>
      <c r="S61" s="4">
        <v>6472</v>
      </c>
      <c r="T61" s="4">
        <v>33663</v>
      </c>
      <c r="U61" s="4">
        <v>6647</v>
      </c>
      <c r="V61" s="4">
        <v>0</v>
      </c>
      <c r="W61" s="4">
        <v>0</v>
      </c>
      <c r="X61" s="4">
        <v>1</v>
      </c>
      <c r="Y61" s="4">
        <v>1</v>
      </c>
      <c r="Z61" s="4">
        <v>120</v>
      </c>
      <c r="AA61" s="4">
        <v>1326</v>
      </c>
      <c r="AB61" s="4">
        <v>0</v>
      </c>
      <c r="AC61" s="4">
        <v>0</v>
      </c>
      <c r="AD61" s="4">
        <v>1950</v>
      </c>
      <c r="AE61" s="4">
        <v>6599</v>
      </c>
      <c r="AF61" s="4">
        <v>14816</v>
      </c>
      <c r="AG61" s="4">
        <v>7228</v>
      </c>
      <c r="AH61" s="4">
        <v>0</v>
      </c>
      <c r="AI61" s="4">
        <v>0</v>
      </c>
      <c r="AJ61" s="4">
        <v>1</v>
      </c>
      <c r="AK61" s="4">
        <v>1</v>
      </c>
      <c r="AL61" s="4">
        <v>120</v>
      </c>
      <c r="AM61" s="4">
        <v>306</v>
      </c>
      <c r="AN61" s="4">
        <v>30</v>
      </c>
      <c r="AO61" s="4">
        <v>0</v>
      </c>
      <c r="AP61" s="4">
        <v>0</v>
      </c>
      <c r="AQ61" s="4">
        <v>2940</v>
      </c>
      <c r="AR61" s="4">
        <v>0.93421052631578905</v>
      </c>
      <c r="AS61" s="4">
        <v>28</v>
      </c>
      <c r="AT61" s="4">
        <v>2473</v>
      </c>
      <c r="AU61" s="4">
        <v>8402</v>
      </c>
      <c r="AV61" s="4">
        <v>13455</v>
      </c>
      <c r="AW61" s="4">
        <v>2213</v>
      </c>
      <c r="AX61" s="4">
        <v>900</v>
      </c>
      <c r="AY61" s="4">
        <v>1200</v>
      </c>
      <c r="AZ61" s="4">
        <v>0</v>
      </c>
      <c r="BA61" s="4">
        <v>21</v>
      </c>
      <c r="BB61" s="4">
        <v>192</v>
      </c>
      <c r="BC61" s="4">
        <v>62</v>
      </c>
      <c r="BD61" s="4">
        <v>0</v>
      </c>
      <c r="BE61" s="4">
        <v>420</v>
      </c>
      <c r="BF61" s="4">
        <v>7.6363636363636397E-2</v>
      </c>
      <c r="BG61" s="4">
        <v>65</v>
      </c>
      <c r="BH61" s="4">
        <v>2248</v>
      </c>
      <c r="BI61" s="4">
        <v>8010</v>
      </c>
      <c r="BJ61" s="4">
        <v>21224</v>
      </c>
      <c r="BK61" s="4">
        <v>8967</v>
      </c>
      <c r="BL61" s="4">
        <v>1563</v>
      </c>
      <c r="BM61" s="4">
        <v>4770</v>
      </c>
      <c r="BN61" s="4">
        <v>150</v>
      </c>
      <c r="BO61" s="4">
        <v>0</v>
      </c>
      <c r="BP61" s="4">
        <v>125</v>
      </c>
      <c r="BQ61" s="4">
        <v>0</v>
      </c>
      <c r="BR61" s="4">
        <v>0</v>
      </c>
      <c r="BS61" s="4">
        <v>420</v>
      </c>
      <c r="BT61" s="4">
        <v>0.54545454545454497</v>
      </c>
      <c r="BU61" s="4">
        <v>20</v>
      </c>
      <c r="BV61" s="4">
        <v>2615</v>
      </c>
      <c r="BW61" s="4">
        <v>4658</v>
      </c>
      <c r="BX61" s="4">
        <v>20863</v>
      </c>
      <c r="BY61" s="4">
        <v>9177</v>
      </c>
      <c r="BZ61" s="4">
        <v>4699</v>
      </c>
      <c r="CA61" s="4">
        <v>4770</v>
      </c>
      <c r="CB61">
        <v>17438.685307106036</v>
      </c>
      <c r="CC61">
        <v>6483.543186907672</v>
      </c>
      <c r="CD61" t="s">
        <v>687</v>
      </c>
      <c r="CE61">
        <v>20587.599498050771</v>
      </c>
      <c r="CF61">
        <v>10741.224892323806</v>
      </c>
      <c r="CG61" t="s">
        <v>687</v>
      </c>
      <c r="CH61">
        <v>4</v>
      </c>
      <c r="CI61">
        <v>5</v>
      </c>
      <c r="CJ61">
        <v>0</v>
      </c>
      <c r="CK61">
        <v>1</v>
      </c>
      <c r="CL61">
        <v>1</v>
      </c>
      <c r="CM61">
        <v>0</v>
      </c>
      <c r="CN61">
        <v>10062121.422200182</v>
      </c>
      <c r="CO61">
        <v>577</v>
      </c>
      <c r="CP61">
        <v>1167037.773643381</v>
      </c>
      <c r="CQ61">
        <v>180</v>
      </c>
      <c r="CR61">
        <v>0</v>
      </c>
      <c r="CS61">
        <v>0</v>
      </c>
      <c r="CT61">
        <v>25158046.586618043</v>
      </c>
      <c r="CU61">
        <v>1222</v>
      </c>
      <c r="CV61">
        <v>644473.49353942834</v>
      </c>
      <c r="CW61">
        <v>60</v>
      </c>
      <c r="CX61">
        <v>0</v>
      </c>
      <c r="CY61">
        <v>0</v>
      </c>
      <c r="CZ61" s="246">
        <v>0.18759795214711106</v>
      </c>
      <c r="DA61" s="246">
        <v>0.20781319436027956</v>
      </c>
      <c r="DB61" s="123">
        <v>122132505.71000001</v>
      </c>
      <c r="DC61" s="174">
        <v>92</v>
      </c>
      <c r="DD61" s="174">
        <v>5.3</v>
      </c>
      <c r="DE61" s="174">
        <v>1.2</v>
      </c>
      <c r="DF61" s="174">
        <v>89.8</v>
      </c>
      <c r="DG61" s="174">
        <v>5.3</v>
      </c>
      <c r="DH61" s="174">
        <v>1.7</v>
      </c>
      <c r="DI61" s="174">
        <v>98.4</v>
      </c>
      <c r="DJ61" s="174">
        <v>96.9</v>
      </c>
    </row>
    <row r="62" spans="1:114" x14ac:dyDescent="0.45">
      <c r="A62">
        <v>380</v>
      </c>
      <c r="B62" s="247">
        <v>2.9195886777369999E-2</v>
      </c>
      <c r="C62" s="169">
        <v>3.2157261727408198E-3</v>
      </c>
      <c r="D62" s="169">
        <v>4.3351268255188299E-2</v>
      </c>
      <c r="E62" s="169">
        <v>7.1944657955418899E-3</v>
      </c>
      <c r="F62" s="206">
        <v>7729</v>
      </c>
      <c r="G62" s="206">
        <v>4205</v>
      </c>
      <c r="H62" s="206">
        <v>30</v>
      </c>
      <c r="I62" s="206">
        <v>120</v>
      </c>
      <c r="J62" s="189">
        <v>8.8651063187229498E-2</v>
      </c>
      <c r="K62" s="189">
        <v>6.3269956820348999E-2</v>
      </c>
      <c r="L62" s="206">
        <v>420</v>
      </c>
      <c r="M62" s="206">
        <v>1200</v>
      </c>
      <c r="N62" s="4">
        <v>15</v>
      </c>
      <c r="O62" s="4">
        <v>126</v>
      </c>
      <c r="P62" s="4">
        <v>0</v>
      </c>
      <c r="Q62" s="4">
        <v>0</v>
      </c>
      <c r="R62" s="4">
        <v>0</v>
      </c>
      <c r="S62" s="4">
        <v>7768</v>
      </c>
      <c r="T62" s="4">
        <v>36198</v>
      </c>
      <c r="U62" s="4">
        <v>9293</v>
      </c>
      <c r="V62" s="4">
        <v>417</v>
      </c>
      <c r="W62" s="4">
        <v>0</v>
      </c>
      <c r="X62" s="4">
        <v>1</v>
      </c>
      <c r="Y62" s="4">
        <v>1</v>
      </c>
      <c r="Z62" s="4">
        <v>0</v>
      </c>
      <c r="AA62" s="4">
        <v>79</v>
      </c>
      <c r="AB62" s="4">
        <v>0</v>
      </c>
      <c r="AC62" s="4">
        <v>0</v>
      </c>
      <c r="AD62" s="4">
        <v>0</v>
      </c>
      <c r="AE62" s="4">
        <v>8847</v>
      </c>
      <c r="AF62" s="4">
        <v>13180</v>
      </c>
      <c r="AG62" s="4">
        <v>12192</v>
      </c>
      <c r="AH62" s="4">
        <v>1858</v>
      </c>
      <c r="AI62" s="4">
        <v>0</v>
      </c>
      <c r="AJ62" s="4">
        <v>1</v>
      </c>
      <c r="AK62" s="4">
        <v>1</v>
      </c>
      <c r="AL62" s="4">
        <v>0</v>
      </c>
      <c r="AM62" s="4">
        <v>60</v>
      </c>
      <c r="AN62" s="4">
        <v>19</v>
      </c>
      <c r="AO62" s="4">
        <v>0</v>
      </c>
      <c r="AP62" s="4">
        <v>0</v>
      </c>
      <c r="AQ62" s="4">
        <v>0</v>
      </c>
      <c r="AR62" s="4">
        <v>0.759493670886076</v>
      </c>
      <c r="AS62" s="4">
        <v>34</v>
      </c>
      <c r="AT62" s="4">
        <v>7643</v>
      </c>
      <c r="AU62" s="4">
        <v>6916</v>
      </c>
      <c r="AV62" s="4">
        <v>8357</v>
      </c>
      <c r="AW62" s="4">
        <v>5308</v>
      </c>
      <c r="AX62" s="4">
        <v>6803</v>
      </c>
      <c r="AY62" s="4">
        <v>1050</v>
      </c>
      <c r="AZ62" s="4">
        <v>18</v>
      </c>
      <c r="BA62" s="4">
        <v>60</v>
      </c>
      <c r="BB62" s="4">
        <v>63</v>
      </c>
      <c r="BC62" s="4">
        <v>0</v>
      </c>
      <c r="BD62" s="4">
        <v>0</v>
      </c>
      <c r="BE62" s="4">
        <v>0</v>
      </c>
      <c r="BF62" s="4">
        <v>0.55319148936170204</v>
      </c>
      <c r="BG62" s="4">
        <v>24</v>
      </c>
      <c r="BH62" s="4">
        <v>9645</v>
      </c>
      <c r="BI62" s="4">
        <v>11384</v>
      </c>
      <c r="BJ62" s="4">
        <v>23909</v>
      </c>
      <c r="BK62" s="4">
        <v>6211</v>
      </c>
      <c r="BL62" s="4">
        <v>840</v>
      </c>
      <c r="BM62" s="4">
        <v>1687</v>
      </c>
      <c r="BN62" s="4">
        <v>18</v>
      </c>
      <c r="BO62" s="4">
        <v>0</v>
      </c>
      <c r="BP62" s="4">
        <v>123</v>
      </c>
      <c r="BQ62" s="4">
        <v>0</v>
      </c>
      <c r="BR62" s="4">
        <v>0</v>
      </c>
      <c r="BS62" s="4">
        <v>0</v>
      </c>
      <c r="BT62" s="4">
        <v>0.12765957446808501</v>
      </c>
      <c r="BU62" s="4">
        <v>55</v>
      </c>
      <c r="BV62" s="4">
        <v>7219</v>
      </c>
      <c r="BW62" s="4">
        <v>5885</v>
      </c>
      <c r="BX62" s="4">
        <v>30861</v>
      </c>
      <c r="BY62" s="4">
        <v>5082</v>
      </c>
      <c r="BZ62" s="4">
        <v>2942</v>
      </c>
      <c r="CA62" s="4">
        <v>1687</v>
      </c>
      <c r="CB62">
        <v>17240.159529479562</v>
      </c>
      <c r="CC62">
        <v>12425.533290239189</v>
      </c>
      <c r="CD62" t="s">
        <v>687</v>
      </c>
      <c r="CE62">
        <v>8098.9916906359949</v>
      </c>
      <c r="CF62" t="s">
        <v>687</v>
      </c>
      <c r="CG62">
        <v>18175.659189128601</v>
      </c>
      <c r="CH62">
        <v>7</v>
      </c>
      <c r="CI62">
        <v>1</v>
      </c>
      <c r="CJ62">
        <v>0</v>
      </c>
      <c r="CK62">
        <v>1</v>
      </c>
      <c r="CL62">
        <v>0</v>
      </c>
      <c r="CM62">
        <v>1</v>
      </c>
      <c r="CN62">
        <v>13447324.432994058</v>
      </c>
      <c r="CO62">
        <v>780</v>
      </c>
      <c r="CP62">
        <v>186382.99935358783</v>
      </c>
      <c r="CQ62">
        <v>15</v>
      </c>
      <c r="CR62">
        <v>0</v>
      </c>
      <c r="CS62">
        <v>0</v>
      </c>
      <c r="CT62">
        <v>1214848.7535953992</v>
      </c>
      <c r="CU62">
        <v>150</v>
      </c>
      <c r="CV62">
        <v>0</v>
      </c>
      <c r="CW62">
        <v>0</v>
      </c>
      <c r="CX62">
        <v>19084442.148585029</v>
      </c>
      <c r="CY62">
        <v>1050</v>
      </c>
      <c r="CZ62" s="246">
        <v>0.13531742686114157</v>
      </c>
      <c r="DA62" s="246">
        <v>0.38469688051795176</v>
      </c>
      <c r="DB62" s="123">
        <v>116676746.45999999</v>
      </c>
      <c r="DC62" s="174">
        <v>88.5</v>
      </c>
      <c r="DD62" s="174">
        <v>6.2</v>
      </c>
      <c r="DE62" s="174">
        <v>2</v>
      </c>
      <c r="DF62" s="174">
        <v>72</v>
      </c>
      <c r="DG62" s="174">
        <v>10.8</v>
      </c>
      <c r="DH62" s="174">
        <v>4.5</v>
      </c>
      <c r="DI62" s="174">
        <v>96.7</v>
      </c>
      <c r="DJ62" s="174">
        <v>87.4</v>
      </c>
    </row>
    <row r="63" spans="1:114" x14ac:dyDescent="0.45">
      <c r="A63">
        <v>381</v>
      </c>
      <c r="B63" s="247">
        <v>5.5784369949429102E-3</v>
      </c>
      <c r="C63" s="169">
        <v>3.59730983786038E-3</v>
      </c>
      <c r="D63" s="169">
        <v>8.1104778605874603E-3</v>
      </c>
      <c r="E63" s="169">
        <v>1.23483852111647E-2</v>
      </c>
      <c r="F63" s="206">
        <v>1340</v>
      </c>
      <c r="G63" s="206">
        <v>1479</v>
      </c>
      <c r="H63" s="206">
        <v>60</v>
      </c>
      <c r="I63" s="206">
        <v>0</v>
      </c>
      <c r="J63" s="189">
        <v>0.111104270723677</v>
      </c>
      <c r="K63" s="189">
        <v>5.4263624284994497E-2</v>
      </c>
      <c r="L63" s="206">
        <v>35</v>
      </c>
      <c r="M63" s="206">
        <v>1090</v>
      </c>
      <c r="N63" s="4">
        <v>91</v>
      </c>
      <c r="O63" s="4">
        <v>0</v>
      </c>
      <c r="P63" s="4">
        <v>0</v>
      </c>
      <c r="Q63" s="4">
        <v>0</v>
      </c>
      <c r="R63" s="4">
        <v>0</v>
      </c>
      <c r="S63" s="4">
        <v>4778</v>
      </c>
      <c r="T63" s="4">
        <v>12996</v>
      </c>
      <c r="U63" s="4">
        <v>2316</v>
      </c>
      <c r="V63" s="4">
        <v>210</v>
      </c>
      <c r="W63" s="4">
        <v>0</v>
      </c>
      <c r="X63" s="4">
        <v>1</v>
      </c>
      <c r="Y63" s="4">
        <v>1</v>
      </c>
      <c r="Z63" s="4">
        <v>0</v>
      </c>
      <c r="AA63" s="4">
        <v>0</v>
      </c>
      <c r="AB63" s="4">
        <v>0</v>
      </c>
      <c r="AC63" s="4">
        <v>0</v>
      </c>
      <c r="AD63" s="4">
        <v>0</v>
      </c>
      <c r="AE63" s="4">
        <v>4305</v>
      </c>
      <c r="AF63" s="4">
        <v>9556</v>
      </c>
      <c r="AG63" s="4">
        <v>0</v>
      </c>
      <c r="AH63" s="4">
        <v>1392</v>
      </c>
      <c r="AI63" s="4">
        <v>0</v>
      </c>
      <c r="AJ63" s="4" t="s">
        <v>709</v>
      </c>
      <c r="AK63" s="4" t="s">
        <v>709</v>
      </c>
      <c r="AL63" s="4">
        <v>0</v>
      </c>
      <c r="AM63" s="4">
        <v>0</v>
      </c>
      <c r="AN63" s="4">
        <v>0</v>
      </c>
      <c r="AO63" s="4">
        <v>0</v>
      </c>
      <c r="AP63" s="4">
        <v>0</v>
      </c>
      <c r="AQ63" s="4">
        <v>0</v>
      </c>
      <c r="AR63" s="4" t="s">
        <v>709</v>
      </c>
      <c r="AS63" s="4" t="s">
        <v>709</v>
      </c>
      <c r="AT63" s="4">
        <v>1900</v>
      </c>
      <c r="AU63" s="4">
        <v>4909</v>
      </c>
      <c r="AV63" s="4">
        <v>5349</v>
      </c>
      <c r="AW63" s="4">
        <v>3095</v>
      </c>
      <c r="AX63" s="4">
        <v>0</v>
      </c>
      <c r="AY63" s="4">
        <v>0</v>
      </c>
      <c r="AZ63" s="4">
        <v>0</v>
      </c>
      <c r="BA63" s="4">
        <v>0</v>
      </c>
      <c r="BB63" s="4">
        <v>0</v>
      </c>
      <c r="BC63" s="4">
        <v>91</v>
      </c>
      <c r="BD63" s="4">
        <v>0</v>
      </c>
      <c r="BE63" s="4">
        <v>0</v>
      </c>
      <c r="BF63" s="4">
        <v>0</v>
      </c>
      <c r="BG63" s="4">
        <v>68</v>
      </c>
      <c r="BH63" s="4">
        <v>1973</v>
      </c>
      <c r="BI63" s="4">
        <v>1745</v>
      </c>
      <c r="BJ63" s="4">
        <v>11297</v>
      </c>
      <c r="BK63" s="4">
        <v>2680</v>
      </c>
      <c r="BL63" s="4">
        <v>1064</v>
      </c>
      <c r="BM63" s="4">
        <v>1541</v>
      </c>
      <c r="BN63" s="4">
        <v>0</v>
      </c>
      <c r="BO63" s="4">
        <v>0</v>
      </c>
      <c r="BP63" s="4">
        <v>0</v>
      </c>
      <c r="BQ63" s="4">
        <v>0</v>
      </c>
      <c r="BR63" s="4">
        <v>91</v>
      </c>
      <c r="BS63" s="4">
        <v>0</v>
      </c>
      <c r="BT63" s="4">
        <v>0</v>
      </c>
      <c r="BU63" s="4">
        <v>69</v>
      </c>
      <c r="BV63" s="4">
        <v>2155</v>
      </c>
      <c r="BW63" s="4">
        <v>1389</v>
      </c>
      <c r="BX63" s="4">
        <v>12861</v>
      </c>
      <c r="BY63" s="4">
        <v>766</v>
      </c>
      <c r="BZ63" s="4">
        <v>1588</v>
      </c>
      <c r="CA63" s="4">
        <v>1541</v>
      </c>
      <c r="CB63">
        <v>4735.4770509132977</v>
      </c>
      <c r="CC63" t="s">
        <v>687</v>
      </c>
      <c r="CD63">
        <v>16132.350039731011</v>
      </c>
      <c r="CE63" t="s">
        <v>687</v>
      </c>
      <c r="CF63" t="s">
        <v>687</v>
      </c>
      <c r="CG63" t="s">
        <v>687</v>
      </c>
      <c r="CH63">
        <v>1</v>
      </c>
      <c r="CI63">
        <v>0</v>
      </c>
      <c r="CJ63">
        <v>1</v>
      </c>
      <c r="CK63">
        <v>0</v>
      </c>
      <c r="CL63">
        <v>0</v>
      </c>
      <c r="CM63">
        <v>0</v>
      </c>
      <c r="CN63">
        <v>284128.62305479788</v>
      </c>
      <c r="CO63">
        <v>60</v>
      </c>
      <c r="CP63">
        <v>0</v>
      </c>
      <c r="CQ63">
        <v>0</v>
      </c>
      <c r="CR63">
        <v>6775587.0166870244</v>
      </c>
      <c r="CS63">
        <v>420</v>
      </c>
      <c r="CT63">
        <v>0</v>
      </c>
      <c r="CU63">
        <v>0</v>
      </c>
      <c r="CV63">
        <v>0</v>
      </c>
      <c r="CW63">
        <v>0</v>
      </c>
      <c r="CX63">
        <v>0</v>
      </c>
      <c r="CY63">
        <v>0</v>
      </c>
      <c r="CZ63" s="246">
        <v>7.725445146467548E-2</v>
      </c>
      <c r="DA63" s="246">
        <v>0.1491607807397281</v>
      </c>
      <c r="DB63" s="123">
        <v>30583047.249999996</v>
      </c>
      <c r="DC63" s="174">
        <v>92.3</v>
      </c>
      <c r="DD63" s="174">
        <v>4.7</v>
      </c>
      <c r="DE63" s="174">
        <v>1.3</v>
      </c>
      <c r="DF63" s="174">
        <v>86.9</v>
      </c>
      <c r="DG63" s="174">
        <v>5.2</v>
      </c>
      <c r="DH63" s="174">
        <v>3.9</v>
      </c>
      <c r="DI63" s="174">
        <v>98.3</v>
      </c>
      <c r="DJ63" s="174">
        <v>96</v>
      </c>
    </row>
    <row r="64" spans="1:114" x14ac:dyDescent="0.45">
      <c r="A64">
        <v>382</v>
      </c>
      <c r="B64" s="247">
        <v>7.9979090433873502E-3</v>
      </c>
      <c r="C64" s="169">
        <v>3.8682697334030298E-3</v>
      </c>
      <c r="D64" s="169">
        <v>1.20585349901897E-2</v>
      </c>
      <c r="E64" s="169">
        <v>5.5183126226291696E-3</v>
      </c>
      <c r="F64" s="206">
        <v>2996</v>
      </c>
      <c r="G64" s="206">
        <v>1371</v>
      </c>
      <c r="H64" s="206">
        <v>150</v>
      </c>
      <c r="I64" s="206">
        <v>170</v>
      </c>
      <c r="J64" s="189">
        <v>0.10280859732989001</v>
      </c>
      <c r="K64" s="189">
        <v>5.4551723568542501E-2</v>
      </c>
      <c r="L64" s="206">
        <v>270</v>
      </c>
      <c r="M64" s="206">
        <v>250</v>
      </c>
      <c r="N64" s="4">
        <v>0</v>
      </c>
      <c r="O64" s="4">
        <v>76</v>
      </c>
      <c r="P64" s="4">
        <v>0</v>
      </c>
      <c r="Q64" s="4">
        <v>0</v>
      </c>
      <c r="R64" s="4">
        <v>60</v>
      </c>
      <c r="S64" s="4">
        <v>4437</v>
      </c>
      <c r="T64" s="4">
        <v>28697</v>
      </c>
      <c r="U64" s="4">
        <v>4704</v>
      </c>
      <c r="V64" s="4">
        <v>1740</v>
      </c>
      <c r="W64" s="4">
        <v>0</v>
      </c>
      <c r="X64" s="4">
        <v>1</v>
      </c>
      <c r="Y64" s="4">
        <v>1</v>
      </c>
      <c r="Z64" s="4">
        <v>0</v>
      </c>
      <c r="AA64" s="4">
        <v>168</v>
      </c>
      <c r="AB64" s="4">
        <v>0</v>
      </c>
      <c r="AC64" s="4">
        <v>0</v>
      </c>
      <c r="AD64" s="4">
        <v>0</v>
      </c>
      <c r="AE64" s="4">
        <v>5294</v>
      </c>
      <c r="AF64" s="4">
        <v>14681</v>
      </c>
      <c r="AG64" s="4">
        <v>3840</v>
      </c>
      <c r="AH64" s="4">
        <v>3639</v>
      </c>
      <c r="AI64" s="4">
        <v>0</v>
      </c>
      <c r="AJ64" s="4">
        <v>1</v>
      </c>
      <c r="AK64" s="4">
        <v>1</v>
      </c>
      <c r="AL64" s="4">
        <v>0</v>
      </c>
      <c r="AM64" s="4">
        <v>168</v>
      </c>
      <c r="AN64" s="4">
        <v>0</v>
      </c>
      <c r="AO64" s="4">
        <v>0</v>
      </c>
      <c r="AP64" s="4">
        <v>0</v>
      </c>
      <c r="AQ64" s="4">
        <v>0</v>
      </c>
      <c r="AR64" s="4">
        <v>1</v>
      </c>
      <c r="AS64" s="4">
        <v>1</v>
      </c>
      <c r="AT64" s="4">
        <v>3875</v>
      </c>
      <c r="AU64" s="4">
        <v>2070</v>
      </c>
      <c r="AV64" s="4">
        <v>3394</v>
      </c>
      <c r="AW64" s="4">
        <v>12688</v>
      </c>
      <c r="AX64" s="4">
        <v>2484</v>
      </c>
      <c r="AY64" s="4">
        <v>2943</v>
      </c>
      <c r="AZ64" s="4">
        <v>0</v>
      </c>
      <c r="BA64" s="4">
        <v>0</v>
      </c>
      <c r="BB64" s="4">
        <v>30</v>
      </c>
      <c r="BC64" s="4">
        <v>30</v>
      </c>
      <c r="BD64" s="4">
        <v>16</v>
      </c>
      <c r="BE64" s="4">
        <v>60</v>
      </c>
      <c r="BF64" s="4">
        <v>0</v>
      </c>
      <c r="BG64" s="4">
        <v>68</v>
      </c>
      <c r="BH64" s="4">
        <v>1664</v>
      </c>
      <c r="BI64" s="4">
        <v>5703</v>
      </c>
      <c r="BJ64" s="4">
        <v>18151</v>
      </c>
      <c r="BK64" s="4">
        <v>3756</v>
      </c>
      <c r="BL64" s="4">
        <v>2688</v>
      </c>
      <c r="BM64" s="4">
        <v>7616</v>
      </c>
      <c r="BN64" s="4">
        <v>0</v>
      </c>
      <c r="BO64" s="4">
        <v>0</v>
      </c>
      <c r="BP64" s="4">
        <v>30</v>
      </c>
      <c r="BQ64" s="4">
        <v>46</v>
      </c>
      <c r="BR64" s="4">
        <v>0</v>
      </c>
      <c r="BS64" s="4">
        <v>60</v>
      </c>
      <c r="BT64" s="4">
        <v>0</v>
      </c>
      <c r="BU64" s="4">
        <v>69</v>
      </c>
      <c r="BV64" s="4">
        <v>1153</v>
      </c>
      <c r="BW64" s="4">
        <v>1254</v>
      </c>
      <c r="BX64" s="4">
        <v>21508</v>
      </c>
      <c r="BY64" s="4">
        <v>5185</v>
      </c>
      <c r="BZ64" s="4">
        <v>2862</v>
      </c>
      <c r="CA64" s="4">
        <v>7616</v>
      </c>
      <c r="CB64">
        <v>30707.726861015737</v>
      </c>
      <c r="CC64">
        <v>8600.9800709599185</v>
      </c>
      <c r="CD64" t="s">
        <v>687</v>
      </c>
      <c r="CE64" t="s">
        <v>687</v>
      </c>
      <c r="CF64" t="s">
        <v>687</v>
      </c>
      <c r="CG64" t="s">
        <v>687</v>
      </c>
      <c r="CH64">
        <v>2</v>
      </c>
      <c r="CI64">
        <v>3</v>
      </c>
      <c r="CJ64">
        <v>0</v>
      </c>
      <c r="CK64">
        <v>0</v>
      </c>
      <c r="CL64">
        <v>0</v>
      </c>
      <c r="CM64">
        <v>0</v>
      </c>
      <c r="CN64">
        <v>11239028.031131759</v>
      </c>
      <c r="CO64">
        <v>366</v>
      </c>
      <c r="CP64">
        <v>774088.20638639259</v>
      </c>
      <c r="CQ64">
        <v>90</v>
      </c>
      <c r="CR64">
        <v>0</v>
      </c>
      <c r="CS64">
        <v>0</v>
      </c>
      <c r="CT64">
        <v>0</v>
      </c>
      <c r="CU64">
        <v>0</v>
      </c>
      <c r="CV64">
        <v>0</v>
      </c>
      <c r="CW64">
        <v>0</v>
      </c>
      <c r="CX64">
        <v>0</v>
      </c>
      <c r="CY64">
        <v>0</v>
      </c>
      <c r="CZ64" s="246">
        <v>0.113242849930207</v>
      </c>
      <c r="DA64" s="246">
        <v>0.11658825052876937</v>
      </c>
      <c r="DB64" s="123">
        <v>53224451.890000008</v>
      </c>
      <c r="DC64" s="174">
        <v>91.9</v>
      </c>
      <c r="DD64" s="174">
        <v>5.0999999999999996</v>
      </c>
      <c r="DE64" s="174">
        <v>1.6</v>
      </c>
      <c r="DF64" s="174">
        <v>85.5</v>
      </c>
      <c r="DG64" s="174">
        <v>8.8000000000000007</v>
      </c>
      <c r="DH64" s="174">
        <v>2.2000000000000002</v>
      </c>
      <c r="DI64" s="174">
        <v>98.5</v>
      </c>
      <c r="DJ64" s="174">
        <v>96.5</v>
      </c>
    </row>
    <row r="65" spans="1:114" x14ac:dyDescent="0.45">
      <c r="A65">
        <v>383</v>
      </c>
      <c r="B65" s="247">
        <v>3.1709281256291501E-2</v>
      </c>
      <c r="C65" s="169">
        <v>9.7644453392389807E-3</v>
      </c>
      <c r="D65" s="169">
        <v>4.7082857073372397E-2</v>
      </c>
      <c r="E65" s="169">
        <v>4.0127435005715096E-3</v>
      </c>
      <c r="F65" s="206">
        <v>12521</v>
      </c>
      <c r="G65" s="206">
        <v>6618</v>
      </c>
      <c r="H65" s="206">
        <v>2080</v>
      </c>
      <c r="I65" s="206">
        <v>1810</v>
      </c>
      <c r="J65" s="189">
        <v>6.5180427484799006E-2</v>
      </c>
      <c r="K65" s="189">
        <v>7.7572185389101295E-2</v>
      </c>
      <c r="L65" s="206">
        <v>1575</v>
      </c>
      <c r="M65" s="206">
        <v>1131</v>
      </c>
      <c r="N65" s="4">
        <v>157</v>
      </c>
      <c r="O65" s="4">
        <v>982</v>
      </c>
      <c r="P65" s="4">
        <v>105</v>
      </c>
      <c r="Q65" s="4">
        <v>15</v>
      </c>
      <c r="R65" s="4">
        <v>420</v>
      </c>
      <c r="S65" s="4">
        <v>12211</v>
      </c>
      <c r="T65" s="4">
        <v>45067</v>
      </c>
      <c r="U65" s="4">
        <v>11017</v>
      </c>
      <c r="V65" s="4">
        <v>747</v>
      </c>
      <c r="W65" s="4">
        <v>420</v>
      </c>
      <c r="X65" s="4">
        <v>0.90468625893566301</v>
      </c>
      <c r="Y65" s="4">
        <v>95</v>
      </c>
      <c r="Z65" s="4">
        <v>0</v>
      </c>
      <c r="AA65" s="4">
        <v>143</v>
      </c>
      <c r="AB65" s="4">
        <v>17</v>
      </c>
      <c r="AC65" s="4">
        <v>0</v>
      </c>
      <c r="AD65" s="4">
        <v>560</v>
      </c>
      <c r="AE65" s="4">
        <v>10430</v>
      </c>
      <c r="AF65" s="4">
        <v>29149</v>
      </c>
      <c r="AG65" s="4">
        <v>7857</v>
      </c>
      <c r="AH65" s="4">
        <v>1038</v>
      </c>
      <c r="AI65" s="4">
        <v>0</v>
      </c>
      <c r="AJ65" s="4">
        <v>0.89375000000000004</v>
      </c>
      <c r="AK65" s="4">
        <v>82</v>
      </c>
      <c r="AL65" s="4">
        <v>0</v>
      </c>
      <c r="AM65" s="4">
        <v>52</v>
      </c>
      <c r="AN65" s="4">
        <v>108</v>
      </c>
      <c r="AO65" s="4">
        <v>0</v>
      </c>
      <c r="AP65" s="4">
        <v>0</v>
      </c>
      <c r="AQ65" s="4">
        <v>560</v>
      </c>
      <c r="AR65" s="4">
        <v>0.32500000000000001</v>
      </c>
      <c r="AS65" s="4">
        <v>60</v>
      </c>
      <c r="AT65" s="4">
        <v>7268</v>
      </c>
      <c r="AU65" s="4">
        <v>12637</v>
      </c>
      <c r="AV65" s="4">
        <v>18069</v>
      </c>
      <c r="AW65" s="4">
        <v>6434</v>
      </c>
      <c r="AX65" s="4">
        <v>1038</v>
      </c>
      <c r="AY65" s="4">
        <v>3028</v>
      </c>
      <c r="AZ65" s="4">
        <v>120</v>
      </c>
      <c r="BA65" s="4">
        <v>343</v>
      </c>
      <c r="BB65" s="4">
        <v>571</v>
      </c>
      <c r="BC65" s="4">
        <v>165</v>
      </c>
      <c r="BD65" s="4">
        <v>0</v>
      </c>
      <c r="BE65" s="4">
        <v>480</v>
      </c>
      <c r="BF65" s="4">
        <v>0.38615512927439499</v>
      </c>
      <c r="BG65" s="4">
        <v>34</v>
      </c>
      <c r="BH65" s="4">
        <v>10430</v>
      </c>
      <c r="BI65" s="4">
        <v>12390</v>
      </c>
      <c r="BJ65" s="4">
        <v>33357</v>
      </c>
      <c r="BK65" s="4">
        <v>6107</v>
      </c>
      <c r="BL65" s="4">
        <v>2963</v>
      </c>
      <c r="BM65" s="4">
        <v>4215</v>
      </c>
      <c r="BN65" s="4">
        <v>60</v>
      </c>
      <c r="BO65" s="4">
        <v>93</v>
      </c>
      <c r="BP65" s="4">
        <v>896</v>
      </c>
      <c r="BQ65" s="4">
        <v>90</v>
      </c>
      <c r="BR65" s="4">
        <v>60</v>
      </c>
      <c r="BS65" s="4">
        <v>480</v>
      </c>
      <c r="BT65" s="4">
        <v>0.12760633861551299</v>
      </c>
      <c r="BU65" s="4">
        <v>56</v>
      </c>
      <c r="BV65" s="4">
        <v>6824</v>
      </c>
      <c r="BW65" s="4">
        <v>7354</v>
      </c>
      <c r="BX65" s="4">
        <v>40072</v>
      </c>
      <c r="BY65" s="4">
        <v>7348</v>
      </c>
      <c r="BZ65" s="4">
        <v>3649</v>
      </c>
      <c r="CA65" s="4">
        <v>4215</v>
      </c>
      <c r="CB65">
        <v>52156.570153022469</v>
      </c>
      <c r="CC65">
        <v>16333.768950633626</v>
      </c>
      <c r="CD65" t="s">
        <v>687</v>
      </c>
      <c r="CE65">
        <v>74165.760978947874</v>
      </c>
      <c r="CF65" t="s">
        <v>687</v>
      </c>
      <c r="CG65" t="s">
        <v>687</v>
      </c>
      <c r="CH65">
        <v>14</v>
      </c>
      <c r="CI65">
        <v>36</v>
      </c>
      <c r="CJ65">
        <v>0</v>
      </c>
      <c r="CK65">
        <v>1</v>
      </c>
      <c r="CL65">
        <v>0</v>
      </c>
      <c r="CM65">
        <v>0</v>
      </c>
      <c r="CN65">
        <v>57111444.3175596</v>
      </c>
      <c r="CO65">
        <v>1095</v>
      </c>
      <c r="CP65">
        <v>16333768.950633626</v>
      </c>
      <c r="CQ65">
        <v>1000</v>
      </c>
      <c r="CR65">
        <v>0</v>
      </c>
      <c r="CS65">
        <v>0</v>
      </c>
      <c r="CT65">
        <v>18541440.244736969</v>
      </c>
      <c r="CU65">
        <v>250</v>
      </c>
      <c r="CV65">
        <v>0</v>
      </c>
      <c r="CW65">
        <v>0</v>
      </c>
      <c r="CX65">
        <v>0</v>
      </c>
      <c r="CY65">
        <v>0</v>
      </c>
      <c r="CZ65" s="246">
        <v>0.3234464311886267</v>
      </c>
      <c r="DA65" s="246">
        <v>0.27723121120958344</v>
      </c>
      <c r="DB65" s="123">
        <v>287210626.18000001</v>
      </c>
      <c r="DC65" s="174">
        <v>88.4</v>
      </c>
      <c r="DD65" s="174">
        <v>6</v>
      </c>
      <c r="DE65" s="174">
        <v>1.7</v>
      </c>
      <c r="DF65" s="174">
        <v>82.4</v>
      </c>
      <c r="DG65" s="174">
        <v>8.6</v>
      </c>
      <c r="DH65" s="174">
        <v>3</v>
      </c>
      <c r="DI65" s="174">
        <v>96.1</v>
      </c>
      <c r="DJ65" s="174">
        <v>94.1</v>
      </c>
    </row>
    <row r="66" spans="1:114" x14ac:dyDescent="0.45">
      <c r="A66">
        <v>384</v>
      </c>
      <c r="B66" s="247">
        <v>-4.7324605340426297E-2</v>
      </c>
      <c r="C66" s="169">
        <v>2.56312826004352E-2</v>
      </c>
      <c r="D66" s="169">
        <v>2.5212342758843102E-2</v>
      </c>
      <c r="E66" s="169">
        <v>4.6876679926889597E-2</v>
      </c>
      <c r="F66" s="206">
        <v>2716</v>
      </c>
      <c r="G66" s="206">
        <v>259</v>
      </c>
      <c r="H66" s="206">
        <v>230</v>
      </c>
      <c r="I66" s="206">
        <v>300</v>
      </c>
      <c r="J66" s="189">
        <v>5.3124629747782599E-2</v>
      </c>
      <c r="K66" s="189">
        <v>7.8402111720604101E-2</v>
      </c>
      <c r="L66" s="206">
        <v>169</v>
      </c>
      <c r="M66" s="206">
        <v>180</v>
      </c>
      <c r="N66" s="4">
        <v>103</v>
      </c>
      <c r="O66" s="4">
        <v>242</v>
      </c>
      <c r="P66" s="4">
        <v>0</v>
      </c>
      <c r="Q66" s="4">
        <v>0</v>
      </c>
      <c r="R66" s="4">
        <v>0</v>
      </c>
      <c r="S66" s="4">
        <v>4199</v>
      </c>
      <c r="T66" s="4">
        <v>19760</v>
      </c>
      <c r="U66" s="4">
        <v>5744</v>
      </c>
      <c r="V66" s="4">
        <v>210</v>
      </c>
      <c r="W66" s="4">
        <v>0</v>
      </c>
      <c r="X66" s="4">
        <v>1</v>
      </c>
      <c r="Y66" s="4">
        <v>1</v>
      </c>
      <c r="Z66" s="4">
        <v>0</v>
      </c>
      <c r="AA66" s="4">
        <v>250</v>
      </c>
      <c r="AB66" s="4">
        <v>0</v>
      </c>
      <c r="AC66" s="4">
        <v>0</v>
      </c>
      <c r="AD66" s="4">
        <v>0</v>
      </c>
      <c r="AE66" s="4">
        <v>2950</v>
      </c>
      <c r="AF66" s="4">
        <v>15179</v>
      </c>
      <c r="AG66" s="4">
        <v>3223</v>
      </c>
      <c r="AH66" s="4">
        <v>0</v>
      </c>
      <c r="AI66" s="4">
        <v>0</v>
      </c>
      <c r="AJ66" s="4">
        <v>1</v>
      </c>
      <c r="AK66" s="4">
        <v>1</v>
      </c>
      <c r="AL66" s="4">
        <v>0</v>
      </c>
      <c r="AM66" s="4">
        <v>50</v>
      </c>
      <c r="AN66" s="4">
        <v>200</v>
      </c>
      <c r="AO66" s="4">
        <v>0</v>
      </c>
      <c r="AP66" s="4">
        <v>0</v>
      </c>
      <c r="AQ66" s="4">
        <v>0</v>
      </c>
      <c r="AR66" s="4">
        <v>0.2</v>
      </c>
      <c r="AS66" s="4">
        <v>66</v>
      </c>
      <c r="AT66" s="4">
        <v>1050</v>
      </c>
      <c r="AU66" s="4">
        <v>3024</v>
      </c>
      <c r="AV66" s="4">
        <v>11787</v>
      </c>
      <c r="AW66" s="4">
        <v>5491</v>
      </c>
      <c r="AX66" s="4">
        <v>0</v>
      </c>
      <c r="AY66" s="4">
        <v>0</v>
      </c>
      <c r="AZ66" s="4">
        <v>90</v>
      </c>
      <c r="BA66" s="4">
        <v>30</v>
      </c>
      <c r="BB66" s="4">
        <v>190</v>
      </c>
      <c r="BC66" s="4">
        <v>0</v>
      </c>
      <c r="BD66" s="4">
        <v>0</v>
      </c>
      <c r="BE66" s="4">
        <v>35</v>
      </c>
      <c r="BF66" s="4">
        <v>0.38709677419354799</v>
      </c>
      <c r="BG66" s="4">
        <v>33</v>
      </c>
      <c r="BH66" s="4">
        <v>2108</v>
      </c>
      <c r="BI66" s="4">
        <v>4108</v>
      </c>
      <c r="BJ66" s="4">
        <v>15043</v>
      </c>
      <c r="BK66" s="4">
        <v>3713</v>
      </c>
      <c r="BL66" s="4">
        <v>2814</v>
      </c>
      <c r="BM66" s="4">
        <v>2127</v>
      </c>
      <c r="BN66" s="4">
        <v>0</v>
      </c>
      <c r="BO66" s="4">
        <v>0</v>
      </c>
      <c r="BP66" s="4">
        <v>310</v>
      </c>
      <c r="BQ66" s="4">
        <v>0</v>
      </c>
      <c r="BR66" s="4">
        <v>0</v>
      </c>
      <c r="BS66" s="4">
        <v>35</v>
      </c>
      <c r="BT66" s="4">
        <v>0</v>
      </c>
      <c r="BU66" s="4">
        <v>69</v>
      </c>
      <c r="BV66" s="4">
        <v>1420</v>
      </c>
      <c r="BW66" s="4">
        <v>1890</v>
      </c>
      <c r="BX66" s="4">
        <v>18074</v>
      </c>
      <c r="BY66" s="4">
        <v>2424</v>
      </c>
      <c r="BZ66" s="4">
        <v>3978</v>
      </c>
      <c r="CA66" s="4">
        <v>2127</v>
      </c>
      <c r="CB66">
        <v>16356.830636122628</v>
      </c>
      <c r="CC66">
        <v>10353.841319993202</v>
      </c>
      <c r="CD66" t="s">
        <v>687</v>
      </c>
      <c r="CE66" t="s">
        <v>687</v>
      </c>
      <c r="CF66">
        <v>13634.513634513653</v>
      </c>
      <c r="CG66" t="s">
        <v>687</v>
      </c>
      <c r="CH66">
        <v>7</v>
      </c>
      <c r="CI66">
        <v>4</v>
      </c>
      <c r="CJ66">
        <v>0</v>
      </c>
      <c r="CK66">
        <v>0</v>
      </c>
      <c r="CL66">
        <v>1</v>
      </c>
      <c r="CM66">
        <v>0</v>
      </c>
      <c r="CN66">
        <v>13707024.073070763</v>
      </c>
      <c r="CO66">
        <v>838</v>
      </c>
      <c r="CP66">
        <v>621230.47919959214</v>
      </c>
      <c r="CQ66">
        <v>60</v>
      </c>
      <c r="CR66">
        <v>0</v>
      </c>
      <c r="CS66">
        <v>0</v>
      </c>
      <c r="CT66">
        <v>0</v>
      </c>
      <c r="CU66">
        <v>0</v>
      </c>
      <c r="CV66">
        <v>204517.70451770478</v>
      </c>
      <c r="CW66">
        <v>15</v>
      </c>
      <c r="CX66">
        <v>0</v>
      </c>
      <c r="CY66">
        <v>0</v>
      </c>
      <c r="CZ66" s="246">
        <v>0.25398859221294534</v>
      </c>
      <c r="DA66" s="246">
        <v>0.18138506040496852</v>
      </c>
      <c r="DB66" s="123">
        <v>44317155.890000001</v>
      </c>
      <c r="DC66" s="174">
        <v>92.2</v>
      </c>
      <c r="DD66" s="174">
        <v>4.0999999999999996</v>
      </c>
      <c r="DE66" s="174">
        <v>0.6</v>
      </c>
      <c r="DF66" s="174">
        <v>93.9</v>
      </c>
      <c r="DG66" s="174">
        <v>3.7</v>
      </c>
      <c r="DH66" s="174">
        <v>0.6</v>
      </c>
      <c r="DI66" s="174">
        <v>97</v>
      </c>
      <c r="DJ66" s="174">
        <v>98.2</v>
      </c>
    </row>
    <row r="67" spans="1:114" x14ac:dyDescent="0.45">
      <c r="A67">
        <v>390</v>
      </c>
      <c r="B67" s="247">
        <v>3.0288847285370402E-2</v>
      </c>
      <c r="C67" s="169">
        <v>-6.7531425514843497E-3</v>
      </c>
      <c r="D67" s="169">
        <v>-1.4367230487059301E-2</v>
      </c>
      <c r="E67" s="169">
        <v>2.10923170980232E-2</v>
      </c>
      <c r="F67" s="206">
        <v>1458</v>
      </c>
      <c r="G67" s="206">
        <v>168</v>
      </c>
      <c r="H67" s="206">
        <v>10</v>
      </c>
      <c r="I67" s="206">
        <v>270</v>
      </c>
      <c r="J67" s="189">
        <v>0.121964261969884</v>
      </c>
      <c r="K67" s="189">
        <v>2.18534891305378E-2</v>
      </c>
      <c r="L67" s="206">
        <v>9</v>
      </c>
      <c r="M67" s="206">
        <v>0</v>
      </c>
      <c r="N67" s="4">
        <v>0</v>
      </c>
      <c r="O67" s="4">
        <v>44</v>
      </c>
      <c r="P67" s="4">
        <v>25</v>
      </c>
      <c r="Q67" s="4">
        <v>0</v>
      </c>
      <c r="R67" s="4">
        <v>0</v>
      </c>
      <c r="S67" s="4">
        <v>5779</v>
      </c>
      <c r="T67" s="4">
        <v>10075</v>
      </c>
      <c r="U67" s="4">
        <v>1230</v>
      </c>
      <c r="V67" s="4">
        <v>0</v>
      </c>
      <c r="W67" s="4">
        <v>0</v>
      </c>
      <c r="X67" s="4">
        <v>0.63768115942029002</v>
      </c>
      <c r="Y67" s="4">
        <v>110</v>
      </c>
      <c r="Z67" s="4">
        <v>0</v>
      </c>
      <c r="AA67" s="4">
        <v>61</v>
      </c>
      <c r="AB67" s="4">
        <v>0</v>
      </c>
      <c r="AC67" s="4">
        <v>0</v>
      </c>
      <c r="AD67" s="4">
        <v>0</v>
      </c>
      <c r="AE67" s="4">
        <v>4186</v>
      </c>
      <c r="AF67" s="4">
        <v>4063</v>
      </c>
      <c r="AG67" s="4">
        <v>2246</v>
      </c>
      <c r="AH67" s="4">
        <v>1250</v>
      </c>
      <c r="AI67" s="4">
        <v>0</v>
      </c>
      <c r="AJ67" s="4">
        <v>1</v>
      </c>
      <c r="AK67" s="4">
        <v>1</v>
      </c>
      <c r="AL67" s="4">
        <v>0</v>
      </c>
      <c r="AM67" s="4">
        <v>61</v>
      </c>
      <c r="AN67" s="4">
        <v>0</v>
      </c>
      <c r="AO67" s="4">
        <v>0</v>
      </c>
      <c r="AP67" s="4">
        <v>0</v>
      </c>
      <c r="AQ67" s="4">
        <v>0</v>
      </c>
      <c r="AR67" s="4">
        <v>1</v>
      </c>
      <c r="AS67" s="4">
        <v>1</v>
      </c>
      <c r="AT67" s="4">
        <v>0</v>
      </c>
      <c r="AU67" s="4">
        <v>4155</v>
      </c>
      <c r="AV67" s="4">
        <v>3194</v>
      </c>
      <c r="AW67" s="4">
        <v>1650</v>
      </c>
      <c r="AX67" s="4">
        <v>1496</v>
      </c>
      <c r="AY67" s="4">
        <v>1250</v>
      </c>
      <c r="AZ67" s="4">
        <v>0</v>
      </c>
      <c r="BA67" s="4">
        <v>0</v>
      </c>
      <c r="BB67" s="4">
        <v>44</v>
      </c>
      <c r="BC67" s="4">
        <v>0</v>
      </c>
      <c r="BD67" s="4">
        <v>25</v>
      </c>
      <c r="BE67" s="4">
        <v>0</v>
      </c>
      <c r="BF67" s="4">
        <v>0</v>
      </c>
      <c r="BG67" s="4">
        <v>68</v>
      </c>
      <c r="BH67" s="4">
        <v>3370</v>
      </c>
      <c r="BI67" s="4">
        <v>2877</v>
      </c>
      <c r="BJ67" s="4">
        <v>8564</v>
      </c>
      <c r="BK67" s="4">
        <v>1341</v>
      </c>
      <c r="BL67" s="4">
        <v>493</v>
      </c>
      <c r="BM67" s="4">
        <v>439</v>
      </c>
      <c r="BN67" s="4">
        <v>0</v>
      </c>
      <c r="BO67" s="4">
        <v>0</v>
      </c>
      <c r="BP67" s="4">
        <v>44</v>
      </c>
      <c r="BQ67" s="4">
        <v>0</v>
      </c>
      <c r="BR67" s="4">
        <v>25</v>
      </c>
      <c r="BS67" s="4">
        <v>0</v>
      </c>
      <c r="BT67" s="4">
        <v>0</v>
      </c>
      <c r="BU67" s="4">
        <v>69</v>
      </c>
      <c r="BV67" s="4">
        <v>3486</v>
      </c>
      <c r="BW67" s="4">
        <v>888</v>
      </c>
      <c r="BX67" s="4">
        <v>10257</v>
      </c>
      <c r="BY67" s="4">
        <v>898</v>
      </c>
      <c r="BZ67" s="4">
        <v>1116</v>
      </c>
      <c r="CA67" s="4">
        <v>439</v>
      </c>
      <c r="CB67">
        <v>17972.973309133067</v>
      </c>
      <c r="CC67" t="s">
        <v>687</v>
      </c>
      <c r="CD67" t="s">
        <v>687</v>
      </c>
      <c r="CE67" t="s">
        <v>687</v>
      </c>
      <c r="CF67" t="s">
        <v>687</v>
      </c>
      <c r="CG67" t="s">
        <v>687</v>
      </c>
      <c r="CH67">
        <v>2</v>
      </c>
      <c r="CI67">
        <v>0</v>
      </c>
      <c r="CJ67">
        <v>0</v>
      </c>
      <c r="CK67">
        <v>0</v>
      </c>
      <c r="CL67">
        <v>0</v>
      </c>
      <c r="CM67">
        <v>0</v>
      </c>
      <c r="CN67">
        <v>5535675.7792129843</v>
      </c>
      <c r="CO67">
        <v>308</v>
      </c>
      <c r="CP67">
        <v>0</v>
      </c>
      <c r="CQ67">
        <v>0</v>
      </c>
      <c r="CR67">
        <v>0</v>
      </c>
      <c r="CS67">
        <v>0</v>
      </c>
      <c r="CT67">
        <v>0</v>
      </c>
      <c r="CU67">
        <v>0</v>
      </c>
      <c r="CV67">
        <v>0</v>
      </c>
      <c r="CW67">
        <v>0</v>
      </c>
      <c r="CX67">
        <v>0</v>
      </c>
      <c r="CY67">
        <v>0</v>
      </c>
      <c r="CZ67" s="246">
        <v>0.11473349597102092</v>
      </c>
      <c r="DA67" s="246">
        <v>9.8019090629169664E-2</v>
      </c>
      <c r="DB67" s="123">
        <v>20289947.439999998</v>
      </c>
      <c r="DC67" s="174">
        <v>92</v>
      </c>
      <c r="DD67" s="174">
        <v>4.5999999999999996</v>
      </c>
      <c r="DE67" s="174">
        <v>1.5</v>
      </c>
      <c r="DF67" s="174">
        <v>87.4</v>
      </c>
      <c r="DG67" s="174">
        <v>9.5</v>
      </c>
      <c r="DH67" s="174">
        <v>1.2</v>
      </c>
      <c r="DI67" s="174">
        <v>98.1</v>
      </c>
      <c r="DJ67" s="174">
        <v>98</v>
      </c>
    </row>
    <row r="68" spans="1:114" x14ac:dyDescent="0.45">
      <c r="A68">
        <v>391</v>
      </c>
      <c r="B68" s="247">
        <v>1.6681178681087001E-2</v>
      </c>
      <c r="C68" s="169">
        <v>4.9951881215343002E-3</v>
      </c>
      <c r="D68" s="169">
        <v>4.0435458786936197E-2</v>
      </c>
      <c r="E68" s="169">
        <v>7.8538102643856897E-3</v>
      </c>
      <c r="F68" s="206">
        <v>1805</v>
      </c>
      <c r="G68" s="206">
        <v>414</v>
      </c>
      <c r="H68" s="206">
        <v>90</v>
      </c>
      <c r="I68" s="206">
        <v>380</v>
      </c>
      <c r="J68" s="189">
        <v>6.3653106596034598E-2</v>
      </c>
      <c r="K68" s="189">
        <v>6.25605446130615E-2</v>
      </c>
      <c r="L68" s="206">
        <v>194</v>
      </c>
      <c r="M68" s="206">
        <v>109</v>
      </c>
      <c r="N68" s="4">
        <v>60</v>
      </c>
      <c r="O68" s="4">
        <v>0</v>
      </c>
      <c r="P68" s="4">
        <v>0</v>
      </c>
      <c r="Q68" s="4">
        <v>0</v>
      </c>
      <c r="R68" s="4">
        <v>0</v>
      </c>
      <c r="S68" s="4">
        <v>5460</v>
      </c>
      <c r="T68" s="4">
        <v>14893</v>
      </c>
      <c r="U68" s="4">
        <v>1575</v>
      </c>
      <c r="V68" s="4">
        <v>420</v>
      </c>
      <c r="W68" s="4">
        <v>0</v>
      </c>
      <c r="X68" s="4">
        <v>1</v>
      </c>
      <c r="Y68" s="4">
        <v>1</v>
      </c>
      <c r="Z68" s="4">
        <v>30</v>
      </c>
      <c r="AA68" s="4">
        <v>456</v>
      </c>
      <c r="AB68" s="4">
        <v>0</v>
      </c>
      <c r="AC68" s="4">
        <v>0</v>
      </c>
      <c r="AD68" s="4">
        <v>600</v>
      </c>
      <c r="AE68" s="4">
        <v>5958</v>
      </c>
      <c r="AF68" s="4">
        <v>3125</v>
      </c>
      <c r="AG68" s="4">
        <v>3644</v>
      </c>
      <c r="AH68" s="4">
        <v>3813</v>
      </c>
      <c r="AI68" s="4">
        <v>0</v>
      </c>
      <c r="AJ68" s="4">
        <v>1</v>
      </c>
      <c r="AK68" s="4">
        <v>1</v>
      </c>
      <c r="AL68" s="4">
        <v>0</v>
      </c>
      <c r="AM68" s="4">
        <v>0</v>
      </c>
      <c r="AN68" s="4">
        <v>240</v>
      </c>
      <c r="AO68" s="4">
        <v>0</v>
      </c>
      <c r="AP68" s="4">
        <v>216</v>
      </c>
      <c r="AQ68" s="4">
        <v>630</v>
      </c>
      <c r="AR68" s="4">
        <v>0</v>
      </c>
      <c r="AS68" s="4">
        <v>74</v>
      </c>
      <c r="AT68" s="4">
        <v>0</v>
      </c>
      <c r="AU68" s="4">
        <v>2775</v>
      </c>
      <c r="AV68" s="4">
        <v>3418</v>
      </c>
      <c r="AW68" s="4">
        <v>1254</v>
      </c>
      <c r="AX68" s="4">
        <v>6598</v>
      </c>
      <c r="AY68" s="4">
        <v>2495</v>
      </c>
      <c r="AZ68" s="4">
        <v>0</v>
      </c>
      <c r="BA68" s="4">
        <v>0</v>
      </c>
      <c r="BB68" s="4">
        <v>0</v>
      </c>
      <c r="BC68" s="4">
        <v>0</v>
      </c>
      <c r="BD68" s="4">
        <v>0</v>
      </c>
      <c r="BE68" s="4">
        <v>60</v>
      </c>
      <c r="BF68" s="4" t="s">
        <v>709</v>
      </c>
      <c r="BG68" s="4" t="s">
        <v>709</v>
      </c>
      <c r="BH68" s="4">
        <v>4897</v>
      </c>
      <c r="BI68" s="4">
        <v>5940</v>
      </c>
      <c r="BJ68" s="4">
        <v>7304</v>
      </c>
      <c r="BK68" s="4">
        <v>210</v>
      </c>
      <c r="BL68" s="4">
        <v>420</v>
      </c>
      <c r="BM68" s="4">
        <v>3577</v>
      </c>
      <c r="BN68" s="4">
        <v>0</v>
      </c>
      <c r="BO68" s="4">
        <v>0</v>
      </c>
      <c r="BP68" s="4">
        <v>0</v>
      </c>
      <c r="BQ68" s="4">
        <v>0</v>
      </c>
      <c r="BR68" s="4">
        <v>0</v>
      </c>
      <c r="BS68" s="4">
        <v>60</v>
      </c>
      <c r="BT68" s="4" t="s">
        <v>709</v>
      </c>
      <c r="BU68" s="4" t="s">
        <v>709</v>
      </c>
      <c r="BV68" s="4">
        <v>4319</v>
      </c>
      <c r="BW68" s="4">
        <v>2310</v>
      </c>
      <c r="BX68" s="4">
        <v>11309</v>
      </c>
      <c r="BY68" s="4">
        <v>413</v>
      </c>
      <c r="BZ68" s="4">
        <v>420</v>
      </c>
      <c r="CA68" s="4">
        <v>3577</v>
      </c>
      <c r="CB68">
        <v>17652.890373779035</v>
      </c>
      <c r="CC68" t="s">
        <v>687</v>
      </c>
      <c r="CD68" t="s">
        <v>687</v>
      </c>
      <c r="CE68" t="s">
        <v>687</v>
      </c>
      <c r="CF68" t="s">
        <v>687</v>
      </c>
      <c r="CG68" t="s">
        <v>687</v>
      </c>
      <c r="CH68">
        <v>7</v>
      </c>
      <c r="CI68">
        <v>0</v>
      </c>
      <c r="CJ68">
        <v>0</v>
      </c>
      <c r="CK68">
        <v>0</v>
      </c>
      <c r="CL68">
        <v>0</v>
      </c>
      <c r="CM68">
        <v>0</v>
      </c>
      <c r="CN68">
        <v>9267767.4462339934</v>
      </c>
      <c r="CO68">
        <v>525</v>
      </c>
      <c r="CP68">
        <v>0</v>
      </c>
      <c r="CQ68">
        <v>0</v>
      </c>
      <c r="CR68">
        <v>0</v>
      </c>
      <c r="CS68">
        <v>0</v>
      </c>
      <c r="CT68">
        <v>0</v>
      </c>
      <c r="CU68">
        <v>0</v>
      </c>
      <c r="CV68">
        <v>0</v>
      </c>
      <c r="CW68">
        <v>0</v>
      </c>
      <c r="CX68">
        <v>0</v>
      </c>
      <c r="CY68">
        <v>0</v>
      </c>
      <c r="CZ68" s="246">
        <v>0.23173636111880366</v>
      </c>
      <c r="DA68" s="246">
        <v>0.25396687765542358</v>
      </c>
      <c r="DB68" s="123">
        <v>41581221.81000001</v>
      </c>
      <c r="DC68" s="174">
        <v>89.2</v>
      </c>
      <c r="DD68" s="174">
        <v>6.4</v>
      </c>
      <c r="DE68" s="174">
        <v>1.8</v>
      </c>
      <c r="DF68" s="174">
        <v>75.3</v>
      </c>
      <c r="DG68" s="174">
        <v>11.6</v>
      </c>
      <c r="DH68" s="174">
        <v>3.5</v>
      </c>
      <c r="DI68" s="174">
        <v>97.4</v>
      </c>
      <c r="DJ68" s="174">
        <v>90.4</v>
      </c>
    </row>
    <row r="69" spans="1:114" x14ac:dyDescent="0.45">
      <c r="A69">
        <v>392</v>
      </c>
      <c r="B69" s="247">
        <v>-2.73622765414082E-3</v>
      </c>
      <c r="C69" s="169">
        <v>-4.1955490696825998E-3</v>
      </c>
      <c r="D69" s="169">
        <v>4.7508241225518704E-3</v>
      </c>
      <c r="E69" s="169">
        <v>6.68993600930774E-3</v>
      </c>
      <c r="F69" s="206">
        <v>24</v>
      </c>
      <c r="G69" s="206">
        <v>1333</v>
      </c>
      <c r="H69" s="206">
        <v>0</v>
      </c>
      <c r="I69" s="206">
        <v>10</v>
      </c>
      <c r="J69" s="189">
        <v>0.102115231411172</v>
      </c>
      <c r="K69" s="189">
        <v>0.115195678539061</v>
      </c>
      <c r="L69" s="206">
        <v>75</v>
      </c>
      <c r="M69" s="206">
        <v>0</v>
      </c>
      <c r="N69" s="4">
        <v>0</v>
      </c>
      <c r="O69" s="4">
        <v>132</v>
      </c>
      <c r="P69" s="4">
        <v>135</v>
      </c>
      <c r="Q69" s="4">
        <v>0</v>
      </c>
      <c r="R69" s="4">
        <v>0</v>
      </c>
      <c r="S69" s="4">
        <v>5678</v>
      </c>
      <c r="T69" s="4">
        <v>11315</v>
      </c>
      <c r="U69" s="4">
        <v>790</v>
      </c>
      <c r="V69" s="4">
        <v>0</v>
      </c>
      <c r="W69" s="4">
        <v>0</v>
      </c>
      <c r="X69" s="4">
        <v>0.49438202247190999</v>
      </c>
      <c r="Y69" s="4">
        <v>114</v>
      </c>
      <c r="Z69" s="4">
        <v>0</v>
      </c>
      <c r="AA69" s="4">
        <v>0</v>
      </c>
      <c r="AB69" s="4">
        <v>0</v>
      </c>
      <c r="AC69" s="4">
        <v>0</v>
      </c>
      <c r="AD69" s="4">
        <v>0</v>
      </c>
      <c r="AE69" s="4">
        <v>2006</v>
      </c>
      <c r="AF69" s="4">
        <v>6662</v>
      </c>
      <c r="AG69" s="4">
        <v>4012</v>
      </c>
      <c r="AH69" s="4">
        <v>450</v>
      </c>
      <c r="AI69" s="4">
        <v>0</v>
      </c>
      <c r="AJ69" s="4" t="s">
        <v>709</v>
      </c>
      <c r="AK69" s="4" t="s">
        <v>709</v>
      </c>
      <c r="AL69" s="4">
        <v>0</v>
      </c>
      <c r="AM69" s="4">
        <v>0</v>
      </c>
      <c r="AN69" s="4">
        <v>0</v>
      </c>
      <c r="AO69" s="4">
        <v>0</v>
      </c>
      <c r="AP69" s="4">
        <v>0</v>
      </c>
      <c r="AQ69" s="4">
        <v>0</v>
      </c>
      <c r="AR69" s="4" t="s">
        <v>709</v>
      </c>
      <c r="AS69" s="4" t="s">
        <v>709</v>
      </c>
      <c r="AT69" s="4">
        <v>0</v>
      </c>
      <c r="AU69" s="4">
        <v>825</v>
      </c>
      <c r="AV69" s="4">
        <v>3715</v>
      </c>
      <c r="AW69" s="4">
        <v>2660</v>
      </c>
      <c r="AX69" s="4">
        <v>2357</v>
      </c>
      <c r="AY69" s="4">
        <v>3573</v>
      </c>
      <c r="AZ69" s="4">
        <v>0</v>
      </c>
      <c r="BA69" s="4">
        <v>0</v>
      </c>
      <c r="BB69" s="4">
        <v>267</v>
      </c>
      <c r="BC69" s="4">
        <v>0</v>
      </c>
      <c r="BD69" s="4">
        <v>0</v>
      </c>
      <c r="BE69" s="4">
        <v>0</v>
      </c>
      <c r="BF69" s="4">
        <v>0</v>
      </c>
      <c r="BG69" s="4">
        <v>68</v>
      </c>
      <c r="BH69" s="4">
        <v>2240</v>
      </c>
      <c r="BI69" s="4">
        <v>1875</v>
      </c>
      <c r="BJ69" s="4">
        <v>8870</v>
      </c>
      <c r="BK69" s="4">
        <v>973</v>
      </c>
      <c r="BL69" s="4">
        <v>630</v>
      </c>
      <c r="BM69" s="4">
        <v>3195</v>
      </c>
      <c r="BN69" s="4">
        <v>0</v>
      </c>
      <c r="BO69" s="4">
        <v>103</v>
      </c>
      <c r="BP69" s="4">
        <v>164</v>
      </c>
      <c r="BQ69" s="4">
        <v>0</v>
      </c>
      <c r="BR69" s="4">
        <v>0</v>
      </c>
      <c r="BS69" s="4">
        <v>0</v>
      </c>
      <c r="BT69" s="4">
        <v>0.38576779026217201</v>
      </c>
      <c r="BU69" s="4">
        <v>29</v>
      </c>
      <c r="BV69" s="4">
        <v>2355</v>
      </c>
      <c r="BW69" s="4">
        <v>945</v>
      </c>
      <c r="BX69" s="4">
        <v>8798</v>
      </c>
      <c r="BY69" s="4">
        <v>420</v>
      </c>
      <c r="BZ69" s="4">
        <v>2070</v>
      </c>
      <c r="CA69" s="4">
        <v>3195</v>
      </c>
      <c r="CB69" t="s">
        <v>687</v>
      </c>
      <c r="CC69" t="s">
        <v>687</v>
      </c>
      <c r="CD69" t="s">
        <v>687</v>
      </c>
      <c r="CE69" t="s">
        <v>687</v>
      </c>
      <c r="CF69" t="s">
        <v>687</v>
      </c>
      <c r="CG69" t="s">
        <v>687</v>
      </c>
      <c r="CH69">
        <v>0</v>
      </c>
      <c r="CI69">
        <v>0</v>
      </c>
      <c r="CJ69">
        <v>0</v>
      </c>
      <c r="CK69">
        <v>0</v>
      </c>
      <c r="CL69">
        <v>0</v>
      </c>
      <c r="CM69">
        <v>0</v>
      </c>
      <c r="CN69">
        <v>0</v>
      </c>
      <c r="CO69">
        <v>0</v>
      </c>
      <c r="CP69">
        <v>0</v>
      </c>
      <c r="CQ69">
        <v>0</v>
      </c>
      <c r="CR69">
        <v>0</v>
      </c>
      <c r="CS69">
        <v>0</v>
      </c>
      <c r="CT69">
        <v>0</v>
      </c>
      <c r="CU69">
        <v>0</v>
      </c>
      <c r="CV69">
        <v>0</v>
      </c>
      <c r="CW69">
        <v>0</v>
      </c>
      <c r="CX69">
        <v>0</v>
      </c>
      <c r="CY69">
        <v>0</v>
      </c>
      <c r="CZ69" s="246">
        <v>0.12940605051346102</v>
      </c>
      <c r="DA69" s="246">
        <v>5.0203271248936372E-2</v>
      </c>
      <c r="DB69" s="123">
        <v>10503944.650000002</v>
      </c>
      <c r="DC69" s="174">
        <v>91.9</v>
      </c>
      <c r="DD69" s="174">
        <v>4.3</v>
      </c>
      <c r="DE69" s="174">
        <v>0.8</v>
      </c>
      <c r="DF69" s="174">
        <v>84</v>
      </c>
      <c r="DG69" s="174">
        <v>6.9</v>
      </c>
      <c r="DH69" s="174">
        <v>1.6</v>
      </c>
      <c r="DI69" s="174">
        <v>97</v>
      </c>
      <c r="DJ69" s="174">
        <v>92.5</v>
      </c>
    </row>
    <row r="70" spans="1:114" x14ac:dyDescent="0.45">
      <c r="A70">
        <v>393</v>
      </c>
      <c r="B70" s="247">
        <v>5.9880239520958096E-3</v>
      </c>
      <c r="C70" s="169">
        <v>8.8964927288280593E-3</v>
      </c>
      <c r="D70" s="169">
        <v>4.4052863436123399E-2</v>
      </c>
      <c r="E70" s="169">
        <v>1.6455040165846101E-2</v>
      </c>
      <c r="F70" s="206">
        <v>0</v>
      </c>
      <c r="G70" s="206">
        <v>0</v>
      </c>
      <c r="H70" s="206">
        <v>80</v>
      </c>
      <c r="I70" s="206">
        <v>0</v>
      </c>
      <c r="J70" s="189">
        <v>7.5606777473690503E-2</v>
      </c>
      <c r="K70" s="189">
        <v>0.101963101688888</v>
      </c>
      <c r="L70" s="206">
        <v>210</v>
      </c>
      <c r="M70" s="206">
        <v>0</v>
      </c>
      <c r="N70" s="4">
        <v>0</v>
      </c>
      <c r="O70" s="4">
        <v>49</v>
      </c>
      <c r="P70" s="4">
        <v>37</v>
      </c>
      <c r="Q70" s="4">
        <v>0</v>
      </c>
      <c r="R70" s="4">
        <v>0</v>
      </c>
      <c r="S70" s="4">
        <v>3180</v>
      </c>
      <c r="T70" s="4">
        <v>7729</v>
      </c>
      <c r="U70" s="4">
        <v>1493</v>
      </c>
      <c r="V70" s="4">
        <v>0</v>
      </c>
      <c r="W70" s="4">
        <v>0</v>
      </c>
      <c r="X70" s="4">
        <v>0.56976744186046502</v>
      </c>
      <c r="Y70" s="4">
        <v>112</v>
      </c>
      <c r="Z70" s="4">
        <v>0</v>
      </c>
      <c r="AA70" s="4">
        <v>0</v>
      </c>
      <c r="AB70" s="4">
        <v>0</v>
      </c>
      <c r="AC70" s="4">
        <v>0</v>
      </c>
      <c r="AD70" s="4">
        <v>0</v>
      </c>
      <c r="AE70" s="4">
        <v>3978</v>
      </c>
      <c r="AF70" s="4">
        <v>1820</v>
      </c>
      <c r="AG70" s="4">
        <v>4442</v>
      </c>
      <c r="AH70" s="4">
        <v>0</v>
      </c>
      <c r="AI70" s="4">
        <v>0</v>
      </c>
      <c r="AJ70" s="4" t="s">
        <v>709</v>
      </c>
      <c r="AK70" s="4" t="s">
        <v>709</v>
      </c>
      <c r="AL70" s="4">
        <v>0</v>
      </c>
      <c r="AM70" s="4">
        <v>0</v>
      </c>
      <c r="AN70" s="4">
        <v>0</v>
      </c>
      <c r="AO70" s="4">
        <v>0</v>
      </c>
      <c r="AP70" s="4">
        <v>0</v>
      </c>
      <c r="AQ70" s="4">
        <v>0</v>
      </c>
      <c r="AR70" s="4" t="s">
        <v>709</v>
      </c>
      <c r="AS70" s="4" t="s">
        <v>709</v>
      </c>
      <c r="AT70" s="4">
        <v>0</v>
      </c>
      <c r="AU70" s="4">
        <v>1100</v>
      </c>
      <c r="AV70" s="4">
        <v>6235</v>
      </c>
      <c r="AW70" s="4">
        <v>1905</v>
      </c>
      <c r="AX70" s="4">
        <v>1000</v>
      </c>
      <c r="AY70" s="4">
        <v>0</v>
      </c>
      <c r="AZ70" s="4">
        <v>0</v>
      </c>
      <c r="BA70" s="4">
        <v>0</v>
      </c>
      <c r="BB70" s="4">
        <v>49</v>
      </c>
      <c r="BC70" s="4">
        <v>0</v>
      </c>
      <c r="BD70" s="4">
        <v>37</v>
      </c>
      <c r="BE70" s="4">
        <v>0</v>
      </c>
      <c r="BF70" s="4">
        <v>0</v>
      </c>
      <c r="BG70" s="4">
        <v>68</v>
      </c>
      <c r="BH70" s="4">
        <v>870</v>
      </c>
      <c r="BI70" s="4">
        <v>2048</v>
      </c>
      <c r="BJ70" s="4">
        <v>5519</v>
      </c>
      <c r="BK70" s="4">
        <v>1794</v>
      </c>
      <c r="BL70" s="4">
        <v>1253</v>
      </c>
      <c r="BM70" s="4">
        <v>918</v>
      </c>
      <c r="BN70" s="4">
        <v>0</v>
      </c>
      <c r="BO70" s="4">
        <v>0</v>
      </c>
      <c r="BP70" s="4">
        <v>22</v>
      </c>
      <c r="BQ70" s="4">
        <v>64</v>
      </c>
      <c r="BR70" s="4">
        <v>0</v>
      </c>
      <c r="BS70" s="4">
        <v>0</v>
      </c>
      <c r="BT70" s="4">
        <v>0</v>
      </c>
      <c r="BU70" s="4">
        <v>69</v>
      </c>
      <c r="BV70" s="4">
        <v>1080</v>
      </c>
      <c r="BW70" s="4">
        <v>1331</v>
      </c>
      <c r="BX70" s="4">
        <v>6977</v>
      </c>
      <c r="BY70" s="4">
        <v>1016</v>
      </c>
      <c r="BZ70" s="4">
        <v>1080</v>
      </c>
      <c r="CA70" s="4">
        <v>918</v>
      </c>
      <c r="CB70" t="s">
        <v>687</v>
      </c>
      <c r="CC70" t="s">
        <v>687</v>
      </c>
      <c r="CD70" t="s">
        <v>687</v>
      </c>
      <c r="CE70" t="s">
        <v>687</v>
      </c>
      <c r="CF70" t="s">
        <v>687</v>
      </c>
      <c r="CG70" t="s">
        <v>687</v>
      </c>
      <c r="CH70">
        <v>0</v>
      </c>
      <c r="CI70">
        <v>0</v>
      </c>
      <c r="CJ70">
        <v>0</v>
      </c>
      <c r="CK70">
        <v>0</v>
      </c>
      <c r="CL70">
        <v>0</v>
      </c>
      <c r="CM70">
        <v>0</v>
      </c>
      <c r="CN70">
        <v>0</v>
      </c>
      <c r="CO70">
        <v>0</v>
      </c>
      <c r="CP70">
        <v>0</v>
      </c>
      <c r="CQ70">
        <v>0</v>
      </c>
      <c r="CR70">
        <v>0</v>
      </c>
      <c r="CS70">
        <v>0</v>
      </c>
      <c r="CT70">
        <v>0</v>
      </c>
      <c r="CU70">
        <v>0</v>
      </c>
      <c r="CV70">
        <v>0</v>
      </c>
      <c r="CW70">
        <v>0</v>
      </c>
      <c r="CX70">
        <v>0</v>
      </c>
      <c r="CY70">
        <v>0</v>
      </c>
      <c r="CZ70" s="246">
        <v>0.12701439877944121</v>
      </c>
      <c r="DA70" s="246">
        <v>-1.0637054354178842E-2</v>
      </c>
      <c r="DB70" s="123">
        <v>7189364.3799999999</v>
      </c>
      <c r="DC70" s="174">
        <v>92.9</v>
      </c>
      <c r="DD70" s="174">
        <v>4.0999999999999996</v>
      </c>
      <c r="DE70" s="174">
        <v>0.8</v>
      </c>
      <c r="DF70" s="174">
        <v>89</v>
      </c>
      <c r="DG70" s="174">
        <v>6.5</v>
      </c>
      <c r="DH70" s="174">
        <v>0.9</v>
      </c>
      <c r="DI70" s="174">
        <v>97.8</v>
      </c>
      <c r="DJ70" s="174">
        <v>96.4</v>
      </c>
    </row>
    <row r="71" spans="1:114" x14ac:dyDescent="0.45">
      <c r="A71">
        <v>394</v>
      </c>
      <c r="B71" s="247">
        <v>1.3982464236271299E-2</v>
      </c>
      <c r="C71" s="169">
        <v>3.4148592524227001E-3</v>
      </c>
      <c r="D71" s="169">
        <v>1.62276080084299E-2</v>
      </c>
      <c r="E71" s="169">
        <v>1.1169652265542699E-2</v>
      </c>
      <c r="F71" s="206">
        <v>148</v>
      </c>
      <c r="G71" s="206">
        <v>0</v>
      </c>
      <c r="H71" s="206">
        <v>20</v>
      </c>
      <c r="I71" s="206">
        <v>10</v>
      </c>
      <c r="J71" s="189">
        <v>0.129003083247688</v>
      </c>
      <c r="K71" s="189">
        <v>0.107679934781599</v>
      </c>
      <c r="L71" s="206">
        <v>260</v>
      </c>
      <c r="M71" s="206">
        <v>300</v>
      </c>
      <c r="N71" s="4">
        <v>15</v>
      </c>
      <c r="O71" s="4">
        <v>30</v>
      </c>
      <c r="P71" s="4">
        <v>0</v>
      </c>
      <c r="Q71" s="4">
        <v>0</v>
      </c>
      <c r="R71" s="4">
        <v>0</v>
      </c>
      <c r="S71" s="4">
        <v>2748</v>
      </c>
      <c r="T71" s="4">
        <v>18540</v>
      </c>
      <c r="U71" s="4">
        <v>1892</v>
      </c>
      <c r="V71" s="4">
        <v>0</v>
      </c>
      <c r="W71" s="4">
        <v>0</v>
      </c>
      <c r="X71" s="4">
        <v>1</v>
      </c>
      <c r="Y71" s="4">
        <v>1</v>
      </c>
      <c r="Z71" s="4">
        <v>0</v>
      </c>
      <c r="AA71" s="4">
        <v>60</v>
      </c>
      <c r="AB71" s="4">
        <v>30</v>
      </c>
      <c r="AC71" s="4">
        <v>0</v>
      </c>
      <c r="AD71" s="4">
        <v>0</v>
      </c>
      <c r="AE71" s="4">
        <v>1290</v>
      </c>
      <c r="AF71" s="4">
        <v>6751</v>
      </c>
      <c r="AG71" s="4">
        <v>5200</v>
      </c>
      <c r="AH71" s="4">
        <v>2750</v>
      </c>
      <c r="AI71" s="4">
        <v>0</v>
      </c>
      <c r="AJ71" s="4">
        <v>0.66666666666666696</v>
      </c>
      <c r="AK71" s="4">
        <v>100</v>
      </c>
      <c r="AL71" s="4">
        <v>30</v>
      </c>
      <c r="AM71" s="4">
        <v>0</v>
      </c>
      <c r="AN71" s="4">
        <v>0</v>
      </c>
      <c r="AO71" s="4">
        <v>60</v>
      </c>
      <c r="AP71" s="4">
        <v>0</v>
      </c>
      <c r="AQ71" s="4">
        <v>0</v>
      </c>
      <c r="AR71" s="4">
        <v>0.33333333333333298</v>
      </c>
      <c r="AS71" s="4">
        <v>59</v>
      </c>
      <c r="AT71" s="4">
        <v>300</v>
      </c>
      <c r="AU71" s="4">
        <v>0</v>
      </c>
      <c r="AV71" s="4">
        <v>3892</v>
      </c>
      <c r="AW71" s="4">
        <v>5985</v>
      </c>
      <c r="AX71" s="4">
        <v>5814</v>
      </c>
      <c r="AY71" s="4">
        <v>0</v>
      </c>
      <c r="AZ71" s="4">
        <v>15</v>
      </c>
      <c r="BA71" s="4">
        <v>30</v>
      </c>
      <c r="BB71" s="4">
        <v>0</v>
      </c>
      <c r="BC71" s="4">
        <v>0</v>
      </c>
      <c r="BD71" s="4">
        <v>0</v>
      </c>
      <c r="BE71" s="4">
        <v>0</v>
      </c>
      <c r="BF71" s="4">
        <v>1</v>
      </c>
      <c r="BG71" s="4">
        <v>1</v>
      </c>
      <c r="BH71" s="4">
        <v>3115</v>
      </c>
      <c r="BI71" s="4">
        <v>2865</v>
      </c>
      <c r="BJ71" s="4">
        <v>13420</v>
      </c>
      <c r="BK71" s="4">
        <v>660</v>
      </c>
      <c r="BL71" s="4">
        <v>1370</v>
      </c>
      <c r="BM71" s="4">
        <v>1750</v>
      </c>
      <c r="BN71" s="4">
        <v>15</v>
      </c>
      <c r="BO71" s="4">
        <v>30</v>
      </c>
      <c r="BP71" s="4">
        <v>0</v>
      </c>
      <c r="BQ71" s="4">
        <v>0</v>
      </c>
      <c r="BR71" s="4">
        <v>0</v>
      </c>
      <c r="BS71" s="4">
        <v>0</v>
      </c>
      <c r="BT71" s="4">
        <v>1</v>
      </c>
      <c r="BU71" s="4">
        <v>1</v>
      </c>
      <c r="BV71" s="4">
        <v>1805</v>
      </c>
      <c r="BW71" s="4">
        <v>3650</v>
      </c>
      <c r="BX71" s="4">
        <v>12155</v>
      </c>
      <c r="BY71" s="4">
        <v>1970</v>
      </c>
      <c r="BZ71" s="4">
        <v>1850</v>
      </c>
      <c r="CA71" s="4">
        <v>1750</v>
      </c>
      <c r="CB71" t="s">
        <v>687</v>
      </c>
      <c r="CC71" t="s">
        <v>687</v>
      </c>
      <c r="CD71">
        <v>8674.6831960381624</v>
      </c>
      <c r="CE71" t="s">
        <v>687</v>
      </c>
      <c r="CF71" t="s">
        <v>687</v>
      </c>
      <c r="CG71" t="s">
        <v>687</v>
      </c>
      <c r="CH71">
        <v>0</v>
      </c>
      <c r="CI71">
        <v>0</v>
      </c>
      <c r="CJ71">
        <v>1</v>
      </c>
      <c r="CK71">
        <v>0</v>
      </c>
      <c r="CL71">
        <v>0</v>
      </c>
      <c r="CM71">
        <v>0</v>
      </c>
      <c r="CN71">
        <v>0</v>
      </c>
      <c r="CO71">
        <v>0</v>
      </c>
      <c r="CP71">
        <v>0</v>
      </c>
      <c r="CQ71">
        <v>0</v>
      </c>
      <c r="CR71">
        <v>910841.73558400699</v>
      </c>
      <c r="CS71">
        <v>105</v>
      </c>
      <c r="CT71">
        <v>0</v>
      </c>
      <c r="CU71">
        <v>0</v>
      </c>
      <c r="CV71">
        <v>0</v>
      </c>
      <c r="CW71">
        <v>0</v>
      </c>
      <c r="CX71">
        <v>0</v>
      </c>
      <c r="CY71">
        <v>0</v>
      </c>
      <c r="CZ71" s="246">
        <v>6.8534569643217094E-2</v>
      </c>
      <c r="DA71" s="246">
        <v>9.2389758179231868E-2</v>
      </c>
      <c r="DB71" s="123">
        <v>12238823.73</v>
      </c>
      <c r="DC71" s="174">
        <v>94.6</v>
      </c>
      <c r="DD71" s="174">
        <v>3.6</v>
      </c>
      <c r="DE71" s="174">
        <v>0.5</v>
      </c>
      <c r="DF71" s="174">
        <v>87.9</v>
      </c>
      <c r="DG71" s="174">
        <v>6.6</v>
      </c>
      <c r="DH71" s="174">
        <v>1.6</v>
      </c>
      <c r="DI71" s="174">
        <v>98.8</v>
      </c>
      <c r="DJ71" s="174">
        <v>96.1</v>
      </c>
    </row>
    <row r="72" spans="1:114" x14ac:dyDescent="0.45">
      <c r="A72">
        <v>420</v>
      </c>
      <c r="B72" s="247" t="s">
        <v>154</v>
      </c>
      <c r="C72" s="169" t="s">
        <v>154</v>
      </c>
      <c r="D72" s="169" t="s">
        <v>154</v>
      </c>
      <c r="E72" s="169" t="s">
        <v>154</v>
      </c>
      <c r="F72" s="206">
        <v>0</v>
      </c>
      <c r="G72" s="206">
        <v>285</v>
      </c>
      <c r="H72" s="206">
        <v>10</v>
      </c>
      <c r="I72" s="206">
        <v>10</v>
      </c>
      <c r="J72" s="189">
        <v>0.16006883012255499</v>
      </c>
      <c r="K72" s="189">
        <v>0.17107239639556601</v>
      </c>
      <c r="L72" s="206">
        <v>0</v>
      </c>
      <c r="M72" s="206">
        <v>0</v>
      </c>
      <c r="N72" s="4" t="s">
        <v>710</v>
      </c>
      <c r="O72" s="4" t="s">
        <v>710</v>
      </c>
      <c r="P72" s="4" t="s">
        <v>710</v>
      </c>
      <c r="Q72" s="4" t="s">
        <v>710</v>
      </c>
      <c r="R72" s="4" t="s">
        <v>710</v>
      </c>
      <c r="S72" s="4" t="s">
        <v>710</v>
      </c>
      <c r="T72" s="4" t="s">
        <v>710</v>
      </c>
      <c r="U72" s="4" t="s">
        <v>710</v>
      </c>
      <c r="V72" s="4" t="s">
        <v>710</v>
      </c>
      <c r="W72" s="4" t="s">
        <v>710</v>
      </c>
      <c r="X72" s="4" t="s">
        <v>710</v>
      </c>
      <c r="Y72" s="4" t="s">
        <v>710</v>
      </c>
      <c r="Z72" s="4" t="s">
        <v>710</v>
      </c>
      <c r="AA72" s="4" t="s">
        <v>710</v>
      </c>
      <c r="AB72" s="4" t="s">
        <v>710</v>
      </c>
      <c r="AC72" s="4" t="s">
        <v>710</v>
      </c>
      <c r="AD72" s="4" t="s">
        <v>710</v>
      </c>
      <c r="AE72" s="4" t="s">
        <v>710</v>
      </c>
      <c r="AF72" s="4" t="s">
        <v>710</v>
      </c>
      <c r="AG72" s="4" t="s">
        <v>710</v>
      </c>
      <c r="AH72" s="4" t="s">
        <v>710</v>
      </c>
      <c r="AI72" s="4" t="s">
        <v>710</v>
      </c>
      <c r="AJ72" s="4" t="s">
        <v>710</v>
      </c>
      <c r="AK72" s="4" t="s">
        <v>710</v>
      </c>
      <c r="AL72" s="4" t="s">
        <v>710</v>
      </c>
      <c r="AM72" s="4" t="s">
        <v>710</v>
      </c>
      <c r="AN72" s="4" t="s">
        <v>710</v>
      </c>
      <c r="AO72" s="4" t="s">
        <v>710</v>
      </c>
      <c r="AP72" s="4" t="s">
        <v>710</v>
      </c>
      <c r="AQ72" s="4" t="s">
        <v>710</v>
      </c>
      <c r="AR72" s="4" t="s">
        <v>710</v>
      </c>
      <c r="AS72" s="4" t="s">
        <v>710</v>
      </c>
      <c r="AT72" s="4" t="s">
        <v>710</v>
      </c>
      <c r="AU72" s="4" t="s">
        <v>710</v>
      </c>
      <c r="AV72" s="4" t="s">
        <v>710</v>
      </c>
      <c r="AW72" s="4" t="s">
        <v>710</v>
      </c>
      <c r="AX72" s="4" t="s">
        <v>710</v>
      </c>
      <c r="AY72" s="4" t="s">
        <v>710</v>
      </c>
      <c r="AZ72" s="4" t="s">
        <v>710</v>
      </c>
      <c r="BA72" s="4" t="s">
        <v>710</v>
      </c>
      <c r="BB72" s="4" t="s">
        <v>710</v>
      </c>
      <c r="BC72" s="4" t="s">
        <v>710</v>
      </c>
      <c r="BD72" s="4" t="s">
        <v>710</v>
      </c>
      <c r="BE72" s="4" t="s">
        <v>710</v>
      </c>
      <c r="BF72" s="4" t="s">
        <v>710</v>
      </c>
      <c r="BG72" s="4" t="s">
        <v>710</v>
      </c>
      <c r="BH72" s="4" t="s">
        <v>710</v>
      </c>
      <c r="BI72" s="4" t="s">
        <v>710</v>
      </c>
      <c r="BJ72" s="4" t="s">
        <v>710</v>
      </c>
      <c r="BK72" s="4" t="s">
        <v>710</v>
      </c>
      <c r="BL72" s="4" t="s">
        <v>710</v>
      </c>
      <c r="BM72" s="4" t="s">
        <v>710</v>
      </c>
      <c r="BN72" s="4" t="s">
        <v>710</v>
      </c>
      <c r="BO72" s="4" t="s">
        <v>710</v>
      </c>
      <c r="BP72" s="4" t="s">
        <v>710</v>
      </c>
      <c r="BQ72" s="4" t="s">
        <v>710</v>
      </c>
      <c r="BR72" s="4" t="s">
        <v>710</v>
      </c>
      <c r="BS72" s="4" t="s">
        <v>710</v>
      </c>
      <c r="BT72" s="4" t="s">
        <v>710</v>
      </c>
      <c r="BU72" s="4" t="s">
        <v>710</v>
      </c>
      <c r="BV72" s="4" t="s">
        <v>710</v>
      </c>
      <c r="BW72" s="4" t="s">
        <v>710</v>
      </c>
      <c r="BX72" s="4" t="s">
        <v>710</v>
      </c>
      <c r="BY72" s="4" t="s">
        <v>710</v>
      </c>
      <c r="BZ72" s="4" t="s">
        <v>710</v>
      </c>
      <c r="CA72" s="4" t="s">
        <v>710</v>
      </c>
      <c r="CB72" t="s">
        <v>687</v>
      </c>
      <c r="CC72" t="s">
        <v>687</v>
      </c>
      <c r="CD72" t="s">
        <v>687</v>
      </c>
      <c r="CE72" t="s">
        <v>687</v>
      </c>
      <c r="CF72" t="s">
        <v>687</v>
      </c>
      <c r="CG72" t="s">
        <v>687</v>
      </c>
      <c r="CH72">
        <v>0</v>
      </c>
      <c r="CI72">
        <v>0</v>
      </c>
      <c r="CJ72">
        <v>0</v>
      </c>
      <c r="CK72">
        <v>0</v>
      </c>
      <c r="CL72">
        <v>0</v>
      </c>
      <c r="CM72">
        <v>0</v>
      </c>
      <c r="CN72">
        <v>0</v>
      </c>
      <c r="CO72">
        <v>0</v>
      </c>
      <c r="CP72">
        <v>0</v>
      </c>
      <c r="CQ72">
        <v>0</v>
      </c>
      <c r="CR72">
        <v>0</v>
      </c>
      <c r="CS72">
        <v>0</v>
      </c>
      <c r="CT72">
        <v>0</v>
      </c>
      <c r="CU72">
        <v>0</v>
      </c>
      <c r="CV72">
        <v>0</v>
      </c>
      <c r="CW72">
        <v>0</v>
      </c>
      <c r="CX72">
        <v>0</v>
      </c>
      <c r="CY72">
        <v>0</v>
      </c>
      <c r="CZ72" s="246">
        <v>1.3698630136986301E-2</v>
      </c>
      <c r="DA72" s="246">
        <v>-9.3457943925233638E-3</v>
      </c>
      <c r="DB72" s="123">
        <v>874552.54</v>
      </c>
      <c r="DC72" s="175" t="s">
        <v>154</v>
      </c>
      <c r="DD72" s="175" t="s">
        <v>154</v>
      </c>
      <c r="DE72" s="175" t="s">
        <v>154</v>
      </c>
      <c r="DF72" s="175" t="s">
        <v>154</v>
      </c>
      <c r="DG72" s="175" t="s">
        <v>154</v>
      </c>
      <c r="DH72" s="175" t="s">
        <v>154</v>
      </c>
      <c r="DI72" s="175" t="s">
        <v>154</v>
      </c>
      <c r="DJ72" s="175" t="s">
        <v>154</v>
      </c>
    </row>
    <row r="73" spans="1:114" x14ac:dyDescent="0.45">
      <c r="A73">
        <v>800</v>
      </c>
      <c r="B73" s="247">
        <v>6.5269507385353004E-2</v>
      </c>
      <c r="C73" s="169">
        <v>2.3973397262392698E-2</v>
      </c>
      <c r="D73" s="169">
        <v>4.4856568609537698E-2</v>
      </c>
      <c r="E73" s="169">
        <v>2.53060478713685E-2</v>
      </c>
      <c r="F73" s="206">
        <v>2188</v>
      </c>
      <c r="G73" s="206">
        <v>1142</v>
      </c>
      <c r="H73" s="206">
        <v>80</v>
      </c>
      <c r="I73" s="206">
        <v>470</v>
      </c>
      <c r="J73" s="189">
        <v>0.119181614797662</v>
      </c>
      <c r="K73" s="189">
        <v>0.10415454766502601</v>
      </c>
      <c r="L73" s="206">
        <v>577</v>
      </c>
      <c r="M73" s="206">
        <v>0</v>
      </c>
      <c r="N73" s="4">
        <v>25</v>
      </c>
      <c r="O73" s="4">
        <v>0</v>
      </c>
      <c r="P73" s="4">
        <v>60</v>
      </c>
      <c r="Q73" s="4">
        <v>0</v>
      </c>
      <c r="R73" s="4">
        <v>210</v>
      </c>
      <c r="S73" s="4">
        <v>2984</v>
      </c>
      <c r="T73" s="4">
        <v>8838</v>
      </c>
      <c r="U73" s="4">
        <v>1274</v>
      </c>
      <c r="V73" s="4">
        <v>525</v>
      </c>
      <c r="W73" s="4">
        <v>420</v>
      </c>
      <c r="X73" s="4">
        <v>0.29411764705882398</v>
      </c>
      <c r="Y73" s="4">
        <v>115</v>
      </c>
      <c r="Z73" s="4">
        <v>0</v>
      </c>
      <c r="AA73" s="4">
        <v>335</v>
      </c>
      <c r="AB73" s="4">
        <v>0</v>
      </c>
      <c r="AC73" s="4">
        <v>25</v>
      </c>
      <c r="AD73" s="4">
        <v>0</v>
      </c>
      <c r="AE73" s="4">
        <v>2167</v>
      </c>
      <c r="AF73" s="4">
        <v>9095</v>
      </c>
      <c r="AG73" s="4">
        <v>2245</v>
      </c>
      <c r="AH73" s="4">
        <v>1131</v>
      </c>
      <c r="AI73" s="4">
        <v>0</v>
      </c>
      <c r="AJ73" s="4">
        <v>0.93055555555555602</v>
      </c>
      <c r="AK73" s="4">
        <v>79</v>
      </c>
      <c r="AL73" s="4">
        <v>0</v>
      </c>
      <c r="AM73" s="4">
        <v>0</v>
      </c>
      <c r="AN73" s="4">
        <v>0</v>
      </c>
      <c r="AO73" s="4">
        <v>0</v>
      </c>
      <c r="AP73" s="4">
        <v>335</v>
      </c>
      <c r="AQ73" s="4">
        <v>25</v>
      </c>
      <c r="AR73" s="4">
        <v>0</v>
      </c>
      <c r="AS73" s="4">
        <v>74</v>
      </c>
      <c r="AT73" s="4">
        <v>2065</v>
      </c>
      <c r="AU73" s="4">
        <v>3021</v>
      </c>
      <c r="AV73" s="4">
        <v>3277</v>
      </c>
      <c r="AW73" s="4">
        <v>2981</v>
      </c>
      <c r="AX73" s="4">
        <v>1263</v>
      </c>
      <c r="AY73" s="4">
        <v>2031</v>
      </c>
      <c r="AZ73" s="4">
        <v>0</v>
      </c>
      <c r="BA73" s="4">
        <v>0</v>
      </c>
      <c r="BB73" s="4">
        <v>25</v>
      </c>
      <c r="BC73" s="4">
        <v>60</v>
      </c>
      <c r="BD73" s="4">
        <v>0</v>
      </c>
      <c r="BE73" s="4">
        <v>210</v>
      </c>
      <c r="BF73" s="4">
        <v>0</v>
      </c>
      <c r="BG73" s="4">
        <v>68</v>
      </c>
      <c r="BH73" s="4">
        <v>630</v>
      </c>
      <c r="BI73" s="4">
        <v>1050</v>
      </c>
      <c r="BJ73" s="4">
        <v>6137</v>
      </c>
      <c r="BK73" s="4">
        <v>1020</v>
      </c>
      <c r="BL73" s="4">
        <v>1596</v>
      </c>
      <c r="BM73" s="4">
        <v>3608</v>
      </c>
      <c r="BN73" s="4">
        <v>0</v>
      </c>
      <c r="BO73" s="4">
        <v>0</v>
      </c>
      <c r="BP73" s="4">
        <v>25</v>
      </c>
      <c r="BQ73" s="4">
        <v>60</v>
      </c>
      <c r="BR73" s="4">
        <v>0</v>
      </c>
      <c r="BS73" s="4">
        <v>210</v>
      </c>
      <c r="BT73" s="4">
        <v>0</v>
      </c>
      <c r="BU73" s="4">
        <v>69</v>
      </c>
      <c r="BV73" s="4">
        <v>1153</v>
      </c>
      <c r="BW73" s="4">
        <v>1616</v>
      </c>
      <c r="BX73" s="4">
        <v>6760</v>
      </c>
      <c r="BY73" s="4">
        <v>839</v>
      </c>
      <c r="BZ73" s="4">
        <v>240</v>
      </c>
      <c r="CA73" s="4">
        <v>3433</v>
      </c>
      <c r="CB73">
        <v>14751.847094586656</v>
      </c>
      <c r="CC73">
        <v>6823.090931423746</v>
      </c>
      <c r="CD73" t="s">
        <v>687</v>
      </c>
      <c r="CE73" t="s">
        <v>687</v>
      </c>
      <c r="CF73" t="s">
        <v>687</v>
      </c>
      <c r="CG73" t="s">
        <v>687</v>
      </c>
      <c r="CH73">
        <v>11</v>
      </c>
      <c r="CI73">
        <v>3</v>
      </c>
      <c r="CJ73">
        <v>0</v>
      </c>
      <c r="CK73">
        <v>0</v>
      </c>
      <c r="CL73">
        <v>0</v>
      </c>
      <c r="CM73">
        <v>0</v>
      </c>
      <c r="CN73">
        <v>8762597.1741844732</v>
      </c>
      <c r="CO73">
        <v>594</v>
      </c>
      <c r="CP73">
        <v>511731.81985678093</v>
      </c>
      <c r="CQ73">
        <v>75</v>
      </c>
      <c r="CR73">
        <v>0</v>
      </c>
      <c r="CS73">
        <v>0</v>
      </c>
      <c r="CT73">
        <v>0</v>
      </c>
      <c r="CU73">
        <v>0</v>
      </c>
      <c r="CV73">
        <v>0</v>
      </c>
      <c r="CW73">
        <v>0</v>
      </c>
      <c r="CX73">
        <v>0</v>
      </c>
      <c r="CY73">
        <v>0</v>
      </c>
      <c r="CZ73" s="246">
        <v>0.19966968011126565</v>
      </c>
      <c r="DA73" s="246">
        <v>0.11114229581813079</v>
      </c>
      <c r="DB73" s="123">
        <v>41983924.130000003</v>
      </c>
      <c r="DC73" s="174">
        <v>93.6</v>
      </c>
      <c r="DD73" s="174">
        <v>3.9</v>
      </c>
      <c r="DE73" s="174">
        <v>1.3</v>
      </c>
      <c r="DF73" s="174">
        <v>87.6</v>
      </c>
      <c r="DG73" s="174">
        <v>6.9</v>
      </c>
      <c r="DH73" s="174">
        <v>1.9</v>
      </c>
      <c r="DI73" s="174">
        <v>98.8</v>
      </c>
      <c r="DJ73" s="174">
        <v>96.4</v>
      </c>
    </row>
    <row r="74" spans="1:114" x14ac:dyDescent="0.45">
      <c r="A74">
        <v>801</v>
      </c>
      <c r="B74" s="247">
        <v>2.6411329434913901E-2</v>
      </c>
      <c r="C74" s="169">
        <v>1.3274949422165601E-2</v>
      </c>
      <c r="D74" s="169">
        <v>1.4259957384035399E-2</v>
      </c>
      <c r="E74" s="169">
        <v>2.40397749002896E-3</v>
      </c>
      <c r="F74" s="206">
        <v>9989</v>
      </c>
      <c r="G74" s="206">
        <v>3740</v>
      </c>
      <c r="H74" s="206">
        <v>30</v>
      </c>
      <c r="I74" s="206">
        <v>690</v>
      </c>
      <c r="J74" s="189">
        <v>0.112633456807022</v>
      </c>
      <c r="K74" s="189">
        <v>5.6136366703342502E-2</v>
      </c>
      <c r="L74" s="206">
        <v>0</v>
      </c>
      <c r="M74" s="206">
        <v>600</v>
      </c>
      <c r="N74" s="4">
        <v>0</v>
      </c>
      <c r="O74" s="4">
        <v>45</v>
      </c>
      <c r="P74" s="4">
        <v>0</v>
      </c>
      <c r="Q74" s="4">
        <v>0</v>
      </c>
      <c r="R74" s="4">
        <v>0</v>
      </c>
      <c r="S74" s="4">
        <v>9869</v>
      </c>
      <c r="T74" s="4">
        <v>20207</v>
      </c>
      <c r="U74" s="4">
        <v>6044</v>
      </c>
      <c r="V74" s="4">
        <v>3301</v>
      </c>
      <c r="W74" s="4">
        <v>0</v>
      </c>
      <c r="X74" s="4">
        <v>1</v>
      </c>
      <c r="Y74" s="4">
        <v>1</v>
      </c>
      <c r="Z74" s="4">
        <v>130</v>
      </c>
      <c r="AA74" s="4">
        <v>212</v>
      </c>
      <c r="AB74" s="4">
        <v>0</v>
      </c>
      <c r="AC74" s="4">
        <v>0</v>
      </c>
      <c r="AD74" s="4">
        <v>0</v>
      </c>
      <c r="AE74" s="4">
        <v>4764</v>
      </c>
      <c r="AF74" s="4">
        <v>11135</v>
      </c>
      <c r="AG74" s="4">
        <v>2503</v>
      </c>
      <c r="AH74" s="4">
        <v>3340</v>
      </c>
      <c r="AI74" s="4">
        <v>0</v>
      </c>
      <c r="AJ74" s="4">
        <v>1</v>
      </c>
      <c r="AK74" s="4">
        <v>1</v>
      </c>
      <c r="AL74" s="4">
        <v>80</v>
      </c>
      <c r="AM74" s="4">
        <v>50</v>
      </c>
      <c r="AN74" s="4">
        <v>212</v>
      </c>
      <c r="AO74" s="4">
        <v>0</v>
      </c>
      <c r="AP74" s="4">
        <v>0</v>
      </c>
      <c r="AQ74" s="4">
        <v>0</v>
      </c>
      <c r="AR74" s="4">
        <v>0.38011695906432702</v>
      </c>
      <c r="AS74" s="4">
        <v>53</v>
      </c>
      <c r="AT74" s="4">
        <v>3179</v>
      </c>
      <c r="AU74" s="4">
        <v>5990</v>
      </c>
      <c r="AV74" s="4">
        <v>7828</v>
      </c>
      <c r="AW74" s="4">
        <v>2640</v>
      </c>
      <c r="AX74" s="4">
        <v>2105</v>
      </c>
      <c r="AY74" s="4">
        <v>0</v>
      </c>
      <c r="AZ74" s="4">
        <v>0</v>
      </c>
      <c r="BA74" s="4">
        <v>0</v>
      </c>
      <c r="BB74" s="4">
        <v>45</v>
      </c>
      <c r="BC74" s="4">
        <v>0</v>
      </c>
      <c r="BD74" s="4">
        <v>0</v>
      </c>
      <c r="BE74" s="4">
        <v>0</v>
      </c>
      <c r="BF74" s="4">
        <v>0</v>
      </c>
      <c r="BG74" s="4">
        <v>68</v>
      </c>
      <c r="BH74" s="4">
        <v>732</v>
      </c>
      <c r="BI74" s="4">
        <v>8290</v>
      </c>
      <c r="BJ74" s="4">
        <v>18962</v>
      </c>
      <c r="BK74" s="4">
        <v>5466</v>
      </c>
      <c r="BL74" s="4">
        <v>1617</v>
      </c>
      <c r="BM74" s="4">
        <v>4354</v>
      </c>
      <c r="BN74" s="4">
        <v>0</v>
      </c>
      <c r="BO74" s="4">
        <v>0</v>
      </c>
      <c r="BP74" s="4">
        <v>45</v>
      </c>
      <c r="BQ74" s="4">
        <v>0</v>
      </c>
      <c r="BR74" s="4">
        <v>0</v>
      </c>
      <c r="BS74" s="4">
        <v>0</v>
      </c>
      <c r="BT74" s="4">
        <v>0</v>
      </c>
      <c r="BU74" s="4">
        <v>69</v>
      </c>
      <c r="BV74" s="4">
        <v>2504</v>
      </c>
      <c r="BW74" s="4">
        <v>7215</v>
      </c>
      <c r="BX74" s="4">
        <v>17745</v>
      </c>
      <c r="BY74" s="4">
        <v>4828</v>
      </c>
      <c r="BZ74" s="4">
        <v>2775</v>
      </c>
      <c r="CA74" s="4">
        <v>4354</v>
      </c>
      <c r="CB74">
        <v>26999.603211758047</v>
      </c>
      <c r="CC74" t="s">
        <v>687</v>
      </c>
      <c r="CD74">
        <v>19597.519597519597</v>
      </c>
      <c r="CE74">
        <v>13656.124597129943</v>
      </c>
      <c r="CF74" t="s">
        <v>687</v>
      </c>
      <c r="CG74" t="s">
        <v>687</v>
      </c>
      <c r="CH74">
        <v>4</v>
      </c>
      <c r="CI74">
        <v>0</v>
      </c>
      <c r="CJ74">
        <v>1</v>
      </c>
      <c r="CK74">
        <v>1</v>
      </c>
      <c r="CL74">
        <v>0</v>
      </c>
      <c r="CM74">
        <v>0</v>
      </c>
      <c r="CN74">
        <v>18224732.167936683</v>
      </c>
      <c r="CO74">
        <v>675</v>
      </c>
      <c r="CP74">
        <v>0</v>
      </c>
      <c r="CQ74">
        <v>0</v>
      </c>
      <c r="CR74">
        <v>8230958.2309582308</v>
      </c>
      <c r="CS74">
        <v>420</v>
      </c>
      <c r="CT74">
        <v>3482311.7722681356</v>
      </c>
      <c r="CU74">
        <v>255</v>
      </c>
      <c r="CV74">
        <v>0</v>
      </c>
      <c r="CW74">
        <v>0</v>
      </c>
      <c r="CX74">
        <v>0</v>
      </c>
      <c r="CY74">
        <v>0</v>
      </c>
      <c r="CZ74" s="246">
        <v>0.31853052404105886</v>
      </c>
      <c r="DA74" s="246">
        <v>0.96086142322097379</v>
      </c>
      <c r="DB74" s="123">
        <v>168545416.07999998</v>
      </c>
      <c r="DC74" s="174">
        <v>87.6</v>
      </c>
      <c r="DD74" s="174">
        <v>7.8</v>
      </c>
      <c r="DE74" s="174">
        <v>2.4</v>
      </c>
      <c r="DF74" s="174">
        <v>71.3</v>
      </c>
      <c r="DG74" s="174">
        <v>13</v>
      </c>
      <c r="DH74" s="174">
        <v>6.2</v>
      </c>
      <c r="DI74" s="174">
        <v>97.9</v>
      </c>
      <c r="DJ74" s="174">
        <v>90.5</v>
      </c>
    </row>
    <row r="75" spans="1:114" x14ac:dyDescent="0.45">
      <c r="A75">
        <v>802</v>
      </c>
      <c r="B75" s="247">
        <v>4.7818643367377102E-2</v>
      </c>
      <c r="C75" s="169">
        <v>-2.0662376763681402E-3</v>
      </c>
      <c r="D75" s="169">
        <v>6.6678568240649799E-2</v>
      </c>
      <c r="E75" s="169">
        <v>3.57047219494778E-3</v>
      </c>
      <c r="F75" s="206">
        <v>3335</v>
      </c>
      <c r="G75" s="206">
        <v>1454</v>
      </c>
      <c r="H75" s="206">
        <v>30</v>
      </c>
      <c r="I75" s="206">
        <v>110</v>
      </c>
      <c r="J75" s="189">
        <v>0.12781022796080099</v>
      </c>
      <c r="K75" s="189">
        <v>0.123244957293903</v>
      </c>
      <c r="L75" s="206">
        <v>210</v>
      </c>
      <c r="M75" s="206">
        <v>808</v>
      </c>
      <c r="N75" s="4">
        <v>75</v>
      </c>
      <c r="O75" s="4">
        <v>55</v>
      </c>
      <c r="P75" s="4">
        <v>0</v>
      </c>
      <c r="Q75" s="4">
        <v>0</v>
      </c>
      <c r="R75" s="4">
        <v>420</v>
      </c>
      <c r="S75" s="4">
        <v>2866</v>
      </c>
      <c r="T75" s="4">
        <v>14077</v>
      </c>
      <c r="U75" s="4">
        <v>735</v>
      </c>
      <c r="V75" s="4">
        <v>119</v>
      </c>
      <c r="W75" s="4">
        <v>0</v>
      </c>
      <c r="X75" s="4">
        <v>1</v>
      </c>
      <c r="Y75" s="4">
        <v>1</v>
      </c>
      <c r="Z75" s="4">
        <v>440</v>
      </c>
      <c r="AA75" s="4">
        <v>0</v>
      </c>
      <c r="AB75" s="4">
        <v>0</v>
      </c>
      <c r="AC75" s="4">
        <v>0</v>
      </c>
      <c r="AD75" s="4">
        <v>0</v>
      </c>
      <c r="AE75" s="4">
        <v>7851</v>
      </c>
      <c r="AF75" s="4">
        <v>2500</v>
      </c>
      <c r="AG75" s="4">
        <v>1750</v>
      </c>
      <c r="AH75" s="4">
        <v>0</v>
      </c>
      <c r="AI75" s="4">
        <v>900</v>
      </c>
      <c r="AJ75" s="4">
        <v>1</v>
      </c>
      <c r="AK75" s="4">
        <v>1</v>
      </c>
      <c r="AL75" s="4">
        <v>0</v>
      </c>
      <c r="AM75" s="4">
        <v>140</v>
      </c>
      <c r="AN75" s="4">
        <v>300</v>
      </c>
      <c r="AO75" s="4">
        <v>0</v>
      </c>
      <c r="AP75" s="4">
        <v>0</v>
      </c>
      <c r="AQ75" s="4">
        <v>0</v>
      </c>
      <c r="AR75" s="4">
        <v>0.31818181818181801</v>
      </c>
      <c r="AS75" s="4">
        <v>61</v>
      </c>
      <c r="AT75" s="4">
        <v>0</v>
      </c>
      <c r="AU75" s="4">
        <v>1940</v>
      </c>
      <c r="AV75" s="4">
        <v>6556</v>
      </c>
      <c r="AW75" s="4">
        <v>2505</v>
      </c>
      <c r="AX75" s="4">
        <v>2000</v>
      </c>
      <c r="AY75" s="4">
        <v>0</v>
      </c>
      <c r="AZ75" s="4">
        <v>0</v>
      </c>
      <c r="BA75" s="4">
        <v>0</v>
      </c>
      <c r="BB75" s="4">
        <v>0</v>
      </c>
      <c r="BC75" s="4">
        <v>30</v>
      </c>
      <c r="BD75" s="4">
        <v>0</v>
      </c>
      <c r="BE75" s="4">
        <v>520</v>
      </c>
      <c r="BF75" s="4">
        <v>0</v>
      </c>
      <c r="BG75" s="4">
        <v>68</v>
      </c>
      <c r="BH75" s="4">
        <v>0</v>
      </c>
      <c r="BI75" s="4">
        <v>1290</v>
      </c>
      <c r="BJ75" s="4">
        <v>10730</v>
      </c>
      <c r="BK75" s="4">
        <v>2940</v>
      </c>
      <c r="BL75" s="4">
        <v>945</v>
      </c>
      <c r="BM75" s="4">
        <v>1892</v>
      </c>
      <c r="BN75" s="4">
        <v>0</v>
      </c>
      <c r="BO75" s="4">
        <v>0</v>
      </c>
      <c r="BP75" s="4">
        <v>0</v>
      </c>
      <c r="BQ75" s="4">
        <v>30</v>
      </c>
      <c r="BR75" s="4">
        <v>0</v>
      </c>
      <c r="BS75" s="4">
        <v>520</v>
      </c>
      <c r="BT75" s="4">
        <v>0</v>
      </c>
      <c r="BU75" s="4">
        <v>69</v>
      </c>
      <c r="BV75" s="4">
        <v>0</v>
      </c>
      <c r="BW75" s="4">
        <v>830</v>
      </c>
      <c r="BX75" s="4">
        <v>11610</v>
      </c>
      <c r="BY75" s="4">
        <v>1680</v>
      </c>
      <c r="BZ75" s="4">
        <v>1785</v>
      </c>
      <c r="CA75" s="4">
        <v>1892</v>
      </c>
      <c r="CB75">
        <v>14925.149613176016</v>
      </c>
      <c r="CC75">
        <v>10065.775331207429</v>
      </c>
      <c r="CD75" t="s">
        <v>687</v>
      </c>
      <c r="CE75" t="s">
        <v>687</v>
      </c>
      <c r="CF75" t="s">
        <v>687</v>
      </c>
      <c r="CG75" t="s">
        <v>687</v>
      </c>
      <c r="CH75">
        <v>4</v>
      </c>
      <c r="CI75">
        <v>2</v>
      </c>
      <c r="CJ75">
        <v>0</v>
      </c>
      <c r="CK75">
        <v>0</v>
      </c>
      <c r="CL75">
        <v>0</v>
      </c>
      <c r="CM75">
        <v>0</v>
      </c>
      <c r="CN75">
        <v>3373083.8125777794</v>
      </c>
      <c r="CO75">
        <v>226</v>
      </c>
      <c r="CP75">
        <v>452959.88990433433</v>
      </c>
      <c r="CQ75">
        <v>45</v>
      </c>
      <c r="CR75">
        <v>0</v>
      </c>
      <c r="CS75">
        <v>0</v>
      </c>
      <c r="CT75">
        <v>0</v>
      </c>
      <c r="CU75">
        <v>0</v>
      </c>
      <c r="CV75">
        <v>0</v>
      </c>
      <c r="CW75">
        <v>0</v>
      </c>
      <c r="CX75">
        <v>0</v>
      </c>
      <c r="CY75">
        <v>0</v>
      </c>
      <c r="CZ75" s="246">
        <v>0.11928711267130224</v>
      </c>
      <c r="DA75" s="246">
        <v>9.763260946956212E-2</v>
      </c>
      <c r="DB75" s="123">
        <v>63268315.32</v>
      </c>
      <c r="DC75" s="174">
        <v>93.6</v>
      </c>
      <c r="DD75" s="174">
        <v>4.8</v>
      </c>
      <c r="DE75" s="174">
        <v>0.6</v>
      </c>
      <c r="DF75" s="174">
        <v>96.9</v>
      </c>
      <c r="DG75" s="174">
        <v>2.2999999999999998</v>
      </c>
      <c r="DH75" s="174">
        <v>0.2</v>
      </c>
      <c r="DI75" s="174">
        <v>99</v>
      </c>
      <c r="DJ75" s="174">
        <v>99.3</v>
      </c>
    </row>
    <row r="76" spans="1:114" x14ac:dyDescent="0.45">
      <c r="A76">
        <v>803</v>
      </c>
      <c r="B76" s="247">
        <v>2.3688015650250902E-2</v>
      </c>
      <c r="C76" s="169">
        <v>8.4630432933571493E-3</v>
      </c>
      <c r="D76" s="169">
        <v>6.8269676820782402E-2</v>
      </c>
      <c r="E76" s="169">
        <v>2.9689191278800101E-2</v>
      </c>
      <c r="F76" s="206">
        <v>1711</v>
      </c>
      <c r="G76" s="206">
        <v>0</v>
      </c>
      <c r="H76" s="206">
        <v>80</v>
      </c>
      <c r="I76" s="206">
        <v>20</v>
      </c>
      <c r="J76" s="189">
        <v>9.6191858169087902E-2</v>
      </c>
      <c r="K76" s="189">
        <v>0.19292098528552401</v>
      </c>
      <c r="L76" s="206">
        <v>480</v>
      </c>
      <c r="M76" s="206">
        <v>45</v>
      </c>
      <c r="N76" s="4">
        <v>0</v>
      </c>
      <c r="O76" s="4">
        <v>0</v>
      </c>
      <c r="P76" s="4">
        <v>0</v>
      </c>
      <c r="Q76" s="4">
        <v>0</v>
      </c>
      <c r="R76" s="4">
        <v>0</v>
      </c>
      <c r="S76" s="4">
        <v>3216</v>
      </c>
      <c r="T76" s="4">
        <v>18539</v>
      </c>
      <c r="U76" s="4">
        <v>4234</v>
      </c>
      <c r="V76" s="4">
        <v>210</v>
      </c>
      <c r="W76" s="4">
        <v>0</v>
      </c>
      <c r="X76" s="4" t="s">
        <v>709</v>
      </c>
      <c r="Y76" s="4" t="s">
        <v>709</v>
      </c>
      <c r="Z76" s="4">
        <v>0</v>
      </c>
      <c r="AA76" s="4">
        <v>0</v>
      </c>
      <c r="AB76" s="4">
        <v>0</v>
      </c>
      <c r="AC76" s="4">
        <v>0</v>
      </c>
      <c r="AD76" s="4">
        <v>0</v>
      </c>
      <c r="AE76" s="4">
        <v>0</v>
      </c>
      <c r="AF76" s="4">
        <v>8661</v>
      </c>
      <c r="AG76" s="4">
        <v>5660</v>
      </c>
      <c r="AH76" s="4">
        <v>3518</v>
      </c>
      <c r="AI76" s="4">
        <v>0</v>
      </c>
      <c r="AJ76" s="4" t="s">
        <v>709</v>
      </c>
      <c r="AK76" s="4" t="s">
        <v>709</v>
      </c>
      <c r="AL76" s="4">
        <v>0</v>
      </c>
      <c r="AM76" s="4">
        <v>0</v>
      </c>
      <c r="AN76" s="4">
        <v>0</v>
      </c>
      <c r="AO76" s="4">
        <v>0</v>
      </c>
      <c r="AP76" s="4">
        <v>0</v>
      </c>
      <c r="AQ76" s="4">
        <v>0</v>
      </c>
      <c r="AR76" s="4" t="s">
        <v>709</v>
      </c>
      <c r="AS76" s="4" t="s">
        <v>709</v>
      </c>
      <c r="AT76" s="4">
        <v>900</v>
      </c>
      <c r="AU76" s="4">
        <v>1114</v>
      </c>
      <c r="AV76" s="4">
        <v>7914</v>
      </c>
      <c r="AW76" s="4">
        <v>6331</v>
      </c>
      <c r="AX76" s="4">
        <v>780</v>
      </c>
      <c r="AY76" s="4">
        <v>800</v>
      </c>
      <c r="AZ76" s="4">
        <v>0</v>
      </c>
      <c r="BA76" s="4">
        <v>0</v>
      </c>
      <c r="BB76" s="4">
        <v>0</v>
      </c>
      <c r="BC76" s="4">
        <v>0</v>
      </c>
      <c r="BD76" s="4">
        <v>0</v>
      </c>
      <c r="BE76" s="4">
        <v>0</v>
      </c>
      <c r="BF76" s="4" t="s">
        <v>709</v>
      </c>
      <c r="BG76" s="4" t="s">
        <v>709</v>
      </c>
      <c r="BH76" s="4">
        <v>1437</v>
      </c>
      <c r="BI76" s="4">
        <v>2725</v>
      </c>
      <c r="BJ76" s="4">
        <v>13762</v>
      </c>
      <c r="BK76" s="4">
        <v>3939</v>
      </c>
      <c r="BL76" s="4">
        <v>980</v>
      </c>
      <c r="BM76" s="4">
        <v>3356</v>
      </c>
      <c r="BN76" s="4">
        <v>0</v>
      </c>
      <c r="BO76" s="4">
        <v>0</v>
      </c>
      <c r="BP76" s="4">
        <v>0</v>
      </c>
      <c r="BQ76" s="4">
        <v>0</v>
      </c>
      <c r="BR76" s="4">
        <v>0</v>
      </c>
      <c r="BS76" s="4">
        <v>0</v>
      </c>
      <c r="BT76" s="4" t="s">
        <v>709</v>
      </c>
      <c r="BU76" s="4" t="s">
        <v>709</v>
      </c>
      <c r="BV76" s="4">
        <v>1030</v>
      </c>
      <c r="BW76" s="4">
        <v>1470</v>
      </c>
      <c r="BX76" s="4">
        <v>15963</v>
      </c>
      <c r="BY76" s="4">
        <v>2070</v>
      </c>
      <c r="BZ76" s="4">
        <v>2310</v>
      </c>
      <c r="CA76" s="4">
        <v>3356</v>
      </c>
      <c r="CB76">
        <v>15376.490668684131</v>
      </c>
      <c r="CC76">
        <v>2982.0060382558222</v>
      </c>
      <c r="CD76">
        <v>14525.997055544545</v>
      </c>
      <c r="CE76" t="s">
        <v>687</v>
      </c>
      <c r="CF76" t="s">
        <v>687</v>
      </c>
      <c r="CG76" t="s">
        <v>687</v>
      </c>
      <c r="CH76">
        <v>9</v>
      </c>
      <c r="CI76">
        <v>8</v>
      </c>
      <c r="CJ76">
        <v>2</v>
      </c>
      <c r="CK76">
        <v>0</v>
      </c>
      <c r="CL76">
        <v>0</v>
      </c>
      <c r="CM76">
        <v>0</v>
      </c>
      <c r="CN76">
        <v>15345737.687346764</v>
      </c>
      <c r="CO76">
        <v>998</v>
      </c>
      <c r="CP76">
        <v>688843.39483709494</v>
      </c>
      <c r="CQ76">
        <v>231</v>
      </c>
      <c r="CR76">
        <v>12637617.438323755</v>
      </c>
      <c r="CS76">
        <v>870</v>
      </c>
      <c r="CT76">
        <v>0</v>
      </c>
      <c r="CU76">
        <v>0</v>
      </c>
      <c r="CV76">
        <v>0</v>
      </c>
      <c r="CW76">
        <v>0</v>
      </c>
      <c r="CX76">
        <v>0</v>
      </c>
      <c r="CY76">
        <v>0</v>
      </c>
      <c r="CZ76" s="246">
        <v>0.18336245389244807</v>
      </c>
      <c r="DA76" s="246">
        <v>9.5479345284489481E-2</v>
      </c>
      <c r="DB76" s="123">
        <v>42195404.549999997</v>
      </c>
      <c r="DC76" s="174">
        <v>91.3</v>
      </c>
      <c r="DD76" s="174">
        <v>6</v>
      </c>
      <c r="DE76" s="174">
        <v>0.9</v>
      </c>
      <c r="DF76" s="174">
        <v>81.900000000000006</v>
      </c>
      <c r="DG76" s="174">
        <v>10</v>
      </c>
      <c r="DH76" s="174">
        <v>2.7</v>
      </c>
      <c r="DI76" s="174">
        <v>98.1</v>
      </c>
      <c r="DJ76" s="174">
        <v>94.6</v>
      </c>
    </row>
    <row r="77" spans="1:114" x14ac:dyDescent="0.45">
      <c r="A77">
        <v>805</v>
      </c>
      <c r="B77" s="247">
        <v>-2.2291021671826598E-3</v>
      </c>
      <c r="C77" s="169">
        <v>3.7151702786377701E-4</v>
      </c>
      <c r="D77" s="169">
        <v>2.1554169030062399E-2</v>
      </c>
      <c r="E77" s="169">
        <v>-2.0797882397428601E-3</v>
      </c>
      <c r="F77" s="206">
        <v>884</v>
      </c>
      <c r="G77" s="206">
        <v>19</v>
      </c>
      <c r="H77" s="206">
        <v>10</v>
      </c>
      <c r="I77" s="206">
        <v>0</v>
      </c>
      <c r="J77" s="189">
        <v>0.14301515460967601</v>
      </c>
      <c r="K77" s="189">
        <v>8.8425462148082903E-2</v>
      </c>
      <c r="L77" s="206">
        <v>0</v>
      </c>
      <c r="M77" s="206">
        <v>39</v>
      </c>
      <c r="N77" s="4">
        <v>0</v>
      </c>
      <c r="O77" s="4">
        <v>35</v>
      </c>
      <c r="P77" s="4">
        <v>0</v>
      </c>
      <c r="Q77" s="4">
        <v>0</v>
      </c>
      <c r="R77" s="4">
        <v>0</v>
      </c>
      <c r="S77" s="4">
        <v>1079</v>
      </c>
      <c r="T77" s="4">
        <v>7116</v>
      </c>
      <c r="U77" s="4">
        <v>826</v>
      </c>
      <c r="V77" s="4">
        <v>0</v>
      </c>
      <c r="W77" s="4">
        <v>0</v>
      </c>
      <c r="X77" s="4">
        <v>1</v>
      </c>
      <c r="Y77" s="4">
        <v>1</v>
      </c>
      <c r="Z77" s="4">
        <v>0</v>
      </c>
      <c r="AA77" s="4">
        <v>0</v>
      </c>
      <c r="AB77" s="4">
        <v>40</v>
      </c>
      <c r="AC77" s="4">
        <v>0</v>
      </c>
      <c r="AD77" s="4">
        <v>0</v>
      </c>
      <c r="AE77" s="4">
        <v>0</v>
      </c>
      <c r="AF77" s="4">
        <v>2565</v>
      </c>
      <c r="AG77" s="4">
        <v>3830</v>
      </c>
      <c r="AH77" s="4">
        <v>0</v>
      </c>
      <c r="AI77" s="4">
        <v>0</v>
      </c>
      <c r="AJ77" s="4">
        <v>0</v>
      </c>
      <c r="AK77" s="4">
        <v>111</v>
      </c>
      <c r="AL77" s="4">
        <v>0</v>
      </c>
      <c r="AM77" s="4">
        <v>0</v>
      </c>
      <c r="AN77" s="4">
        <v>0</v>
      </c>
      <c r="AO77" s="4">
        <v>0</v>
      </c>
      <c r="AP77" s="4">
        <v>40</v>
      </c>
      <c r="AQ77" s="4">
        <v>0</v>
      </c>
      <c r="AR77" s="4">
        <v>0</v>
      </c>
      <c r="AS77" s="4">
        <v>74</v>
      </c>
      <c r="AT77" s="4">
        <v>0</v>
      </c>
      <c r="AU77" s="4">
        <v>0</v>
      </c>
      <c r="AV77" s="4">
        <v>3030</v>
      </c>
      <c r="AW77" s="4">
        <v>1250</v>
      </c>
      <c r="AX77" s="4">
        <v>2115</v>
      </c>
      <c r="AY77" s="4">
        <v>0</v>
      </c>
      <c r="AZ77" s="4">
        <v>0</v>
      </c>
      <c r="BA77" s="4">
        <v>0</v>
      </c>
      <c r="BB77" s="4">
        <v>35</v>
      </c>
      <c r="BC77" s="4">
        <v>0</v>
      </c>
      <c r="BD77" s="4">
        <v>0</v>
      </c>
      <c r="BE77" s="4">
        <v>0</v>
      </c>
      <c r="BF77" s="4">
        <v>0</v>
      </c>
      <c r="BG77" s="4">
        <v>68</v>
      </c>
      <c r="BH77" s="4">
        <v>1226</v>
      </c>
      <c r="BI77" s="4">
        <v>540</v>
      </c>
      <c r="BJ77" s="4">
        <v>5929</v>
      </c>
      <c r="BK77" s="4">
        <v>735</v>
      </c>
      <c r="BL77" s="4">
        <v>381</v>
      </c>
      <c r="BM77" s="4">
        <v>210</v>
      </c>
      <c r="BN77" s="4">
        <v>0</v>
      </c>
      <c r="BO77" s="4">
        <v>0</v>
      </c>
      <c r="BP77" s="4">
        <v>35</v>
      </c>
      <c r="BQ77" s="4">
        <v>0</v>
      </c>
      <c r="BR77" s="4">
        <v>0</v>
      </c>
      <c r="BS77" s="4">
        <v>0</v>
      </c>
      <c r="BT77" s="4">
        <v>0</v>
      </c>
      <c r="BU77" s="4">
        <v>69</v>
      </c>
      <c r="BV77" s="4">
        <v>1253</v>
      </c>
      <c r="BW77" s="4">
        <v>410</v>
      </c>
      <c r="BX77" s="4">
        <v>5722</v>
      </c>
      <c r="BY77" s="4">
        <v>450</v>
      </c>
      <c r="BZ77" s="4">
        <v>976</v>
      </c>
      <c r="CA77" s="4">
        <v>210</v>
      </c>
      <c r="CB77">
        <v>13749.765909920599</v>
      </c>
      <c r="CC77" t="s">
        <v>687</v>
      </c>
      <c r="CD77" t="s">
        <v>687</v>
      </c>
      <c r="CE77" t="s">
        <v>687</v>
      </c>
      <c r="CF77" t="s">
        <v>687</v>
      </c>
      <c r="CG77" t="s">
        <v>687</v>
      </c>
      <c r="CH77">
        <v>2</v>
      </c>
      <c r="CI77">
        <v>0</v>
      </c>
      <c r="CJ77">
        <v>0</v>
      </c>
      <c r="CK77">
        <v>0</v>
      </c>
      <c r="CL77">
        <v>0</v>
      </c>
      <c r="CM77">
        <v>0</v>
      </c>
      <c r="CN77">
        <v>494991.57275714155</v>
      </c>
      <c r="CO77">
        <v>36</v>
      </c>
      <c r="CP77">
        <v>0</v>
      </c>
      <c r="CQ77">
        <v>0</v>
      </c>
      <c r="CR77">
        <v>0</v>
      </c>
      <c r="CS77">
        <v>0</v>
      </c>
      <c r="CT77">
        <v>0</v>
      </c>
      <c r="CU77">
        <v>0</v>
      </c>
      <c r="CV77">
        <v>0</v>
      </c>
      <c r="CW77">
        <v>0</v>
      </c>
      <c r="CX77">
        <v>0</v>
      </c>
      <c r="CY77">
        <v>0</v>
      </c>
      <c r="CZ77" s="246">
        <v>4.6721421839235222E-2</v>
      </c>
      <c r="DA77" s="246">
        <v>-4.3249660786974217E-2</v>
      </c>
      <c r="DB77" s="123">
        <v>8640607.5199999996</v>
      </c>
      <c r="DC77" s="174">
        <v>97.5</v>
      </c>
      <c r="DD77" s="174">
        <v>1.6</v>
      </c>
      <c r="DE77" s="174">
        <v>0.5</v>
      </c>
      <c r="DF77" s="174">
        <v>93</v>
      </c>
      <c r="DG77" s="174">
        <v>5.3</v>
      </c>
      <c r="DH77" s="174">
        <v>0.3</v>
      </c>
      <c r="DI77" s="174">
        <v>99.6</v>
      </c>
      <c r="DJ77" s="174">
        <v>98.6</v>
      </c>
    </row>
    <row r="78" spans="1:114" x14ac:dyDescent="0.45">
      <c r="A78">
        <v>806</v>
      </c>
      <c r="B78" s="247">
        <v>-1.24843022826328E-2</v>
      </c>
      <c r="C78" s="169">
        <v>8.9384649479205096E-3</v>
      </c>
      <c r="D78" s="169">
        <v>-2.6539278131634797E-4</v>
      </c>
      <c r="E78" s="169">
        <v>1.02176220806794E-2</v>
      </c>
      <c r="F78" s="206">
        <v>610</v>
      </c>
      <c r="G78" s="206">
        <v>0</v>
      </c>
      <c r="H78" s="206">
        <v>60</v>
      </c>
      <c r="I78" s="206">
        <v>40</v>
      </c>
      <c r="J78" s="189">
        <v>6.0679414681571703E-2</v>
      </c>
      <c r="K78" s="189">
        <v>1.5296013903743201E-2</v>
      </c>
      <c r="L78" s="206">
        <v>151</v>
      </c>
      <c r="M78" s="206">
        <v>450</v>
      </c>
      <c r="N78" s="4">
        <v>0</v>
      </c>
      <c r="O78" s="4">
        <v>97</v>
      </c>
      <c r="P78" s="4">
        <v>0</v>
      </c>
      <c r="Q78" s="4">
        <v>0</v>
      </c>
      <c r="R78" s="4">
        <v>0</v>
      </c>
      <c r="S78" s="4">
        <v>1142</v>
      </c>
      <c r="T78" s="4">
        <v>11407</v>
      </c>
      <c r="U78" s="4">
        <v>389</v>
      </c>
      <c r="V78" s="4">
        <v>0</v>
      </c>
      <c r="W78" s="4">
        <v>0</v>
      </c>
      <c r="X78" s="4">
        <v>1</v>
      </c>
      <c r="Y78" s="4">
        <v>1</v>
      </c>
      <c r="Z78" s="4">
        <v>0</v>
      </c>
      <c r="AA78" s="4">
        <v>175</v>
      </c>
      <c r="AB78" s="4">
        <v>0</v>
      </c>
      <c r="AC78" s="4">
        <v>0</v>
      </c>
      <c r="AD78" s="4">
        <v>0</v>
      </c>
      <c r="AE78" s="4">
        <v>0</v>
      </c>
      <c r="AF78" s="4">
        <v>6295</v>
      </c>
      <c r="AG78" s="4">
        <v>2550</v>
      </c>
      <c r="AH78" s="4">
        <v>0</v>
      </c>
      <c r="AI78" s="4">
        <v>0</v>
      </c>
      <c r="AJ78" s="4">
        <v>1</v>
      </c>
      <c r="AK78" s="4">
        <v>1</v>
      </c>
      <c r="AL78" s="4">
        <v>0</v>
      </c>
      <c r="AM78" s="4">
        <v>0</v>
      </c>
      <c r="AN78" s="4">
        <v>0</v>
      </c>
      <c r="AO78" s="4">
        <v>0</v>
      </c>
      <c r="AP78" s="4">
        <v>175</v>
      </c>
      <c r="AQ78" s="4">
        <v>0</v>
      </c>
      <c r="AR78" s="4">
        <v>0</v>
      </c>
      <c r="AS78" s="4">
        <v>74</v>
      </c>
      <c r="AT78" s="4">
        <v>0</v>
      </c>
      <c r="AU78" s="4">
        <v>1470</v>
      </c>
      <c r="AV78" s="4">
        <v>2450</v>
      </c>
      <c r="AW78" s="4">
        <v>1050</v>
      </c>
      <c r="AX78" s="4">
        <v>3875</v>
      </c>
      <c r="AY78" s="4">
        <v>0</v>
      </c>
      <c r="AZ78" s="4">
        <v>0</v>
      </c>
      <c r="BA78" s="4">
        <v>18</v>
      </c>
      <c r="BB78" s="4">
        <v>79</v>
      </c>
      <c r="BC78" s="4">
        <v>0</v>
      </c>
      <c r="BD78" s="4">
        <v>0</v>
      </c>
      <c r="BE78" s="4">
        <v>0</v>
      </c>
      <c r="BF78" s="4">
        <v>0.185567010309278</v>
      </c>
      <c r="BG78" s="4">
        <v>54</v>
      </c>
      <c r="BH78" s="4">
        <v>2686</v>
      </c>
      <c r="BI78" s="4">
        <v>2812</v>
      </c>
      <c r="BJ78" s="4">
        <v>6148</v>
      </c>
      <c r="BK78" s="4">
        <v>238</v>
      </c>
      <c r="BL78" s="4">
        <v>1054</v>
      </c>
      <c r="BM78" s="4">
        <v>0</v>
      </c>
      <c r="BN78" s="4">
        <v>0</v>
      </c>
      <c r="BO78" s="4">
        <v>18</v>
      </c>
      <c r="BP78" s="4">
        <v>79</v>
      </c>
      <c r="BQ78" s="4">
        <v>0</v>
      </c>
      <c r="BR78" s="4">
        <v>0</v>
      </c>
      <c r="BS78" s="4">
        <v>0</v>
      </c>
      <c r="BT78" s="4">
        <v>0.185567010309278</v>
      </c>
      <c r="BU78" s="4">
        <v>47</v>
      </c>
      <c r="BV78" s="4">
        <v>2056</v>
      </c>
      <c r="BW78" s="4">
        <v>1013</v>
      </c>
      <c r="BX78" s="4">
        <v>7555</v>
      </c>
      <c r="BY78" s="4">
        <v>1050</v>
      </c>
      <c r="BZ78" s="4">
        <v>1264</v>
      </c>
      <c r="CA78" s="4">
        <v>0</v>
      </c>
      <c r="CB78">
        <v>13146.735654425647</v>
      </c>
      <c r="CC78" t="s">
        <v>687</v>
      </c>
      <c r="CD78" t="s">
        <v>687</v>
      </c>
      <c r="CE78" t="s">
        <v>687</v>
      </c>
      <c r="CF78" t="s">
        <v>687</v>
      </c>
      <c r="CG78" t="s">
        <v>687</v>
      </c>
      <c r="CH78">
        <v>2</v>
      </c>
      <c r="CI78">
        <v>0</v>
      </c>
      <c r="CJ78">
        <v>0</v>
      </c>
      <c r="CK78">
        <v>0</v>
      </c>
      <c r="CL78">
        <v>0</v>
      </c>
      <c r="CM78">
        <v>0</v>
      </c>
      <c r="CN78">
        <v>1840542.9916195907</v>
      </c>
      <c r="CO78">
        <v>140</v>
      </c>
      <c r="CP78">
        <v>0</v>
      </c>
      <c r="CQ78">
        <v>0</v>
      </c>
      <c r="CR78">
        <v>0</v>
      </c>
      <c r="CS78">
        <v>0</v>
      </c>
      <c r="CT78">
        <v>0</v>
      </c>
      <c r="CU78">
        <v>0</v>
      </c>
      <c r="CV78">
        <v>0</v>
      </c>
      <c r="CW78">
        <v>0</v>
      </c>
      <c r="CX78">
        <v>0</v>
      </c>
      <c r="CY78">
        <v>0</v>
      </c>
      <c r="CZ78" s="246">
        <v>0.19783576228292171</v>
      </c>
      <c r="DA78" s="246">
        <v>0.75402252614641996</v>
      </c>
      <c r="DB78" s="123">
        <v>15720388.77</v>
      </c>
      <c r="DC78" s="174">
        <v>95.5</v>
      </c>
      <c r="DD78" s="174">
        <v>2.5</v>
      </c>
      <c r="DE78" s="174">
        <v>0.5</v>
      </c>
      <c r="DF78" s="174">
        <v>77.2</v>
      </c>
      <c r="DG78" s="174">
        <v>9.6</v>
      </c>
      <c r="DH78" s="174">
        <v>4.8</v>
      </c>
      <c r="DI78" s="174">
        <v>98.5</v>
      </c>
      <c r="DJ78" s="174">
        <v>91.6</v>
      </c>
    </row>
    <row r="79" spans="1:114" x14ac:dyDescent="0.45">
      <c r="A79">
        <v>807</v>
      </c>
      <c r="B79" s="247">
        <v>-1.46594101123595E-2</v>
      </c>
      <c r="C79" s="169">
        <v>-7.5491573033707902E-3</v>
      </c>
      <c r="D79" s="169">
        <v>7.58989672763469E-3</v>
      </c>
      <c r="E79" s="169">
        <v>-3.48388702252084E-3</v>
      </c>
      <c r="F79" s="206">
        <v>424</v>
      </c>
      <c r="G79" s="206">
        <v>0</v>
      </c>
      <c r="H79" s="206">
        <v>10</v>
      </c>
      <c r="I79" s="206">
        <v>10</v>
      </c>
      <c r="J79" s="189">
        <v>0.113223829532548</v>
      </c>
      <c r="K79" s="189">
        <v>0.117996882874919</v>
      </c>
      <c r="L79" s="206">
        <v>0</v>
      </c>
      <c r="M79" s="206">
        <v>0</v>
      </c>
      <c r="N79" s="4">
        <v>38</v>
      </c>
      <c r="O79" s="4">
        <v>46</v>
      </c>
      <c r="P79" s="4">
        <v>0</v>
      </c>
      <c r="Q79" s="4">
        <v>0</v>
      </c>
      <c r="R79" s="4">
        <v>0</v>
      </c>
      <c r="S79" s="4">
        <v>2868</v>
      </c>
      <c r="T79" s="4">
        <v>9152</v>
      </c>
      <c r="U79" s="4">
        <v>606</v>
      </c>
      <c r="V79" s="4">
        <v>0</v>
      </c>
      <c r="W79" s="4">
        <v>0</v>
      </c>
      <c r="X79" s="4">
        <v>1</v>
      </c>
      <c r="Y79" s="4">
        <v>1</v>
      </c>
      <c r="Z79" s="4">
        <v>0</v>
      </c>
      <c r="AA79" s="4">
        <v>0</v>
      </c>
      <c r="AB79" s="4">
        <v>0</v>
      </c>
      <c r="AC79" s="4">
        <v>0</v>
      </c>
      <c r="AD79" s="4">
        <v>0</v>
      </c>
      <c r="AE79" s="4">
        <v>806</v>
      </c>
      <c r="AF79" s="4">
        <v>2238</v>
      </c>
      <c r="AG79" s="4">
        <v>1362</v>
      </c>
      <c r="AH79" s="4">
        <v>2993</v>
      </c>
      <c r="AI79" s="4">
        <v>0</v>
      </c>
      <c r="AJ79" s="4" t="s">
        <v>709</v>
      </c>
      <c r="AK79" s="4" t="s">
        <v>709</v>
      </c>
      <c r="AL79" s="4">
        <v>0</v>
      </c>
      <c r="AM79" s="4">
        <v>0</v>
      </c>
      <c r="AN79" s="4">
        <v>0</v>
      </c>
      <c r="AO79" s="4">
        <v>0</v>
      </c>
      <c r="AP79" s="4">
        <v>0</v>
      </c>
      <c r="AQ79" s="4">
        <v>0</v>
      </c>
      <c r="AR79" s="4" t="s">
        <v>709</v>
      </c>
      <c r="AS79" s="4" t="s">
        <v>709</v>
      </c>
      <c r="AT79" s="4">
        <v>806</v>
      </c>
      <c r="AU79" s="4">
        <v>0</v>
      </c>
      <c r="AV79" s="4">
        <v>563</v>
      </c>
      <c r="AW79" s="4">
        <v>1675</v>
      </c>
      <c r="AX79" s="4">
        <v>4355</v>
      </c>
      <c r="AY79" s="4">
        <v>0</v>
      </c>
      <c r="AZ79" s="4">
        <v>38</v>
      </c>
      <c r="BA79" s="4">
        <v>0</v>
      </c>
      <c r="BB79" s="4">
        <v>30</v>
      </c>
      <c r="BC79" s="4">
        <v>0</v>
      </c>
      <c r="BD79" s="4">
        <v>16</v>
      </c>
      <c r="BE79" s="4">
        <v>0</v>
      </c>
      <c r="BF79" s="4">
        <v>0.452380952380952</v>
      </c>
      <c r="BG79" s="4">
        <v>27</v>
      </c>
      <c r="BH79" s="4">
        <v>3344</v>
      </c>
      <c r="BI79" s="4">
        <v>2545</v>
      </c>
      <c r="BJ79" s="4">
        <v>4156</v>
      </c>
      <c r="BK79" s="4">
        <v>984</v>
      </c>
      <c r="BL79" s="4">
        <v>834</v>
      </c>
      <c r="BM79" s="4">
        <v>763</v>
      </c>
      <c r="BN79" s="4">
        <v>0</v>
      </c>
      <c r="BO79" s="4">
        <v>0</v>
      </c>
      <c r="BP79" s="4">
        <v>84</v>
      </c>
      <c r="BQ79" s="4">
        <v>0</v>
      </c>
      <c r="BR79" s="4">
        <v>0</v>
      </c>
      <c r="BS79" s="4">
        <v>0</v>
      </c>
      <c r="BT79" s="4">
        <v>0</v>
      </c>
      <c r="BU79" s="4">
        <v>69</v>
      </c>
      <c r="BV79" s="4">
        <v>1690</v>
      </c>
      <c r="BW79" s="4">
        <v>1302</v>
      </c>
      <c r="BX79" s="4">
        <v>7737</v>
      </c>
      <c r="BY79" s="4">
        <v>210</v>
      </c>
      <c r="BZ79" s="4">
        <v>924</v>
      </c>
      <c r="CA79" s="4">
        <v>763</v>
      </c>
      <c r="CB79">
        <v>15059.738804911338</v>
      </c>
      <c r="CC79" t="s">
        <v>687</v>
      </c>
      <c r="CD79" t="s">
        <v>687</v>
      </c>
      <c r="CE79" t="s">
        <v>687</v>
      </c>
      <c r="CF79" t="s">
        <v>687</v>
      </c>
      <c r="CG79" t="s">
        <v>687</v>
      </c>
      <c r="CH79">
        <v>2</v>
      </c>
      <c r="CI79">
        <v>0</v>
      </c>
      <c r="CJ79">
        <v>0</v>
      </c>
      <c r="CK79">
        <v>0</v>
      </c>
      <c r="CL79">
        <v>0</v>
      </c>
      <c r="CM79">
        <v>0</v>
      </c>
      <c r="CN79">
        <v>2243901.0819317894</v>
      </c>
      <c r="CO79">
        <v>149</v>
      </c>
      <c r="CP79">
        <v>0</v>
      </c>
      <c r="CQ79">
        <v>0</v>
      </c>
      <c r="CR79">
        <v>0</v>
      </c>
      <c r="CS79">
        <v>0</v>
      </c>
      <c r="CT79">
        <v>0</v>
      </c>
      <c r="CU79">
        <v>0</v>
      </c>
      <c r="CV79">
        <v>0</v>
      </c>
      <c r="CW79">
        <v>0</v>
      </c>
      <c r="CX79">
        <v>0</v>
      </c>
      <c r="CY79">
        <v>0</v>
      </c>
      <c r="CZ79" s="246">
        <v>8.0578710357382385E-2</v>
      </c>
      <c r="DA79" s="246">
        <v>-0.10260621988611476</v>
      </c>
      <c r="DB79" s="123">
        <v>4621265.5699999994</v>
      </c>
      <c r="DC79" s="174">
        <v>98.4</v>
      </c>
      <c r="DD79" s="174">
        <v>0.7</v>
      </c>
      <c r="DE79" s="174">
        <v>0.1</v>
      </c>
      <c r="DF79" s="174">
        <v>86.6</v>
      </c>
      <c r="DG79" s="174">
        <v>7.3</v>
      </c>
      <c r="DH79" s="174">
        <v>2</v>
      </c>
      <c r="DI79" s="174">
        <v>99.2</v>
      </c>
      <c r="DJ79" s="174">
        <v>95.9</v>
      </c>
    </row>
    <row r="80" spans="1:114" x14ac:dyDescent="0.45">
      <c r="A80">
        <v>808</v>
      </c>
      <c r="B80" s="247">
        <v>2.9072105716748099E-2</v>
      </c>
      <c r="C80" s="169">
        <v>-1.56851479459925E-2</v>
      </c>
      <c r="D80" s="169">
        <v>7.5350852406517801E-2</v>
      </c>
      <c r="E80" s="169">
        <v>2.0721484411792401E-3</v>
      </c>
      <c r="F80" s="206">
        <v>3573</v>
      </c>
      <c r="G80" s="206">
        <v>0</v>
      </c>
      <c r="H80" s="206">
        <v>0</v>
      </c>
      <c r="I80" s="206">
        <v>30</v>
      </c>
      <c r="J80" s="189">
        <v>0.126371367535555</v>
      </c>
      <c r="K80" s="189">
        <v>6.4901941420835899E-2</v>
      </c>
      <c r="L80" s="206">
        <v>0</v>
      </c>
      <c r="M80" s="206">
        <v>500</v>
      </c>
      <c r="N80" s="4">
        <v>0</v>
      </c>
      <c r="O80" s="4">
        <v>0</v>
      </c>
      <c r="P80" s="4">
        <v>0</v>
      </c>
      <c r="Q80" s="4">
        <v>0</v>
      </c>
      <c r="R80" s="4">
        <v>0</v>
      </c>
      <c r="S80" s="4">
        <v>3764</v>
      </c>
      <c r="T80" s="4">
        <v>14256</v>
      </c>
      <c r="U80" s="4">
        <v>1362</v>
      </c>
      <c r="V80" s="4">
        <v>0</v>
      </c>
      <c r="W80" s="4">
        <v>0</v>
      </c>
      <c r="X80" s="4" t="s">
        <v>709</v>
      </c>
      <c r="Y80" s="4" t="s">
        <v>709</v>
      </c>
      <c r="Z80" s="4">
        <v>0</v>
      </c>
      <c r="AA80" s="4">
        <v>240</v>
      </c>
      <c r="AB80" s="4">
        <v>0</v>
      </c>
      <c r="AC80" s="4">
        <v>0</v>
      </c>
      <c r="AD80" s="4">
        <v>0</v>
      </c>
      <c r="AE80" s="4">
        <v>3025</v>
      </c>
      <c r="AF80" s="4">
        <v>7343</v>
      </c>
      <c r="AG80" s="4">
        <v>1050</v>
      </c>
      <c r="AH80" s="4">
        <v>555</v>
      </c>
      <c r="AI80" s="4">
        <v>0</v>
      </c>
      <c r="AJ80" s="4">
        <v>1</v>
      </c>
      <c r="AK80" s="4">
        <v>1</v>
      </c>
      <c r="AL80" s="4">
        <v>0</v>
      </c>
      <c r="AM80" s="4">
        <v>0</v>
      </c>
      <c r="AN80" s="4">
        <v>0</v>
      </c>
      <c r="AO80" s="4">
        <v>240</v>
      </c>
      <c r="AP80" s="4">
        <v>0</v>
      </c>
      <c r="AQ80" s="4">
        <v>0</v>
      </c>
      <c r="AR80" s="4">
        <v>0</v>
      </c>
      <c r="AS80" s="4">
        <v>74</v>
      </c>
      <c r="AT80" s="4">
        <v>1050</v>
      </c>
      <c r="AU80" s="4">
        <v>750</v>
      </c>
      <c r="AV80" s="4">
        <v>6043</v>
      </c>
      <c r="AW80" s="4">
        <v>3575</v>
      </c>
      <c r="AX80" s="4">
        <v>555</v>
      </c>
      <c r="AY80" s="4">
        <v>0</v>
      </c>
      <c r="AZ80" s="4">
        <v>0</v>
      </c>
      <c r="BA80" s="4">
        <v>0</v>
      </c>
      <c r="BB80" s="4">
        <v>0</v>
      </c>
      <c r="BC80" s="4">
        <v>0</v>
      </c>
      <c r="BD80" s="4">
        <v>0</v>
      </c>
      <c r="BE80" s="4">
        <v>0</v>
      </c>
      <c r="BF80" s="4" t="s">
        <v>709</v>
      </c>
      <c r="BG80" s="4" t="s">
        <v>709</v>
      </c>
      <c r="BH80" s="4">
        <v>1585</v>
      </c>
      <c r="BI80" s="4">
        <v>4851</v>
      </c>
      <c r="BJ80" s="4">
        <v>9426</v>
      </c>
      <c r="BK80" s="4">
        <v>1455</v>
      </c>
      <c r="BL80" s="4">
        <v>420</v>
      </c>
      <c r="BM80" s="4">
        <v>1645</v>
      </c>
      <c r="BN80" s="4">
        <v>0</v>
      </c>
      <c r="BO80" s="4">
        <v>0</v>
      </c>
      <c r="BP80" s="4">
        <v>0</v>
      </c>
      <c r="BQ80" s="4">
        <v>0</v>
      </c>
      <c r="BR80" s="4">
        <v>0</v>
      </c>
      <c r="BS80" s="4">
        <v>0</v>
      </c>
      <c r="BT80" s="4" t="s">
        <v>709</v>
      </c>
      <c r="BU80" s="4" t="s">
        <v>709</v>
      </c>
      <c r="BV80" s="4">
        <v>1533</v>
      </c>
      <c r="BW80" s="4">
        <v>3111</v>
      </c>
      <c r="BX80" s="4">
        <v>11673</v>
      </c>
      <c r="BY80" s="4">
        <v>805</v>
      </c>
      <c r="BZ80" s="4">
        <v>615</v>
      </c>
      <c r="CA80" s="4">
        <v>1645</v>
      </c>
      <c r="CB80">
        <v>13261.554203446722</v>
      </c>
      <c r="CC80">
        <v>11103.234967232631</v>
      </c>
      <c r="CD80" t="s">
        <v>687</v>
      </c>
      <c r="CE80" t="s">
        <v>687</v>
      </c>
      <c r="CF80" t="s">
        <v>687</v>
      </c>
      <c r="CG80" t="s">
        <v>687</v>
      </c>
      <c r="CH80">
        <v>7</v>
      </c>
      <c r="CI80">
        <v>3</v>
      </c>
      <c r="CJ80">
        <v>0</v>
      </c>
      <c r="CK80">
        <v>0</v>
      </c>
      <c r="CL80">
        <v>0</v>
      </c>
      <c r="CM80">
        <v>0</v>
      </c>
      <c r="CN80">
        <v>11537552.156998647</v>
      </c>
      <c r="CO80">
        <v>870</v>
      </c>
      <c r="CP80">
        <v>555161.74836163153</v>
      </c>
      <c r="CQ80">
        <v>50</v>
      </c>
      <c r="CR80">
        <v>0</v>
      </c>
      <c r="CS80">
        <v>0</v>
      </c>
      <c r="CT80">
        <v>0</v>
      </c>
      <c r="CU80">
        <v>0</v>
      </c>
      <c r="CV80">
        <v>0</v>
      </c>
      <c r="CW80">
        <v>0</v>
      </c>
      <c r="CX80">
        <v>0</v>
      </c>
      <c r="CY80">
        <v>0</v>
      </c>
      <c r="CZ80" s="246">
        <v>0.18478931140801644</v>
      </c>
      <c r="DA80" s="246">
        <v>0.10386139526310939</v>
      </c>
      <c r="DB80" s="123">
        <v>61591277.460000001</v>
      </c>
      <c r="DC80" s="174">
        <v>96.7</v>
      </c>
      <c r="DD80" s="174">
        <v>2.1</v>
      </c>
      <c r="DE80" s="174">
        <v>0.4</v>
      </c>
      <c r="DF80" s="174">
        <v>85.3</v>
      </c>
      <c r="DG80" s="174">
        <v>8.9</v>
      </c>
      <c r="DH80" s="174">
        <v>2.1</v>
      </c>
      <c r="DI80" s="174">
        <v>99.2</v>
      </c>
      <c r="DJ80" s="174">
        <v>96.2</v>
      </c>
    </row>
    <row r="81" spans="1:114" x14ac:dyDescent="0.45">
      <c r="A81">
        <v>810</v>
      </c>
      <c r="B81" s="247">
        <v>1.10327132777421E-2</v>
      </c>
      <c r="C81" s="169">
        <v>2.8650844558477701E-3</v>
      </c>
      <c r="D81" s="169">
        <v>3.0906903293728399E-2</v>
      </c>
      <c r="E81" s="169">
        <v>2.2860580538426802E-2</v>
      </c>
      <c r="F81" s="206">
        <v>4729</v>
      </c>
      <c r="G81" s="206">
        <v>855</v>
      </c>
      <c r="H81" s="206">
        <v>30</v>
      </c>
      <c r="I81" s="206">
        <v>370</v>
      </c>
      <c r="J81" s="189">
        <v>9.1092176290465898E-2</v>
      </c>
      <c r="K81" s="189">
        <v>4.7995173770292297E-2</v>
      </c>
      <c r="L81" s="206">
        <v>315</v>
      </c>
      <c r="M81" s="206">
        <v>510</v>
      </c>
      <c r="N81" s="4">
        <v>0</v>
      </c>
      <c r="O81" s="4">
        <v>255</v>
      </c>
      <c r="P81" s="4">
        <v>185</v>
      </c>
      <c r="Q81" s="4">
        <v>0</v>
      </c>
      <c r="R81" s="4">
        <v>0</v>
      </c>
      <c r="S81" s="4">
        <v>5175</v>
      </c>
      <c r="T81" s="4">
        <v>15700</v>
      </c>
      <c r="U81" s="4">
        <v>3140</v>
      </c>
      <c r="V81" s="4">
        <v>420</v>
      </c>
      <c r="W81" s="4">
        <v>0</v>
      </c>
      <c r="X81" s="4">
        <v>0.57954545454545503</v>
      </c>
      <c r="Y81" s="4">
        <v>111</v>
      </c>
      <c r="Z81" s="4">
        <v>0</v>
      </c>
      <c r="AA81" s="4">
        <v>100</v>
      </c>
      <c r="AB81" s="4">
        <v>0</v>
      </c>
      <c r="AC81" s="4">
        <v>0</v>
      </c>
      <c r="AD81" s="4">
        <v>300</v>
      </c>
      <c r="AE81" s="4">
        <v>3450</v>
      </c>
      <c r="AF81" s="4">
        <v>5950</v>
      </c>
      <c r="AG81" s="4">
        <v>5900</v>
      </c>
      <c r="AH81" s="4">
        <v>0</v>
      </c>
      <c r="AI81" s="4">
        <v>300</v>
      </c>
      <c r="AJ81" s="4">
        <v>1</v>
      </c>
      <c r="AK81" s="4">
        <v>1</v>
      </c>
      <c r="AL81" s="4">
        <v>0</v>
      </c>
      <c r="AM81" s="4">
        <v>0</v>
      </c>
      <c r="AN81" s="4">
        <v>100</v>
      </c>
      <c r="AO81" s="4">
        <v>0</v>
      </c>
      <c r="AP81" s="4">
        <v>0</v>
      </c>
      <c r="AQ81" s="4">
        <v>300</v>
      </c>
      <c r="AR81" s="4">
        <v>0</v>
      </c>
      <c r="AS81" s="4">
        <v>74</v>
      </c>
      <c r="AT81" s="4">
        <v>3300</v>
      </c>
      <c r="AU81" s="4">
        <v>600</v>
      </c>
      <c r="AV81" s="4">
        <v>6850</v>
      </c>
      <c r="AW81" s="4">
        <v>3200</v>
      </c>
      <c r="AX81" s="4">
        <v>1350</v>
      </c>
      <c r="AY81" s="4">
        <v>300</v>
      </c>
      <c r="AZ81" s="4">
        <v>0</v>
      </c>
      <c r="BA81" s="4">
        <v>60</v>
      </c>
      <c r="BB81" s="4">
        <v>380</v>
      </c>
      <c r="BC81" s="4">
        <v>0</v>
      </c>
      <c r="BD81" s="4">
        <v>0</v>
      </c>
      <c r="BE81" s="4">
        <v>0</v>
      </c>
      <c r="BF81" s="4">
        <v>0.13636363636363599</v>
      </c>
      <c r="BG81" s="4">
        <v>59</v>
      </c>
      <c r="BH81" s="4">
        <v>4890</v>
      </c>
      <c r="BI81" s="4">
        <v>5285</v>
      </c>
      <c r="BJ81" s="4">
        <v>12545</v>
      </c>
      <c r="BK81" s="4">
        <v>1400</v>
      </c>
      <c r="BL81" s="4">
        <v>0</v>
      </c>
      <c r="BM81" s="4">
        <v>315</v>
      </c>
      <c r="BN81" s="4">
        <v>35</v>
      </c>
      <c r="BO81" s="4">
        <v>0</v>
      </c>
      <c r="BP81" s="4">
        <v>405</v>
      </c>
      <c r="BQ81" s="4">
        <v>0</v>
      </c>
      <c r="BR81" s="4">
        <v>0</v>
      </c>
      <c r="BS81" s="4">
        <v>0</v>
      </c>
      <c r="BT81" s="4">
        <v>7.9545454545454503E-2</v>
      </c>
      <c r="BU81" s="4">
        <v>63</v>
      </c>
      <c r="BV81" s="4">
        <v>5295</v>
      </c>
      <c r="BW81" s="4">
        <v>5920</v>
      </c>
      <c r="BX81" s="4">
        <v>10660</v>
      </c>
      <c r="BY81" s="4">
        <v>1370</v>
      </c>
      <c r="BZ81" s="4">
        <v>1190</v>
      </c>
      <c r="CA81" s="4">
        <v>0</v>
      </c>
      <c r="CB81">
        <v>9125.5119824210105</v>
      </c>
      <c r="CC81">
        <v>6798.6686026638727</v>
      </c>
      <c r="CD81">
        <v>6383.7961672643087</v>
      </c>
      <c r="CE81" t="s">
        <v>687</v>
      </c>
      <c r="CF81" t="s">
        <v>687</v>
      </c>
      <c r="CG81" t="s">
        <v>687</v>
      </c>
      <c r="CH81">
        <v>7</v>
      </c>
      <c r="CI81">
        <v>2</v>
      </c>
      <c r="CJ81">
        <v>2</v>
      </c>
      <c r="CK81">
        <v>0</v>
      </c>
      <c r="CL81">
        <v>0</v>
      </c>
      <c r="CM81">
        <v>0</v>
      </c>
      <c r="CN81">
        <v>4498877.4073335584</v>
      </c>
      <c r="CO81">
        <v>493</v>
      </c>
      <c r="CP81">
        <v>373926.77314651298</v>
      </c>
      <c r="CQ81">
        <v>55</v>
      </c>
      <c r="CR81">
        <v>1787462.9268340063</v>
      </c>
      <c r="CS81">
        <v>280</v>
      </c>
      <c r="CT81">
        <v>0</v>
      </c>
      <c r="CU81">
        <v>0</v>
      </c>
      <c r="CV81">
        <v>0</v>
      </c>
      <c r="CW81">
        <v>0</v>
      </c>
      <c r="CX81">
        <v>0</v>
      </c>
      <c r="CY81">
        <v>0</v>
      </c>
      <c r="CZ81" s="246">
        <v>0.27002919234511841</v>
      </c>
      <c r="DA81" s="246">
        <v>0.29763861257676671</v>
      </c>
      <c r="DB81" s="123">
        <v>49322209.439999998</v>
      </c>
      <c r="DC81" s="174">
        <v>93.2</v>
      </c>
      <c r="DD81" s="174">
        <v>4.2</v>
      </c>
      <c r="DE81" s="174">
        <v>0.7</v>
      </c>
      <c r="DF81" s="174">
        <v>87.6</v>
      </c>
      <c r="DG81" s="174">
        <v>6.2</v>
      </c>
      <c r="DH81" s="174">
        <v>2.2999999999999998</v>
      </c>
      <c r="DI81" s="174">
        <v>98.2</v>
      </c>
      <c r="DJ81" s="174">
        <v>96.1</v>
      </c>
    </row>
    <row r="82" spans="1:114" x14ac:dyDescent="0.45">
      <c r="A82">
        <v>811</v>
      </c>
      <c r="B82" s="247">
        <v>-7.6870447136475201E-3</v>
      </c>
      <c r="C82" s="169">
        <v>-3.46118243651145E-3</v>
      </c>
      <c r="D82" s="169">
        <v>8.5748792270531407E-3</v>
      </c>
      <c r="E82" s="169">
        <v>4.1062801932367204E-3</v>
      </c>
      <c r="F82" s="206">
        <v>466</v>
      </c>
      <c r="G82" s="206">
        <v>891</v>
      </c>
      <c r="H82" s="206">
        <v>120</v>
      </c>
      <c r="I82" s="206">
        <v>30</v>
      </c>
      <c r="J82" s="189">
        <v>0.14841265149112701</v>
      </c>
      <c r="K82" s="189">
        <v>0.25527530517789798</v>
      </c>
      <c r="L82" s="206">
        <v>0</v>
      </c>
      <c r="M82" s="206">
        <v>0</v>
      </c>
      <c r="N82" s="4">
        <v>0</v>
      </c>
      <c r="O82" s="4">
        <v>207</v>
      </c>
      <c r="P82" s="4">
        <v>0</v>
      </c>
      <c r="Q82" s="4">
        <v>0</v>
      </c>
      <c r="R82" s="4">
        <v>0</v>
      </c>
      <c r="S82" s="4">
        <v>3481</v>
      </c>
      <c r="T82" s="4">
        <v>19472</v>
      </c>
      <c r="U82" s="4">
        <v>3688</v>
      </c>
      <c r="V82" s="4">
        <v>210</v>
      </c>
      <c r="W82" s="4">
        <v>0</v>
      </c>
      <c r="X82" s="4">
        <v>1</v>
      </c>
      <c r="Y82" s="4">
        <v>1</v>
      </c>
      <c r="Z82" s="4">
        <v>0</v>
      </c>
      <c r="AA82" s="4">
        <v>123</v>
      </c>
      <c r="AB82" s="4">
        <v>0</v>
      </c>
      <c r="AC82" s="4">
        <v>0</v>
      </c>
      <c r="AD82" s="4">
        <v>0</v>
      </c>
      <c r="AE82" s="4">
        <v>2232</v>
      </c>
      <c r="AF82" s="4">
        <v>13692</v>
      </c>
      <c r="AG82" s="4">
        <v>5131</v>
      </c>
      <c r="AH82" s="4">
        <v>0</v>
      </c>
      <c r="AI82" s="4">
        <v>0</v>
      </c>
      <c r="AJ82" s="4">
        <v>1</v>
      </c>
      <c r="AK82" s="4">
        <v>1</v>
      </c>
      <c r="AL82" s="4">
        <v>0</v>
      </c>
      <c r="AM82" s="4">
        <v>0</v>
      </c>
      <c r="AN82" s="4">
        <v>123</v>
      </c>
      <c r="AO82" s="4">
        <v>0</v>
      </c>
      <c r="AP82" s="4">
        <v>0</v>
      </c>
      <c r="AQ82" s="4">
        <v>0</v>
      </c>
      <c r="AR82" s="4">
        <v>0</v>
      </c>
      <c r="AS82" s="4">
        <v>74</v>
      </c>
      <c r="AT82" s="4">
        <v>940</v>
      </c>
      <c r="AU82" s="4">
        <v>3446</v>
      </c>
      <c r="AV82" s="4">
        <v>12405</v>
      </c>
      <c r="AW82" s="4">
        <v>4264</v>
      </c>
      <c r="AX82" s="4">
        <v>0</v>
      </c>
      <c r="AY82" s="4">
        <v>0</v>
      </c>
      <c r="AZ82" s="4">
        <v>0</v>
      </c>
      <c r="BA82" s="4">
        <v>16</v>
      </c>
      <c r="BB82" s="4">
        <v>144</v>
      </c>
      <c r="BC82" s="4">
        <v>47</v>
      </c>
      <c r="BD82" s="4">
        <v>0</v>
      </c>
      <c r="BE82" s="4">
        <v>0</v>
      </c>
      <c r="BF82" s="4">
        <v>7.7294685990338202E-2</v>
      </c>
      <c r="BG82" s="4">
        <v>64</v>
      </c>
      <c r="BH82" s="4">
        <v>1238</v>
      </c>
      <c r="BI82" s="4">
        <v>823</v>
      </c>
      <c r="BJ82" s="4">
        <v>16148</v>
      </c>
      <c r="BK82" s="4">
        <v>4687</v>
      </c>
      <c r="BL82" s="4">
        <v>1763</v>
      </c>
      <c r="BM82" s="4">
        <v>2192</v>
      </c>
      <c r="BN82" s="4">
        <v>0</v>
      </c>
      <c r="BO82" s="4">
        <v>16</v>
      </c>
      <c r="BP82" s="4">
        <v>113</v>
      </c>
      <c r="BQ82" s="4">
        <v>0</v>
      </c>
      <c r="BR82" s="4">
        <v>78</v>
      </c>
      <c r="BS82" s="4">
        <v>0</v>
      </c>
      <c r="BT82" s="4">
        <v>7.7294685990338202E-2</v>
      </c>
      <c r="BU82" s="4">
        <v>64</v>
      </c>
      <c r="BV82" s="4">
        <v>1577</v>
      </c>
      <c r="BW82" s="4">
        <v>676</v>
      </c>
      <c r="BX82" s="4">
        <v>16655</v>
      </c>
      <c r="BY82" s="4">
        <v>2928</v>
      </c>
      <c r="BZ82" s="4">
        <v>2823</v>
      </c>
      <c r="CA82" s="4">
        <v>2192</v>
      </c>
      <c r="CB82">
        <v>10303.588693926809</v>
      </c>
      <c r="CC82">
        <v>5150.731480548</v>
      </c>
      <c r="CD82" t="s">
        <v>687</v>
      </c>
      <c r="CE82" t="s">
        <v>687</v>
      </c>
      <c r="CF82" t="s">
        <v>687</v>
      </c>
      <c r="CG82" t="s">
        <v>687</v>
      </c>
      <c r="CH82">
        <v>11</v>
      </c>
      <c r="CI82">
        <v>1</v>
      </c>
      <c r="CJ82">
        <v>0</v>
      </c>
      <c r="CK82">
        <v>0</v>
      </c>
      <c r="CL82">
        <v>0</v>
      </c>
      <c r="CM82">
        <v>0</v>
      </c>
      <c r="CN82">
        <v>4193560.5984282116</v>
      </c>
      <c r="CO82">
        <v>407</v>
      </c>
      <c r="CP82">
        <v>154521.94441644</v>
      </c>
      <c r="CQ82">
        <v>30</v>
      </c>
      <c r="CR82">
        <v>0</v>
      </c>
      <c r="CS82">
        <v>0</v>
      </c>
      <c r="CT82">
        <v>0</v>
      </c>
      <c r="CU82">
        <v>0</v>
      </c>
      <c r="CV82">
        <v>0</v>
      </c>
      <c r="CW82">
        <v>0</v>
      </c>
      <c r="CX82">
        <v>0</v>
      </c>
      <c r="CY82">
        <v>0</v>
      </c>
      <c r="CZ82" s="246">
        <v>3.7440289193957914E-2</v>
      </c>
      <c r="DA82" s="246">
        <v>-0.12177805216854452</v>
      </c>
      <c r="DB82" s="123">
        <v>17296644.670000002</v>
      </c>
      <c r="DC82" s="174">
        <v>96.2</v>
      </c>
      <c r="DD82" s="174">
        <v>2.2000000000000002</v>
      </c>
      <c r="DE82" s="174">
        <v>0.4</v>
      </c>
      <c r="DF82" s="174">
        <v>94.1</v>
      </c>
      <c r="DG82" s="174">
        <v>3.2</v>
      </c>
      <c r="DH82" s="174">
        <v>0.4</v>
      </c>
      <c r="DI82" s="174">
        <v>98.8</v>
      </c>
      <c r="DJ82" s="174">
        <v>97.7</v>
      </c>
    </row>
    <row r="83" spans="1:114" x14ac:dyDescent="0.45">
      <c r="A83">
        <v>812</v>
      </c>
      <c r="B83" s="247">
        <v>2.3432923257176298E-3</v>
      </c>
      <c r="C83" s="169">
        <v>1.31810193321617E-2</v>
      </c>
      <c r="D83" s="169">
        <v>9.6805896805896796E-2</v>
      </c>
      <c r="E83" s="169">
        <v>4.6314496314496301E-2</v>
      </c>
      <c r="F83" s="206">
        <v>1456</v>
      </c>
      <c r="G83" s="206">
        <v>0</v>
      </c>
      <c r="H83" s="206">
        <v>90</v>
      </c>
      <c r="I83" s="206">
        <v>30</v>
      </c>
      <c r="J83" s="189">
        <v>9.9487866807444203E-2</v>
      </c>
      <c r="K83" s="189">
        <v>5.2769966030498001E-2</v>
      </c>
      <c r="L83" s="206">
        <v>45</v>
      </c>
      <c r="M83" s="206">
        <v>0</v>
      </c>
      <c r="N83" s="4">
        <v>0</v>
      </c>
      <c r="O83" s="4">
        <v>0</v>
      </c>
      <c r="P83" s="4">
        <v>0</v>
      </c>
      <c r="Q83" s="4">
        <v>0</v>
      </c>
      <c r="R83" s="4">
        <v>0</v>
      </c>
      <c r="S83" s="4">
        <v>1305</v>
      </c>
      <c r="T83" s="4">
        <v>11158</v>
      </c>
      <c r="U83" s="4">
        <v>2175</v>
      </c>
      <c r="V83" s="4">
        <v>420</v>
      </c>
      <c r="W83" s="4">
        <v>0</v>
      </c>
      <c r="X83" s="4" t="s">
        <v>709</v>
      </c>
      <c r="Y83" s="4" t="s">
        <v>709</v>
      </c>
      <c r="Z83" s="4">
        <v>0</v>
      </c>
      <c r="AA83" s="4">
        <v>0</v>
      </c>
      <c r="AB83" s="4">
        <v>0</v>
      </c>
      <c r="AC83" s="4">
        <v>0</v>
      </c>
      <c r="AD83" s="4">
        <v>0</v>
      </c>
      <c r="AE83" s="4">
        <v>4087</v>
      </c>
      <c r="AF83" s="4">
        <v>3200</v>
      </c>
      <c r="AG83" s="4">
        <v>2904</v>
      </c>
      <c r="AH83" s="4">
        <v>0</v>
      </c>
      <c r="AI83" s="4">
        <v>0</v>
      </c>
      <c r="AJ83" s="4" t="s">
        <v>709</v>
      </c>
      <c r="AK83" s="4" t="s">
        <v>709</v>
      </c>
      <c r="AL83" s="4">
        <v>0</v>
      </c>
      <c r="AM83" s="4">
        <v>0</v>
      </c>
      <c r="AN83" s="4">
        <v>0</v>
      </c>
      <c r="AO83" s="4">
        <v>0</v>
      </c>
      <c r="AP83" s="4">
        <v>0</v>
      </c>
      <c r="AQ83" s="4">
        <v>0</v>
      </c>
      <c r="AR83" s="4" t="s">
        <v>709</v>
      </c>
      <c r="AS83" s="4" t="s">
        <v>709</v>
      </c>
      <c r="AT83" s="4">
        <v>750</v>
      </c>
      <c r="AU83" s="4">
        <v>4087</v>
      </c>
      <c r="AV83" s="4">
        <v>2300</v>
      </c>
      <c r="AW83" s="4">
        <v>2104</v>
      </c>
      <c r="AX83" s="4">
        <v>950</v>
      </c>
      <c r="AY83" s="4">
        <v>0</v>
      </c>
      <c r="AZ83" s="4">
        <v>0</v>
      </c>
      <c r="BA83" s="4">
        <v>0</v>
      </c>
      <c r="BB83" s="4">
        <v>0</v>
      </c>
      <c r="BC83" s="4">
        <v>0</v>
      </c>
      <c r="BD83" s="4">
        <v>0</v>
      </c>
      <c r="BE83" s="4">
        <v>0</v>
      </c>
      <c r="BF83" s="4" t="s">
        <v>709</v>
      </c>
      <c r="BG83" s="4" t="s">
        <v>709</v>
      </c>
      <c r="BH83" s="4">
        <v>3405</v>
      </c>
      <c r="BI83" s="4">
        <v>1725</v>
      </c>
      <c r="BJ83" s="4">
        <v>8339</v>
      </c>
      <c r="BK83" s="4">
        <v>329</v>
      </c>
      <c r="BL83" s="4">
        <v>120</v>
      </c>
      <c r="BM83" s="4">
        <v>1140</v>
      </c>
      <c r="BN83" s="4">
        <v>0</v>
      </c>
      <c r="BO83" s="4">
        <v>0</v>
      </c>
      <c r="BP83" s="4">
        <v>0</v>
      </c>
      <c r="BQ83" s="4">
        <v>0</v>
      </c>
      <c r="BR83" s="4">
        <v>0</v>
      </c>
      <c r="BS83" s="4">
        <v>0</v>
      </c>
      <c r="BT83" s="4" t="s">
        <v>709</v>
      </c>
      <c r="BU83" s="4" t="s">
        <v>709</v>
      </c>
      <c r="BV83" s="4">
        <v>1540</v>
      </c>
      <c r="BW83" s="4">
        <v>2040</v>
      </c>
      <c r="BX83" s="4">
        <v>7593</v>
      </c>
      <c r="BY83" s="4">
        <v>1890</v>
      </c>
      <c r="BZ83" s="4">
        <v>855</v>
      </c>
      <c r="CA83" s="4">
        <v>1140</v>
      </c>
      <c r="CB83" t="s">
        <v>687</v>
      </c>
      <c r="CC83" t="s">
        <v>687</v>
      </c>
      <c r="CD83" t="s">
        <v>687</v>
      </c>
      <c r="CE83" t="s">
        <v>687</v>
      </c>
      <c r="CF83" t="s">
        <v>687</v>
      </c>
      <c r="CG83" t="s">
        <v>687</v>
      </c>
      <c r="CH83">
        <v>0</v>
      </c>
      <c r="CI83">
        <v>0</v>
      </c>
      <c r="CJ83">
        <v>0</v>
      </c>
      <c r="CK83">
        <v>0</v>
      </c>
      <c r="CL83">
        <v>0</v>
      </c>
      <c r="CM83">
        <v>0</v>
      </c>
      <c r="CN83">
        <v>0</v>
      </c>
      <c r="CO83">
        <v>0</v>
      </c>
      <c r="CP83">
        <v>0</v>
      </c>
      <c r="CQ83">
        <v>0</v>
      </c>
      <c r="CR83">
        <v>0</v>
      </c>
      <c r="CS83">
        <v>0</v>
      </c>
      <c r="CT83">
        <v>0</v>
      </c>
      <c r="CU83">
        <v>0</v>
      </c>
      <c r="CV83">
        <v>0</v>
      </c>
      <c r="CW83">
        <v>0</v>
      </c>
      <c r="CX83">
        <v>0</v>
      </c>
      <c r="CY83">
        <v>0</v>
      </c>
      <c r="CZ83" s="246">
        <v>0.12874226804123712</v>
      </c>
      <c r="DA83" s="246">
        <v>0.34234620886981404</v>
      </c>
      <c r="DB83" s="123">
        <v>16391675.26</v>
      </c>
      <c r="DC83" s="174">
        <v>94.6</v>
      </c>
      <c r="DD83" s="174">
        <v>3</v>
      </c>
      <c r="DE83" s="174">
        <v>0.5</v>
      </c>
      <c r="DF83" s="174">
        <v>90.3</v>
      </c>
      <c r="DG83" s="174">
        <v>7</v>
      </c>
      <c r="DH83" s="174">
        <v>1.1000000000000001</v>
      </c>
      <c r="DI83" s="174">
        <v>98.1</v>
      </c>
      <c r="DJ83" s="174">
        <v>98.5</v>
      </c>
    </row>
    <row r="84" spans="1:114" x14ac:dyDescent="0.45">
      <c r="A84">
        <v>813</v>
      </c>
      <c r="B84" s="247">
        <v>6.1768766804738001E-3</v>
      </c>
      <c r="C84" s="169">
        <v>1.05370249255141E-2</v>
      </c>
      <c r="D84" s="169">
        <v>-4.5411342274791402E-3</v>
      </c>
      <c r="E84" s="169">
        <v>1.79533213644524E-2</v>
      </c>
      <c r="F84" s="206">
        <v>933</v>
      </c>
      <c r="G84" s="206">
        <v>24</v>
      </c>
      <c r="H84" s="206">
        <v>110</v>
      </c>
      <c r="I84" s="206">
        <v>120</v>
      </c>
      <c r="J84" s="189">
        <v>0.101801343775514</v>
      </c>
      <c r="K84" s="189">
        <v>9.2404631104121199E-2</v>
      </c>
      <c r="L84" s="206">
        <v>45</v>
      </c>
      <c r="M84" s="206">
        <v>30</v>
      </c>
      <c r="N84" s="4">
        <v>0</v>
      </c>
      <c r="O84" s="4">
        <v>0</v>
      </c>
      <c r="P84" s="4">
        <v>0</v>
      </c>
      <c r="Q84" s="4">
        <v>0</v>
      </c>
      <c r="R84" s="4">
        <v>0</v>
      </c>
      <c r="S84" s="4">
        <v>2104</v>
      </c>
      <c r="T84" s="4">
        <v>10961</v>
      </c>
      <c r="U84" s="4">
        <v>1445</v>
      </c>
      <c r="V84" s="4">
        <v>0</v>
      </c>
      <c r="W84" s="4">
        <v>0</v>
      </c>
      <c r="X84" s="4" t="s">
        <v>709</v>
      </c>
      <c r="Y84" s="4" t="s">
        <v>709</v>
      </c>
      <c r="Z84" s="4">
        <v>0</v>
      </c>
      <c r="AA84" s="4">
        <v>0</v>
      </c>
      <c r="AB84" s="4">
        <v>0</v>
      </c>
      <c r="AC84" s="4">
        <v>0</v>
      </c>
      <c r="AD84" s="4">
        <v>0</v>
      </c>
      <c r="AE84" s="4">
        <v>0</v>
      </c>
      <c r="AF84" s="4">
        <v>11027</v>
      </c>
      <c r="AG84" s="4">
        <v>870</v>
      </c>
      <c r="AH84" s="4">
        <v>0</v>
      </c>
      <c r="AI84" s="4">
        <v>96</v>
      </c>
      <c r="AJ84" s="4" t="s">
        <v>709</v>
      </c>
      <c r="AK84" s="4" t="s">
        <v>709</v>
      </c>
      <c r="AL84" s="4">
        <v>0</v>
      </c>
      <c r="AM84" s="4">
        <v>0</v>
      </c>
      <c r="AN84" s="4">
        <v>0</v>
      </c>
      <c r="AO84" s="4">
        <v>0</v>
      </c>
      <c r="AP84" s="4">
        <v>0</v>
      </c>
      <c r="AQ84" s="4">
        <v>0</v>
      </c>
      <c r="AR84" s="4" t="s">
        <v>709</v>
      </c>
      <c r="AS84" s="4" t="s">
        <v>709</v>
      </c>
      <c r="AT84" s="4">
        <v>1065</v>
      </c>
      <c r="AU84" s="4">
        <v>2720</v>
      </c>
      <c r="AV84" s="4">
        <v>4757</v>
      </c>
      <c r="AW84" s="4">
        <v>1885</v>
      </c>
      <c r="AX84" s="4">
        <v>870</v>
      </c>
      <c r="AY84" s="4">
        <v>696</v>
      </c>
      <c r="AZ84" s="4">
        <v>0</v>
      </c>
      <c r="BA84" s="4">
        <v>0</v>
      </c>
      <c r="BB84" s="4">
        <v>0</v>
      </c>
      <c r="BC84" s="4">
        <v>0</v>
      </c>
      <c r="BD84" s="4">
        <v>0</v>
      </c>
      <c r="BE84" s="4">
        <v>0</v>
      </c>
      <c r="BF84" s="4" t="s">
        <v>709</v>
      </c>
      <c r="BG84" s="4" t="s">
        <v>709</v>
      </c>
      <c r="BH84" s="4">
        <v>602</v>
      </c>
      <c r="BI84" s="4">
        <v>1120</v>
      </c>
      <c r="BJ84" s="4">
        <v>8625</v>
      </c>
      <c r="BK84" s="4">
        <v>2529</v>
      </c>
      <c r="BL84" s="4">
        <v>554</v>
      </c>
      <c r="BM84" s="4">
        <v>1080</v>
      </c>
      <c r="BN84" s="4">
        <v>0</v>
      </c>
      <c r="BO84" s="4">
        <v>0</v>
      </c>
      <c r="BP84" s="4">
        <v>0</v>
      </c>
      <c r="BQ84" s="4">
        <v>0</v>
      </c>
      <c r="BR84" s="4">
        <v>0</v>
      </c>
      <c r="BS84" s="4">
        <v>0</v>
      </c>
      <c r="BT84" s="4" t="s">
        <v>709</v>
      </c>
      <c r="BU84" s="4" t="s">
        <v>709</v>
      </c>
      <c r="BV84" s="4">
        <v>813</v>
      </c>
      <c r="BW84" s="4">
        <v>420</v>
      </c>
      <c r="BX84" s="4">
        <v>7994</v>
      </c>
      <c r="BY84" s="4">
        <v>714</v>
      </c>
      <c r="BZ84" s="4">
        <v>3489</v>
      </c>
      <c r="CA84" s="4">
        <v>1080</v>
      </c>
      <c r="CB84">
        <v>14504.812218345887</v>
      </c>
      <c r="CC84">
        <v>1403.9248112482328</v>
      </c>
      <c r="CD84" t="s">
        <v>687</v>
      </c>
      <c r="CE84" t="s">
        <v>687</v>
      </c>
      <c r="CF84" t="s">
        <v>687</v>
      </c>
      <c r="CG84" t="s">
        <v>687</v>
      </c>
      <c r="CH84">
        <v>6</v>
      </c>
      <c r="CI84">
        <v>1</v>
      </c>
      <c r="CJ84">
        <v>0</v>
      </c>
      <c r="CK84">
        <v>0</v>
      </c>
      <c r="CL84">
        <v>0</v>
      </c>
      <c r="CM84">
        <v>0</v>
      </c>
      <c r="CN84">
        <v>3379621.2468745918</v>
      </c>
      <c r="CO84">
        <v>233</v>
      </c>
      <c r="CP84">
        <v>30886.345847461122</v>
      </c>
      <c r="CQ84">
        <v>22</v>
      </c>
      <c r="CR84">
        <v>0</v>
      </c>
      <c r="CS84">
        <v>0</v>
      </c>
      <c r="CT84">
        <v>0</v>
      </c>
      <c r="CU84">
        <v>0</v>
      </c>
      <c r="CV84">
        <v>0</v>
      </c>
      <c r="CW84">
        <v>0</v>
      </c>
      <c r="CX84">
        <v>0</v>
      </c>
      <c r="CY84">
        <v>0</v>
      </c>
      <c r="CZ84" s="246">
        <v>0.10172371934935664</v>
      </c>
      <c r="DA84" s="246">
        <v>0.14640494523370567</v>
      </c>
      <c r="DB84" s="123">
        <v>11310270.360000001</v>
      </c>
      <c r="DC84" s="174">
        <v>94.6</v>
      </c>
      <c r="DD84" s="174">
        <v>2.8</v>
      </c>
      <c r="DE84" s="174">
        <v>0.4</v>
      </c>
      <c r="DF84" s="174">
        <v>93.5</v>
      </c>
      <c r="DG84" s="174">
        <v>4.7</v>
      </c>
      <c r="DH84" s="174">
        <v>0.4</v>
      </c>
      <c r="DI84" s="174">
        <v>97.9</v>
      </c>
      <c r="DJ84" s="174">
        <v>98.6</v>
      </c>
    </row>
    <row r="85" spans="1:114" x14ac:dyDescent="0.45">
      <c r="A85">
        <v>815</v>
      </c>
      <c r="B85" s="247">
        <v>5.9721671833842298E-2</v>
      </c>
      <c r="C85" s="169">
        <v>1.21914263735751E-2</v>
      </c>
      <c r="D85" s="169">
        <v>4.1753922484616103E-2</v>
      </c>
      <c r="E85" s="169">
        <v>2.0780308643964001E-2</v>
      </c>
      <c r="F85" s="206">
        <v>1385</v>
      </c>
      <c r="G85" s="206">
        <v>0</v>
      </c>
      <c r="H85" s="206">
        <v>270</v>
      </c>
      <c r="I85" s="206">
        <v>320</v>
      </c>
      <c r="J85" s="189">
        <v>0.159233485574303</v>
      </c>
      <c r="K85" s="189">
        <v>0.17368108195889501</v>
      </c>
      <c r="L85" s="206">
        <v>1220</v>
      </c>
      <c r="M85" s="206">
        <v>140</v>
      </c>
      <c r="N85" s="4">
        <v>163</v>
      </c>
      <c r="O85" s="4">
        <v>176</v>
      </c>
      <c r="P85" s="4">
        <v>48</v>
      </c>
      <c r="Q85" s="4">
        <v>53</v>
      </c>
      <c r="R85" s="4">
        <v>0</v>
      </c>
      <c r="S85" s="4">
        <v>6109</v>
      </c>
      <c r="T85" s="4">
        <v>34428</v>
      </c>
      <c r="U85" s="4">
        <v>5874</v>
      </c>
      <c r="V85" s="4">
        <v>1856</v>
      </c>
      <c r="W85" s="4">
        <v>0</v>
      </c>
      <c r="X85" s="4">
        <v>0.77045454545454595</v>
      </c>
      <c r="Y85" s="4">
        <v>104</v>
      </c>
      <c r="Z85" s="4">
        <v>111</v>
      </c>
      <c r="AA85" s="4">
        <v>50</v>
      </c>
      <c r="AB85" s="4">
        <v>315</v>
      </c>
      <c r="AC85" s="4">
        <v>0</v>
      </c>
      <c r="AD85" s="4">
        <v>0</v>
      </c>
      <c r="AE85" s="4">
        <v>13005</v>
      </c>
      <c r="AF85" s="4">
        <v>20956</v>
      </c>
      <c r="AG85" s="4">
        <v>5283</v>
      </c>
      <c r="AH85" s="4">
        <v>1304</v>
      </c>
      <c r="AI85" s="4">
        <v>0</v>
      </c>
      <c r="AJ85" s="4">
        <v>0.33823529411764702</v>
      </c>
      <c r="AK85" s="4">
        <v>108</v>
      </c>
      <c r="AL85" s="4">
        <v>111</v>
      </c>
      <c r="AM85" s="4">
        <v>0</v>
      </c>
      <c r="AN85" s="4">
        <v>50</v>
      </c>
      <c r="AO85" s="4">
        <v>0</v>
      </c>
      <c r="AP85" s="4">
        <v>15</v>
      </c>
      <c r="AQ85" s="4">
        <v>300</v>
      </c>
      <c r="AR85" s="4">
        <v>0.63068181818181801</v>
      </c>
      <c r="AS85" s="4">
        <v>38</v>
      </c>
      <c r="AT85" s="4">
        <v>5996</v>
      </c>
      <c r="AU85" s="4">
        <v>12277</v>
      </c>
      <c r="AV85" s="4">
        <v>17244</v>
      </c>
      <c r="AW85" s="4">
        <v>2619</v>
      </c>
      <c r="AX85" s="4">
        <v>2112</v>
      </c>
      <c r="AY85" s="4">
        <v>300</v>
      </c>
      <c r="AZ85" s="4">
        <v>70</v>
      </c>
      <c r="BA85" s="4">
        <v>58</v>
      </c>
      <c r="BB85" s="4">
        <v>228</v>
      </c>
      <c r="BC85" s="4">
        <v>40</v>
      </c>
      <c r="BD85" s="4">
        <v>0</v>
      </c>
      <c r="BE85" s="4">
        <v>44</v>
      </c>
      <c r="BF85" s="4">
        <v>0.32323232323232298</v>
      </c>
      <c r="BG85" s="4">
        <v>40</v>
      </c>
      <c r="BH85" s="4">
        <v>1706</v>
      </c>
      <c r="BI85" s="4">
        <v>4175</v>
      </c>
      <c r="BJ85" s="4">
        <v>25610</v>
      </c>
      <c r="BK85" s="4">
        <v>8000</v>
      </c>
      <c r="BL85" s="4">
        <v>4527</v>
      </c>
      <c r="BM85" s="4">
        <v>4249</v>
      </c>
      <c r="BN85" s="4">
        <v>103</v>
      </c>
      <c r="BO85" s="4">
        <v>26</v>
      </c>
      <c r="BP85" s="4">
        <v>247</v>
      </c>
      <c r="BQ85" s="4">
        <v>0</v>
      </c>
      <c r="BR85" s="4">
        <v>20</v>
      </c>
      <c r="BS85" s="4">
        <v>44</v>
      </c>
      <c r="BT85" s="4">
        <v>0.32575757575757602</v>
      </c>
      <c r="BU85" s="4">
        <v>36</v>
      </c>
      <c r="BV85" s="4">
        <v>2926</v>
      </c>
      <c r="BW85" s="4">
        <v>1351</v>
      </c>
      <c r="BX85" s="4">
        <v>32472</v>
      </c>
      <c r="BY85" s="4">
        <v>2228</v>
      </c>
      <c r="BZ85" s="4">
        <v>4990</v>
      </c>
      <c r="CA85" s="4">
        <v>4300</v>
      </c>
      <c r="CB85">
        <v>22362.227233585989</v>
      </c>
      <c r="CC85" t="s">
        <v>687</v>
      </c>
      <c r="CD85">
        <v>25238.83912334713</v>
      </c>
      <c r="CE85" t="s">
        <v>687</v>
      </c>
      <c r="CF85" t="s">
        <v>687</v>
      </c>
      <c r="CG85" t="s">
        <v>687</v>
      </c>
      <c r="CH85">
        <v>26</v>
      </c>
      <c r="CI85">
        <v>0</v>
      </c>
      <c r="CJ85">
        <v>1</v>
      </c>
      <c r="CK85">
        <v>0</v>
      </c>
      <c r="CL85">
        <v>0</v>
      </c>
      <c r="CM85">
        <v>0</v>
      </c>
      <c r="CN85">
        <v>34974523.393328488</v>
      </c>
      <c r="CO85">
        <v>1564</v>
      </c>
      <c r="CP85">
        <v>0</v>
      </c>
      <c r="CQ85">
        <v>0</v>
      </c>
      <c r="CR85">
        <v>6057321.3896033112</v>
      </c>
      <c r="CS85">
        <v>240</v>
      </c>
      <c r="CT85">
        <v>0</v>
      </c>
      <c r="CU85">
        <v>0</v>
      </c>
      <c r="CV85">
        <v>0</v>
      </c>
      <c r="CW85">
        <v>0</v>
      </c>
      <c r="CX85">
        <v>0</v>
      </c>
      <c r="CY85">
        <v>0</v>
      </c>
      <c r="CZ85" s="246">
        <v>7.0004441593051372E-2</v>
      </c>
      <c r="DA85" s="246">
        <v>-3.3741424177903948E-2</v>
      </c>
      <c r="DB85" s="123">
        <v>66915138.379999995</v>
      </c>
      <c r="DC85" s="174">
        <v>93.4</v>
      </c>
      <c r="DD85" s="174">
        <v>3.6</v>
      </c>
      <c r="DE85" s="174">
        <v>0.5</v>
      </c>
      <c r="DF85" s="174">
        <v>88.8</v>
      </c>
      <c r="DG85" s="174">
        <v>5.2</v>
      </c>
      <c r="DH85" s="174">
        <v>1.3</v>
      </c>
      <c r="DI85" s="174">
        <v>97.5</v>
      </c>
      <c r="DJ85" s="174">
        <v>95.3</v>
      </c>
    </row>
    <row r="86" spans="1:114" x14ac:dyDescent="0.45">
      <c r="A86">
        <v>816</v>
      </c>
      <c r="B86" s="247">
        <v>1.1338033287302899E-2</v>
      </c>
      <c r="C86" s="169">
        <v>9.8844392761101799E-3</v>
      </c>
      <c r="D86" s="169">
        <v>3.66417253521127E-2</v>
      </c>
      <c r="E86" s="169">
        <v>1.04533450704225E-2</v>
      </c>
      <c r="F86" s="206">
        <v>2274</v>
      </c>
      <c r="G86" s="206">
        <v>856</v>
      </c>
      <c r="H86" s="206">
        <v>60</v>
      </c>
      <c r="I86" s="206">
        <v>280</v>
      </c>
      <c r="J86" s="189">
        <v>0.14406457997800801</v>
      </c>
      <c r="K86" s="189">
        <v>5.3867948784530002E-2</v>
      </c>
      <c r="L86" s="206">
        <v>105</v>
      </c>
      <c r="M86" s="206">
        <v>30</v>
      </c>
      <c r="N86" s="4">
        <v>0</v>
      </c>
      <c r="O86" s="4">
        <v>0</v>
      </c>
      <c r="P86" s="4">
        <v>138</v>
      </c>
      <c r="Q86" s="4">
        <v>0</v>
      </c>
      <c r="R86" s="4">
        <v>0</v>
      </c>
      <c r="S86" s="4">
        <v>3416</v>
      </c>
      <c r="T86" s="4">
        <v>10315</v>
      </c>
      <c r="U86" s="4">
        <v>1440</v>
      </c>
      <c r="V86" s="4">
        <v>0</v>
      </c>
      <c r="W86" s="4">
        <v>0</v>
      </c>
      <c r="X86" s="4">
        <v>0</v>
      </c>
      <c r="Y86" s="4">
        <v>118</v>
      </c>
      <c r="Z86" s="4">
        <v>145</v>
      </c>
      <c r="AA86" s="4">
        <v>140</v>
      </c>
      <c r="AB86" s="4">
        <v>0</v>
      </c>
      <c r="AC86" s="4">
        <v>0</v>
      </c>
      <c r="AD86" s="4">
        <v>0</v>
      </c>
      <c r="AE86" s="4">
        <v>6838</v>
      </c>
      <c r="AF86" s="4">
        <v>2355</v>
      </c>
      <c r="AG86" s="4">
        <v>0</v>
      </c>
      <c r="AH86" s="4">
        <v>0</v>
      </c>
      <c r="AI86" s="4">
        <v>0</v>
      </c>
      <c r="AJ86" s="4">
        <v>1</v>
      </c>
      <c r="AK86" s="4">
        <v>1</v>
      </c>
      <c r="AL86" s="4">
        <v>98</v>
      </c>
      <c r="AM86" s="4">
        <v>0</v>
      </c>
      <c r="AN86" s="4">
        <v>187</v>
      </c>
      <c r="AO86" s="4">
        <v>0</v>
      </c>
      <c r="AP86" s="4">
        <v>0</v>
      </c>
      <c r="AQ86" s="4">
        <v>0</v>
      </c>
      <c r="AR86" s="4">
        <v>0.34385964912280698</v>
      </c>
      <c r="AS86" s="4">
        <v>57</v>
      </c>
      <c r="AT86" s="4">
        <v>2945</v>
      </c>
      <c r="AU86" s="4">
        <v>1094</v>
      </c>
      <c r="AV86" s="4">
        <v>5154</v>
      </c>
      <c r="AW86" s="4">
        <v>0</v>
      </c>
      <c r="AX86" s="4">
        <v>0</v>
      </c>
      <c r="AY86" s="4">
        <v>0</v>
      </c>
      <c r="AZ86" s="4">
        <v>0</v>
      </c>
      <c r="BA86" s="4">
        <v>66</v>
      </c>
      <c r="BB86" s="4">
        <v>0</v>
      </c>
      <c r="BC86" s="4">
        <v>0</v>
      </c>
      <c r="BD86" s="4">
        <v>0</v>
      </c>
      <c r="BE86" s="4">
        <v>72</v>
      </c>
      <c r="BF86" s="4">
        <v>1</v>
      </c>
      <c r="BG86" s="4">
        <v>1</v>
      </c>
      <c r="BH86" s="4">
        <v>0</v>
      </c>
      <c r="BI86" s="4">
        <v>3089</v>
      </c>
      <c r="BJ86" s="4">
        <v>9033</v>
      </c>
      <c r="BK86" s="4">
        <v>548</v>
      </c>
      <c r="BL86" s="4">
        <v>1350</v>
      </c>
      <c r="BM86" s="4">
        <v>1151</v>
      </c>
      <c r="BN86" s="4">
        <v>0</v>
      </c>
      <c r="BO86" s="4">
        <v>0</v>
      </c>
      <c r="BP86" s="4">
        <v>66</v>
      </c>
      <c r="BQ86" s="4">
        <v>0</v>
      </c>
      <c r="BR86" s="4">
        <v>0</v>
      </c>
      <c r="BS86" s="4">
        <v>72</v>
      </c>
      <c r="BT86" s="4">
        <v>0</v>
      </c>
      <c r="BU86" s="4">
        <v>69</v>
      </c>
      <c r="BV86" s="4">
        <v>587</v>
      </c>
      <c r="BW86" s="4">
        <v>1616</v>
      </c>
      <c r="BX86" s="4">
        <v>8901</v>
      </c>
      <c r="BY86" s="4">
        <v>1273</v>
      </c>
      <c r="BZ86" s="4">
        <v>1643</v>
      </c>
      <c r="CA86" s="4">
        <v>1151</v>
      </c>
      <c r="CB86">
        <v>12995.869378848116</v>
      </c>
      <c r="CC86">
        <v>25598.237927649727</v>
      </c>
      <c r="CD86">
        <v>10994.336330336342</v>
      </c>
      <c r="CE86">
        <v>136862.52139109297</v>
      </c>
      <c r="CF86" t="s">
        <v>687</v>
      </c>
      <c r="CG86" t="s">
        <v>687</v>
      </c>
      <c r="CH86">
        <v>1</v>
      </c>
      <c r="CI86">
        <v>1</v>
      </c>
      <c r="CJ86">
        <v>1</v>
      </c>
      <c r="CK86">
        <v>1</v>
      </c>
      <c r="CL86">
        <v>0</v>
      </c>
      <c r="CM86">
        <v>0</v>
      </c>
      <c r="CN86">
        <v>870723.24838282377</v>
      </c>
      <c r="CO86">
        <v>67</v>
      </c>
      <c r="CP86">
        <v>383973.56891474588</v>
      </c>
      <c r="CQ86">
        <v>15</v>
      </c>
      <c r="CR86">
        <v>659660.17982018052</v>
      </c>
      <c r="CS86">
        <v>60</v>
      </c>
      <c r="CT86">
        <v>8211751.2834655792</v>
      </c>
      <c r="CU86">
        <v>60</v>
      </c>
      <c r="CV86">
        <v>0</v>
      </c>
      <c r="CW86">
        <v>0</v>
      </c>
      <c r="CX86">
        <v>0</v>
      </c>
      <c r="CY86">
        <v>0</v>
      </c>
      <c r="CZ86" s="246">
        <v>0.12073060856745024</v>
      </c>
      <c r="DA86" s="246">
        <v>0.10938747576137789</v>
      </c>
      <c r="DB86" s="123">
        <v>47074213.589999996</v>
      </c>
      <c r="DC86" s="174">
        <v>96</v>
      </c>
      <c r="DD86" s="174">
        <v>3.1</v>
      </c>
      <c r="DE86" s="174">
        <v>0.2</v>
      </c>
      <c r="DF86" s="174">
        <v>91.6</v>
      </c>
      <c r="DG86" s="174">
        <v>5</v>
      </c>
      <c r="DH86" s="174">
        <v>1.1000000000000001</v>
      </c>
      <c r="DI86" s="174">
        <v>99.2</v>
      </c>
      <c r="DJ86" s="174">
        <v>97.6</v>
      </c>
    </row>
    <row r="87" spans="1:114" x14ac:dyDescent="0.45">
      <c r="A87">
        <v>821</v>
      </c>
      <c r="B87" s="247">
        <v>5.5375164545853402E-2</v>
      </c>
      <c r="C87" s="169">
        <v>1.24616059675296E-2</v>
      </c>
      <c r="D87" s="169">
        <v>6.74132947976879E-2</v>
      </c>
      <c r="E87" s="169">
        <v>1.3078034682080899E-2</v>
      </c>
      <c r="F87" s="206">
        <v>5084</v>
      </c>
      <c r="G87" s="206">
        <v>2432</v>
      </c>
      <c r="H87" s="206">
        <v>10</v>
      </c>
      <c r="I87" s="206">
        <v>120</v>
      </c>
      <c r="J87" s="189">
        <v>7.1605629038111296E-2</v>
      </c>
      <c r="K87" s="189">
        <v>0.109997818266756</v>
      </c>
      <c r="L87" s="206">
        <v>0</v>
      </c>
      <c r="M87" s="206">
        <v>625</v>
      </c>
      <c r="N87" s="4">
        <v>0</v>
      </c>
      <c r="O87" s="4">
        <v>0</v>
      </c>
      <c r="P87" s="4">
        <v>0</v>
      </c>
      <c r="Q87" s="4">
        <v>0</v>
      </c>
      <c r="R87" s="4">
        <v>0</v>
      </c>
      <c r="S87" s="4">
        <v>2578</v>
      </c>
      <c r="T87" s="4">
        <v>15000</v>
      </c>
      <c r="U87" s="4">
        <v>7434</v>
      </c>
      <c r="V87" s="4">
        <v>0</v>
      </c>
      <c r="W87" s="4">
        <v>0</v>
      </c>
      <c r="X87" s="4" t="s">
        <v>709</v>
      </c>
      <c r="Y87" s="4" t="s">
        <v>709</v>
      </c>
      <c r="Z87" s="4">
        <v>0</v>
      </c>
      <c r="AA87" s="4">
        <v>0</v>
      </c>
      <c r="AB87" s="4">
        <v>0</v>
      </c>
      <c r="AC87" s="4">
        <v>0</v>
      </c>
      <c r="AD87" s="4">
        <v>1200</v>
      </c>
      <c r="AE87" s="4">
        <v>2320</v>
      </c>
      <c r="AF87" s="4">
        <v>8195</v>
      </c>
      <c r="AG87" s="4">
        <v>5080</v>
      </c>
      <c r="AH87" s="4">
        <v>0</v>
      </c>
      <c r="AI87" s="4">
        <v>0</v>
      </c>
      <c r="AJ87" s="4" t="s">
        <v>709</v>
      </c>
      <c r="AK87" s="4" t="s">
        <v>709</v>
      </c>
      <c r="AL87" s="4">
        <v>0</v>
      </c>
      <c r="AM87" s="4">
        <v>0</v>
      </c>
      <c r="AN87" s="4">
        <v>0</v>
      </c>
      <c r="AO87" s="4">
        <v>0</v>
      </c>
      <c r="AP87" s="4">
        <v>0</v>
      </c>
      <c r="AQ87" s="4">
        <v>1200</v>
      </c>
      <c r="AR87" s="4" t="s">
        <v>709</v>
      </c>
      <c r="AS87" s="4" t="s">
        <v>709</v>
      </c>
      <c r="AT87" s="4">
        <v>2170</v>
      </c>
      <c r="AU87" s="4">
        <v>4300</v>
      </c>
      <c r="AV87" s="4">
        <v>4045</v>
      </c>
      <c r="AW87" s="4">
        <v>2830</v>
      </c>
      <c r="AX87" s="4">
        <v>2250</v>
      </c>
      <c r="AY87" s="4">
        <v>0</v>
      </c>
      <c r="AZ87" s="4">
        <v>0</v>
      </c>
      <c r="BA87" s="4">
        <v>0</v>
      </c>
      <c r="BB87" s="4">
        <v>0</v>
      </c>
      <c r="BC87" s="4">
        <v>0</v>
      </c>
      <c r="BD87" s="4">
        <v>0</v>
      </c>
      <c r="BE87" s="4">
        <v>0</v>
      </c>
      <c r="BF87" s="4" t="s">
        <v>709</v>
      </c>
      <c r="BG87" s="4" t="s">
        <v>709</v>
      </c>
      <c r="BH87" s="4">
        <v>2940</v>
      </c>
      <c r="BI87" s="4">
        <v>4860</v>
      </c>
      <c r="BJ87" s="4">
        <v>7530</v>
      </c>
      <c r="BK87" s="4">
        <v>3330</v>
      </c>
      <c r="BL87" s="4">
        <v>2064</v>
      </c>
      <c r="BM87" s="4">
        <v>4288</v>
      </c>
      <c r="BN87" s="4">
        <v>0</v>
      </c>
      <c r="BO87" s="4">
        <v>0</v>
      </c>
      <c r="BP87" s="4">
        <v>0</v>
      </c>
      <c r="BQ87" s="4">
        <v>0</v>
      </c>
      <c r="BR87" s="4">
        <v>0</v>
      </c>
      <c r="BS87" s="4">
        <v>0</v>
      </c>
      <c r="BT87" s="4" t="s">
        <v>709</v>
      </c>
      <c r="BU87" s="4" t="s">
        <v>709</v>
      </c>
      <c r="BV87" s="4">
        <v>1470</v>
      </c>
      <c r="BW87" s="4">
        <v>3660</v>
      </c>
      <c r="BX87" s="4">
        <v>9780</v>
      </c>
      <c r="BY87" s="4">
        <v>2964</v>
      </c>
      <c r="BZ87" s="4">
        <v>2850</v>
      </c>
      <c r="CA87" s="4">
        <v>4288</v>
      </c>
      <c r="CB87">
        <v>9279.9815229214037</v>
      </c>
      <c r="CC87" t="s">
        <v>687</v>
      </c>
      <c r="CD87" t="s">
        <v>687</v>
      </c>
      <c r="CE87">
        <v>13218.212240447459</v>
      </c>
      <c r="CF87" t="s">
        <v>687</v>
      </c>
      <c r="CG87" t="s">
        <v>687</v>
      </c>
      <c r="CH87">
        <v>3</v>
      </c>
      <c r="CI87">
        <v>0</v>
      </c>
      <c r="CJ87">
        <v>0</v>
      </c>
      <c r="CK87">
        <v>2</v>
      </c>
      <c r="CL87">
        <v>0</v>
      </c>
      <c r="CM87">
        <v>0</v>
      </c>
      <c r="CN87">
        <v>5011190.0223775581</v>
      </c>
      <c r="CO87">
        <v>540</v>
      </c>
      <c r="CP87">
        <v>0</v>
      </c>
      <c r="CQ87">
        <v>0</v>
      </c>
      <c r="CR87">
        <v>0</v>
      </c>
      <c r="CS87">
        <v>0</v>
      </c>
      <c r="CT87">
        <v>5908540.8714800142</v>
      </c>
      <c r="CU87">
        <v>447</v>
      </c>
      <c r="CV87">
        <v>0</v>
      </c>
      <c r="CW87">
        <v>0</v>
      </c>
      <c r="CX87">
        <v>0</v>
      </c>
      <c r="CY87">
        <v>0</v>
      </c>
      <c r="CZ87" s="246">
        <v>0.24818655633764977</v>
      </c>
      <c r="DA87" s="246">
        <v>0.44814278822961889</v>
      </c>
      <c r="DB87" s="123">
        <v>85453090.420000002</v>
      </c>
      <c r="DC87" s="174">
        <v>93.5</v>
      </c>
      <c r="DD87" s="174">
        <v>4.4000000000000004</v>
      </c>
      <c r="DE87" s="174">
        <v>1.1000000000000001</v>
      </c>
      <c r="DF87" s="174">
        <v>79</v>
      </c>
      <c r="DG87" s="174">
        <v>9.5</v>
      </c>
      <c r="DH87" s="174">
        <v>5.0999999999999996</v>
      </c>
      <c r="DI87" s="174">
        <v>99</v>
      </c>
      <c r="DJ87" s="174">
        <v>93.6</v>
      </c>
    </row>
    <row r="88" spans="1:114" x14ac:dyDescent="0.45">
      <c r="A88">
        <v>822</v>
      </c>
      <c r="B88" s="247">
        <v>1.3872979508718301E-2</v>
      </c>
      <c r="C88" s="169">
        <v>2.4627720504009201E-2</v>
      </c>
      <c r="D88" s="169">
        <v>-8.1749437972613898E-4</v>
      </c>
      <c r="E88" s="169">
        <v>2.99407316574699E-2</v>
      </c>
      <c r="F88" s="206">
        <v>8353</v>
      </c>
      <c r="G88" s="206">
        <v>0</v>
      </c>
      <c r="H88" s="206">
        <v>160</v>
      </c>
      <c r="I88" s="206">
        <v>800</v>
      </c>
      <c r="J88" s="189">
        <v>0.13165338797505499</v>
      </c>
      <c r="K88" s="189">
        <v>0.15778303217362599</v>
      </c>
      <c r="L88" s="206">
        <v>1140</v>
      </c>
      <c r="M88" s="206">
        <v>0</v>
      </c>
      <c r="N88" s="4">
        <v>0</v>
      </c>
      <c r="O88" s="4">
        <v>328</v>
      </c>
      <c r="P88" s="4">
        <v>150</v>
      </c>
      <c r="Q88" s="4">
        <v>0</v>
      </c>
      <c r="R88" s="4">
        <v>0</v>
      </c>
      <c r="S88" s="4">
        <v>2607</v>
      </c>
      <c r="T88" s="4">
        <v>10641</v>
      </c>
      <c r="U88" s="4">
        <v>3430</v>
      </c>
      <c r="V88" s="4">
        <v>0</v>
      </c>
      <c r="W88" s="4">
        <v>840</v>
      </c>
      <c r="X88" s="4">
        <v>0.68619246861924699</v>
      </c>
      <c r="Y88" s="4">
        <v>108</v>
      </c>
      <c r="Z88" s="4">
        <v>0</v>
      </c>
      <c r="AA88" s="4">
        <v>0</v>
      </c>
      <c r="AB88" s="4">
        <v>0</v>
      </c>
      <c r="AC88" s="4">
        <v>0</v>
      </c>
      <c r="AD88" s="4">
        <v>0</v>
      </c>
      <c r="AE88" s="4">
        <v>1232</v>
      </c>
      <c r="AF88" s="4">
        <v>11885</v>
      </c>
      <c r="AG88" s="4">
        <v>500</v>
      </c>
      <c r="AH88" s="4">
        <v>0</v>
      </c>
      <c r="AI88" s="4">
        <v>600</v>
      </c>
      <c r="AJ88" s="4" t="s">
        <v>709</v>
      </c>
      <c r="AK88" s="4" t="s">
        <v>709</v>
      </c>
      <c r="AL88" s="4">
        <v>0</v>
      </c>
      <c r="AM88" s="4">
        <v>0</v>
      </c>
      <c r="AN88" s="4">
        <v>0</v>
      </c>
      <c r="AO88" s="4">
        <v>0</v>
      </c>
      <c r="AP88" s="4">
        <v>0</v>
      </c>
      <c r="AQ88" s="4">
        <v>0</v>
      </c>
      <c r="AR88" s="4" t="s">
        <v>709</v>
      </c>
      <c r="AS88" s="4" t="s">
        <v>709</v>
      </c>
      <c r="AT88" s="4">
        <v>500</v>
      </c>
      <c r="AU88" s="4">
        <v>3495</v>
      </c>
      <c r="AV88" s="4">
        <v>3497</v>
      </c>
      <c r="AW88" s="4">
        <v>1243</v>
      </c>
      <c r="AX88" s="4">
        <v>1080</v>
      </c>
      <c r="AY88" s="4">
        <v>4402</v>
      </c>
      <c r="AZ88" s="4">
        <v>0</v>
      </c>
      <c r="BA88" s="4">
        <v>0</v>
      </c>
      <c r="BB88" s="4">
        <v>0</v>
      </c>
      <c r="BC88" s="4">
        <v>388</v>
      </c>
      <c r="BD88" s="4">
        <v>0</v>
      </c>
      <c r="BE88" s="4">
        <v>90</v>
      </c>
      <c r="BF88" s="4">
        <v>0</v>
      </c>
      <c r="BG88" s="4">
        <v>68</v>
      </c>
      <c r="BH88" s="4">
        <v>0</v>
      </c>
      <c r="BI88" s="4">
        <v>840</v>
      </c>
      <c r="BJ88" s="4">
        <v>6015</v>
      </c>
      <c r="BK88" s="4">
        <v>4060</v>
      </c>
      <c r="BL88" s="4">
        <v>4868</v>
      </c>
      <c r="BM88" s="4">
        <v>1735</v>
      </c>
      <c r="BN88" s="4">
        <v>0</v>
      </c>
      <c r="BO88" s="4">
        <v>0</v>
      </c>
      <c r="BP88" s="4">
        <v>238</v>
      </c>
      <c r="BQ88" s="4">
        <v>0</v>
      </c>
      <c r="BR88" s="4">
        <v>150</v>
      </c>
      <c r="BS88" s="4">
        <v>90</v>
      </c>
      <c r="BT88" s="4">
        <v>0</v>
      </c>
      <c r="BU88" s="4">
        <v>69</v>
      </c>
      <c r="BV88" s="4">
        <v>0</v>
      </c>
      <c r="BW88" s="4">
        <v>0</v>
      </c>
      <c r="BX88" s="4">
        <v>9088</v>
      </c>
      <c r="BY88" s="4">
        <v>3180</v>
      </c>
      <c r="BZ88" s="4">
        <v>3515</v>
      </c>
      <c r="CA88" s="4">
        <v>1735</v>
      </c>
      <c r="CB88">
        <v>11278.523674572789</v>
      </c>
      <c r="CC88" t="s">
        <v>687</v>
      </c>
      <c r="CD88" t="s">
        <v>687</v>
      </c>
      <c r="CE88">
        <v>13652.938652938654</v>
      </c>
      <c r="CF88" t="s">
        <v>687</v>
      </c>
      <c r="CG88" t="s">
        <v>687</v>
      </c>
      <c r="CH88">
        <v>23</v>
      </c>
      <c r="CI88">
        <v>0</v>
      </c>
      <c r="CJ88">
        <v>0</v>
      </c>
      <c r="CK88">
        <v>1</v>
      </c>
      <c r="CL88">
        <v>0</v>
      </c>
      <c r="CM88">
        <v>0</v>
      </c>
      <c r="CN88">
        <v>23053302.39082678</v>
      </c>
      <c r="CO88">
        <v>2044</v>
      </c>
      <c r="CP88">
        <v>0</v>
      </c>
      <c r="CQ88">
        <v>0</v>
      </c>
      <c r="CR88">
        <v>0</v>
      </c>
      <c r="CS88">
        <v>0</v>
      </c>
      <c r="CT88">
        <v>1228764.4787644788</v>
      </c>
      <c r="CU88">
        <v>90</v>
      </c>
      <c r="CV88">
        <v>0</v>
      </c>
      <c r="CW88">
        <v>0</v>
      </c>
      <c r="CX88">
        <v>0</v>
      </c>
      <c r="CY88">
        <v>0</v>
      </c>
      <c r="CZ88" s="246">
        <v>0.36023542691284366</v>
      </c>
      <c r="DA88" s="246">
        <v>0.27219128725843433</v>
      </c>
      <c r="DB88" s="123">
        <v>53898320.190000005</v>
      </c>
      <c r="DC88" s="174">
        <v>94.4</v>
      </c>
      <c r="DD88" s="174">
        <v>4.3</v>
      </c>
      <c r="DE88" s="174">
        <v>0.7</v>
      </c>
      <c r="DF88" s="174">
        <v>85.9</v>
      </c>
      <c r="DG88" s="174">
        <v>9.1</v>
      </c>
      <c r="DH88" s="174">
        <v>2</v>
      </c>
      <c r="DI88" s="174">
        <v>99.4</v>
      </c>
      <c r="DJ88" s="174">
        <v>97</v>
      </c>
    </row>
    <row r="89" spans="1:114" x14ac:dyDescent="0.45">
      <c r="A89">
        <v>823</v>
      </c>
      <c r="B89" s="247">
        <v>5.8462779907201903E-2</v>
      </c>
      <c r="C89" s="169">
        <v>2.0294532983659502E-2</v>
      </c>
      <c r="D89" s="169">
        <v>7.3650214140279405E-2</v>
      </c>
      <c r="E89" s="169">
        <v>1.22867373446605E-2</v>
      </c>
      <c r="F89" s="206">
        <v>5825</v>
      </c>
      <c r="G89" s="206">
        <v>610</v>
      </c>
      <c r="H89" s="206">
        <v>230</v>
      </c>
      <c r="I89" s="206">
        <v>610</v>
      </c>
      <c r="J89" s="189">
        <v>9.3204373941347299E-2</v>
      </c>
      <c r="K89" s="189">
        <v>0.10253517472679</v>
      </c>
      <c r="L89" s="206">
        <v>720</v>
      </c>
      <c r="M89" s="206">
        <v>300</v>
      </c>
      <c r="N89" s="4">
        <v>260</v>
      </c>
      <c r="O89" s="4">
        <v>480</v>
      </c>
      <c r="P89" s="4">
        <v>0</v>
      </c>
      <c r="Q89" s="4">
        <v>0</v>
      </c>
      <c r="R89" s="4">
        <v>0</v>
      </c>
      <c r="S89" s="4">
        <v>5515</v>
      </c>
      <c r="T89" s="4">
        <v>19253</v>
      </c>
      <c r="U89" s="4">
        <v>2370</v>
      </c>
      <c r="V89" s="4">
        <v>300</v>
      </c>
      <c r="W89" s="4">
        <v>0</v>
      </c>
      <c r="X89" s="4">
        <v>1</v>
      </c>
      <c r="Y89" s="4">
        <v>1</v>
      </c>
      <c r="Z89" s="4">
        <v>0</v>
      </c>
      <c r="AA89" s="4">
        <v>240</v>
      </c>
      <c r="AB89" s="4">
        <v>0</v>
      </c>
      <c r="AC89" s="4">
        <v>0</v>
      </c>
      <c r="AD89" s="4">
        <v>0</v>
      </c>
      <c r="AE89" s="4">
        <v>649</v>
      </c>
      <c r="AF89" s="4">
        <v>13637</v>
      </c>
      <c r="AG89" s="4">
        <v>3280</v>
      </c>
      <c r="AH89" s="4">
        <v>750</v>
      </c>
      <c r="AI89" s="4">
        <v>0</v>
      </c>
      <c r="AJ89" s="4">
        <v>1</v>
      </c>
      <c r="AK89" s="4">
        <v>1</v>
      </c>
      <c r="AL89" s="4">
        <v>0</v>
      </c>
      <c r="AM89" s="4">
        <v>0</v>
      </c>
      <c r="AN89" s="4">
        <v>0</v>
      </c>
      <c r="AO89" s="4">
        <v>50</v>
      </c>
      <c r="AP89" s="4">
        <v>0</v>
      </c>
      <c r="AQ89" s="4">
        <v>190</v>
      </c>
      <c r="AR89" s="4">
        <v>0</v>
      </c>
      <c r="AS89" s="4">
        <v>74</v>
      </c>
      <c r="AT89" s="4">
        <v>0</v>
      </c>
      <c r="AU89" s="4">
        <v>0</v>
      </c>
      <c r="AV89" s="4">
        <v>2341</v>
      </c>
      <c r="AW89" s="4">
        <v>1200</v>
      </c>
      <c r="AX89" s="4">
        <v>1340</v>
      </c>
      <c r="AY89" s="4">
        <v>13435</v>
      </c>
      <c r="AZ89" s="4">
        <v>0</v>
      </c>
      <c r="BA89" s="4">
        <v>0</v>
      </c>
      <c r="BB89" s="4">
        <v>160</v>
      </c>
      <c r="BC89" s="4">
        <v>0</v>
      </c>
      <c r="BD89" s="4">
        <v>0</v>
      </c>
      <c r="BE89" s="4">
        <v>580</v>
      </c>
      <c r="BF89" s="4">
        <v>0</v>
      </c>
      <c r="BG89" s="4">
        <v>68</v>
      </c>
      <c r="BH89" s="4">
        <v>0</v>
      </c>
      <c r="BI89" s="4">
        <v>1018</v>
      </c>
      <c r="BJ89" s="4">
        <v>3575</v>
      </c>
      <c r="BK89" s="4">
        <v>2395</v>
      </c>
      <c r="BL89" s="4">
        <v>263</v>
      </c>
      <c r="BM89" s="4">
        <v>20187</v>
      </c>
      <c r="BN89" s="4">
        <v>0</v>
      </c>
      <c r="BO89" s="4">
        <v>0</v>
      </c>
      <c r="BP89" s="4">
        <v>160</v>
      </c>
      <c r="BQ89" s="4">
        <v>0</v>
      </c>
      <c r="BR89" s="4">
        <v>0</v>
      </c>
      <c r="BS89" s="4">
        <v>580</v>
      </c>
      <c r="BT89" s="4">
        <v>0</v>
      </c>
      <c r="BU89" s="4">
        <v>69</v>
      </c>
      <c r="BV89" s="4">
        <v>0</v>
      </c>
      <c r="BW89" s="4">
        <v>1348</v>
      </c>
      <c r="BX89" s="4">
        <v>3862</v>
      </c>
      <c r="BY89" s="4">
        <v>1311</v>
      </c>
      <c r="BZ89" s="4">
        <v>730</v>
      </c>
      <c r="CA89" s="4">
        <v>20187</v>
      </c>
      <c r="CB89">
        <v>19667.578979890044</v>
      </c>
      <c r="CC89">
        <v>21635.881944444442</v>
      </c>
      <c r="CD89" t="s">
        <v>687</v>
      </c>
      <c r="CE89">
        <v>27256.669878522021</v>
      </c>
      <c r="CF89" t="s">
        <v>687</v>
      </c>
      <c r="CG89" t="s">
        <v>687</v>
      </c>
      <c r="CH89">
        <v>11</v>
      </c>
      <c r="CI89">
        <v>1</v>
      </c>
      <c r="CJ89">
        <v>0</v>
      </c>
      <c r="CK89">
        <v>6</v>
      </c>
      <c r="CL89">
        <v>0</v>
      </c>
      <c r="CM89">
        <v>0</v>
      </c>
      <c r="CN89">
        <v>35696655.848500431</v>
      </c>
      <c r="CO89">
        <v>1815</v>
      </c>
      <c r="CP89">
        <v>3029023.472222222</v>
      </c>
      <c r="CQ89">
        <v>140</v>
      </c>
      <c r="CR89">
        <v>0</v>
      </c>
      <c r="CS89">
        <v>0</v>
      </c>
      <c r="CT89">
        <v>36251370.938434288</v>
      </c>
      <c r="CU89">
        <v>1330</v>
      </c>
      <c r="CV89">
        <v>0</v>
      </c>
      <c r="CW89">
        <v>0</v>
      </c>
      <c r="CX89">
        <v>0</v>
      </c>
      <c r="CY89">
        <v>0</v>
      </c>
      <c r="CZ89" s="246">
        <v>0.35162622092437823</v>
      </c>
      <c r="DA89" s="246">
        <v>0.20119924866348793</v>
      </c>
      <c r="DB89" s="123">
        <v>92628771.25999999</v>
      </c>
      <c r="DC89" s="174">
        <v>94.9</v>
      </c>
      <c r="DD89" s="174">
        <v>3.1</v>
      </c>
      <c r="DE89" s="174">
        <v>0.7</v>
      </c>
      <c r="DF89" s="174">
        <v>96.7</v>
      </c>
      <c r="DG89" s="174">
        <v>2.2999999999999998</v>
      </c>
      <c r="DH89" s="174">
        <v>0</v>
      </c>
      <c r="DI89" s="174">
        <v>98.7</v>
      </c>
      <c r="DJ89" s="174">
        <v>99</v>
      </c>
    </row>
    <row r="90" spans="1:114" x14ac:dyDescent="0.45">
      <c r="A90">
        <v>825</v>
      </c>
      <c r="B90" s="247">
        <v>8.9265434061690796E-3</v>
      </c>
      <c r="C90" s="169">
        <v>-2.5893790033162199E-3</v>
      </c>
      <c r="D90" s="169">
        <v>1.77457553620868E-2</v>
      </c>
      <c r="E90" s="169">
        <v>-1.4676940525034201E-3</v>
      </c>
      <c r="F90" s="206">
        <v>4095</v>
      </c>
      <c r="G90" s="206">
        <v>5683</v>
      </c>
      <c r="H90" s="206">
        <v>240</v>
      </c>
      <c r="I90" s="206">
        <v>830</v>
      </c>
      <c r="J90" s="189">
        <v>7.7947549171915403E-2</v>
      </c>
      <c r="K90" s="189">
        <v>0.103404427303082</v>
      </c>
      <c r="L90" s="206">
        <v>363</v>
      </c>
      <c r="M90" s="206">
        <v>1337</v>
      </c>
      <c r="N90" s="4">
        <v>0</v>
      </c>
      <c r="O90" s="4">
        <v>433</v>
      </c>
      <c r="P90" s="4">
        <v>28</v>
      </c>
      <c r="Q90" s="4">
        <v>0</v>
      </c>
      <c r="R90" s="4">
        <v>0</v>
      </c>
      <c r="S90" s="4">
        <v>9251</v>
      </c>
      <c r="T90" s="4">
        <v>33537</v>
      </c>
      <c r="U90" s="4">
        <v>2115</v>
      </c>
      <c r="V90" s="4">
        <v>630</v>
      </c>
      <c r="W90" s="4">
        <v>420</v>
      </c>
      <c r="X90" s="4">
        <v>0.93926247288503295</v>
      </c>
      <c r="Y90" s="4">
        <v>89</v>
      </c>
      <c r="Z90" s="4">
        <v>105</v>
      </c>
      <c r="AA90" s="4">
        <v>357</v>
      </c>
      <c r="AB90" s="4">
        <v>0</v>
      </c>
      <c r="AC90" s="4">
        <v>0</v>
      </c>
      <c r="AD90" s="4">
        <v>0</v>
      </c>
      <c r="AE90" s="4">
        <v>15801</v>
      </c>
      <c r="AF90" s="4">
        <v>17183</v>
      </c>
      <c r="AG90" s="4">
        <v>4287</v>
      </c>
      <c r="AH90" s="4">
        <v>1771</v>
      </c>
      <c r="AI90" s="4">
        <v>0</v>
      </c>
      <c r="AJ90" s="4">
        <v>1</v>
      </c>
      <c r="AK90" s="4">
        <v>1</v>
      </c>
      <c r="AL90" s="4">
        <v>135</v>
      </c>
      <c r="AM90" s="4">
        <v>116</v>
      </c>
      <c r="AN90" s="4">
        <v>178</v>
      </c>
      <c r="AO90" s="4">
        <v>33</v>
      </c>
      <c r="AP90" s="4">
        <v>0</v>
      </c>
      <c r="AQ90" s="4">
        <v>0</v>
      </c>
      <c r="AR90" s="4">
        <v>0.54329004329004305</v>
      </c>
      <c r="AS90" s="4">
        <v>45</v>
      </c>
      <c r="AT90" s="4">
        <v>14381</v>
      </c>
      <c r="AU90" s="4">
        <v>7613</v>
      </c>
      <c r="AV90" s="4">
        <v>10262</v>
      </c>
      <c r="AW90" s="4">
        <v>3265</v>
      </c>
      <c r="AX90" s="4">
        <v>2921</v>
      </c>
      <c r="AY90" s="4">
        <v>600</v>
      </c>
      <c r="AZ90" s="4">
        <v>0</v>
      </c>
      <c r="BA90" s="4">
        <v>0</v>
      </c>
      <c r="BB90" s="4">
        <v>236</v>
      </c>
      <c r="BC90" s="4">
        <v>32</v>
      </c>
      <c r="BD90" s="4">
        <v>0</v>
      </c>
      <c r="BE90" s="4">
        <v>193</v>
      </c>
      <c r="BF90" s="4">
        <v>0</v>
      </c>
      <c r="BG90" s="4">
        <v>68</v>
      </c>
      <c r="BH90" s="4">
        <v>2422</v>
      </c>
      <c r="BI90" s="4">
        <v>3917</v>
      </c>
      <c r="BJ90" s="4">
        <v>23817</v>
      </c>
      <c r="BK90" s="4">
        <v>5805</v>
      </c>
      <c r="BL90" s="4">
        <v>3384</v>
      </c>
      <c r="BM90" s="4">
        <v>6608</v>
      </c>
      <c r="BN90" s="4">
        <v>0</v>
      </c>
      <c r="BO90" s="4">
        <v>90</v>
      </c>
      <c r="BP90" s="4">
        <v>178</v>
      </c>
      <c r="BQ90" s="4">
        <v>0</v>
      </c>
      <c r="BR90" s="4">
        <v>0</v>
      </c>
      <c r="BS90" s="4">
        <v>193</v>
      </c>
      <c r="BT90" s="4">
        <v>0.33582089552238797</v>
      </c>
      <c r="BU90" s="4">
        <v>33</v>
      </c>
      <c r="BV90" s="4">
        <v>4886</v>
      </c>
      <c r="BW90" s="4">
        <v>4352</v>
      </c>
      <c r="BX90" s="4">
        <v>25029</v>
      </c>
      <c r="BY90" s="4">
        <v>2708</v>
      </c>
      <c r="BZ90" s="4">
        <v>2370</v>
      </c>
      <c r="CA90" s="4">
        <v>6608</v>
      </c>
      <c r="CB90">
        <v>19765.948337669452</v>
      </c>
      <c r="CC90">
        <v>24644.892373707018</v>
      </c>
      <c r="CD90" t="s">
        <v>687</v>
      </c>
      <c r="CE90">
        <v>27963.979849906533</v>
      </c>
      <c r="CF90">
        <v>14585.806441535724</v>
      </c>
      <c r="CG90" t="s">
        <v>687</v>
      </c>
      <c r="CH90">
        <v>6</v>
      </c>
      <c r="CI90">
        <v>15</v>
      </c>
      <c r="CJ90">
        <v>0</v>
      </c>
      <c r="CK90">
        <v>4</v>
      </c>
      <c r="CL90">
        <v>3</v>
      </c>
      <c r="CM90">
        <v>0</v>
      </c>
      <c r="CN90">
        <v>17255672.898785431</v>
      </c>
      <c r="CO90">
        <v>873</v>
      </c>
      <c r="CP90">
        <v>12199221.724984974</v>
      </c>
      <c r="CQ90">
        <v>495</v>
      </c>
      <c r="CR90">
        <v>0</v>
      </c>
      <c r="CS90">
        <v>0</v>
      </c>
      <c r="CT90">
        <v>14960729.219699996</v>
      </c>
      <c r="CU90">
        <v>535</v>
      </c>
      <c r="CV90">
        <v>1239793.5475305365</v>
      </c>
      <c r="CW90">
        <v>85</v>
      </c>
      <c r="CX90">
        <v>0</v>
      </c>
      <c r="CY90">
        <v>0</v>
      </c>
      <c r="CZ90" s="246">
        <v>0.15418939018344074</v>
      </c>
      <c r="DA90" s="246">
        <v>0.17027555424397803</v>
      </c>
      <c r="DB90" s="123">
        <v>109090131.73999999</v>
      </c>
      <c r="DC90" s="174">
        <v>90.4</v>
      </c>
      <c r="DD90" s="174">
        <v>5.9</v>
      </c>
      <c r="DE90" s="174">
        <v>1.4</v>
      </c>
      <c r="DF90" s="174">
        <v>74.7</v>
      </c>
      <c r="DG90" s="174">
        <v>11.2</v>
      </c>
      <c r="DH90" s="174">
        <v>5.5</v>
      </c>
      <c r="DI90" s="174">
        <v>97.7</v>
      </c>
      <c r="DJ90" s="174">
        <v>91.5</v>
      </c>
    </row>
    <row r="91" spans="1:114" x14ac:dyDescent="0.45">
      <c r="A91">
        <v>826</v>
      </c>
      <c r="B91" s="247">
        <v>5.6067761037403498E-2</v>
      </c>
      <c r="C91" s="169">
        <v>4.0963945731204598E-2</v>
      </c>
      <c r="D91" s="169">
        <v>2.63971156322431E-2</v>
      </c>
      <c r="E91" s="169">
        <v>1.5709502961627601E-2</v>
      </c>
      <c r="F91" s="206">
        <v>6953</v>
      </c>
      <c r="G91" s="206">
        <v>4239</v>
      </c>
      <c r="H91" s="206">
        <v>110</v>
      </c>
      <c r="I91" s="206">
        <v>0</v>
      </c>
      <c r="J91" s="189">
        <v>0.14150111864801301</v>
      </c>
      <c r="K91" s="189">
        <v>0.107607437959772</v>
      </c>
      <c r="L91" s="206">
        <v>855</v>
      </c>
      <c r="M91" s="206">
        <v>1990</v>
      </c>
      <c r="N91" s="4">
        <v>147</v>
      </c>
      <c r="O91" s="4">
        <v>15</v>
      </c>
      <c r="P91" s="4">
        <v>0</v>
      </c>
      <c r="Q91" s="4">
        <v>0</v>
      </c>
      <c r="R91" s="4">
        <v>330</v>
      </c>
      <c r="S91" s="4">
        <v>7352</v>
      </c>
      <c r="T91" s="4">
        <v>18254</v>
      </c>
      <c r="U91" s="4">
        <v>2040</v>
      </c>
      <c r="V91" s="4">
        <v>1815</v>
      </c>
      <c r="W91" s="4">
        <v>630</v>
      </c>
      <c r="X91" s="4">
        <v>1</v>
      </c>
      <c r="Y91" s="4">
        <v>1</v>
      </c>
      <c r="Z91" s="4">
        <v>0</v>
      </c>
      <c r="AA91" s="4">
        <v>0</v>
      </c>
      <c r="AB91" s="4">
        <v>0</v>
      </c>
      <c r="AC91" s="4">
        <v>0</v>
      </c>
      <c r="AD91" s="4">
        <v>750</v>
      </c>
      <c r="AE91" s="4">
        <v>0</v>
      </c>
      <c r="AF91" s="4">
        <v>15368</v>
      </c>
      <c r="AG91" s="4">
        <v>4275</v>
      </c>
      <c r="AH91" s="4">
        <v>0</v>
      </c>
      <c r="AI91" s="4">
        <v>0</v>
      </c>
      <c r="AJ91" s="4" t="s">
        <v>709</v>
      </c>
      <c r="AK91" s="4" t="s">
        <v>709</v>
      </c>
      <c r="AL91" s="4">
        <v>0</v>
      </c>
      <c r="AM91" s="4">
        <v>0</v>
      </c>
      <c r="AN91" s="4">
        <v>0</v>
      </c>
      <c r="AO91" s="4">
        <v>0</v>
      </c>
      <c r="AP91" s="4">
        <v>0</v>
      </c>
      <c r="AQ91" s="4">
        <v>750</v>
      </c>
      <c r="AR91" s="4" t="s">
        <v>709</v>
      </c>
      <c r="AS91" s="4" t="s">
        <v>709</v>
      </c>
      <c r="AT91" s="4">
        <v>0</v>
      </c>
      <c r="AU91" s="4">
        <v>5800</v>
      </c>
      <c r="AV91" s="4">
        <v>8118</v>
      </c>
      <c r="AW91" s="4">
        <v>2725</v>
      </c>
      <c r="AX91" s="4">
        <v>3000</v>
      </c>
      <c r="AY91" s="4">
        <v>0</v>
      </c>
      <c r="AZ91" s="4">
        <v>0</v>
      </c>
      <c r="BA91" s="4">
        <v>0</v>
      </c>
      <c r="BB91" s="4">
        <v>0</v>
      </c>
      <c r="BC91" s="4">
        <v>15</v>
      </c>
      <c r="BD91" s="4">
        <v>0</v>
      </c>
      <c r="BE91" s="4">
        <v>477</v>
      </c>
      <c r="BF91" s="4">
        <v>0</v>
      </c>
      <c r="BG91" s="4">
        <v>68</v>
      </c>
      <c r="BH91" s="4">
        <v>2730</v>
      </c>
      <c r="BI91" s="4">
        <v>5464</v>
      </c>
      <c r="BJ91" s="4">
        <v>11351</v>
      </c>
      <c r="BK91" s="4">
        <v>3880</v>
      </c>
      <c r="BL91" s="4">
        <v>1680</v>
      </c>
      <c r="BM91" s="4">
        <v>4986</v>
      </c>
      <c r="BN91" s="4">
        <v>0</v>
      </c>
      <c r="BO91" s="4">
        <v>0</v>
      </c>
      <c r="BP91" s="4">
        <v>0</v>
      </c>
      <c r="BQ91" s="4">
        <v>0</v>
      </c>
      <c r="BR91" s="4">
        <v>15</v>
      </c>
      <c r="BS91" s="4">
        <v>477</v>
      </c>
      <c r="BT91" s="4">
        <v>0</v>
      </c>
      <c r="BU91" s="4">
        <v>69</v>
      </c>
      <c r="BV91" s="4">
        <v>2710</v>
      </c>
      <c r="BW91" s="4">
        <v>3561</v>
      </c>
      <c r="BX91" s="4">
        <v>14199</v>
      </c>
      <c r="BY91" s="4">
        <v>2850</v>
      </c>
      <c r="BZ91" s="4">
        <v>1785</v>
      </c>
      <c r="CA91" s="4">
        <v>4986</v>
      </c>
      <c r="CB91">
        <v>15695.231087086275</v>
      </c>
      <c r="CC91" t="s">
        <v>687</v>
      </c>
      <c r="CD91">
        <v>13610.789418258692</v>
      </c>
      <c r="CE91">
        <v>20565.372708428244</v>
      </c>
      <c r="CF91" t="s">
        <v>687</v>
      </c>
      <c r="CG91">
        <v>18173.02601274609</v>
      </c>
      <c r="CH91">
        <v>8</v>
      </c>
      <c r="CI91">
        <v>0</v>
      </c>
      <c r="CJ91">
        <v>4</v>
      </c>
      <c r="CK91">
        <v>3</v>
      </c>
      <c r="CL91">
        <v>0</v>
      </c>
      <c r="CM91">
        <v>1</v>
      </c>
      <c r="CN91">
        <v>17594354.048623715</v>
      </c>
      <c r="CO91">
        <v>1121</v>
      </c>
      <c r="CP91">
        <v>0</v>
      </c>
      <c r="CQ91">
        <v>0</v>
      </c>
      <c r="CR91">
        <v>33033385.918113846</v>
      </c>
      <c r="CS91">
        <v>2427</v>
      </c>
      <c r="CT91">
        <v>20318588.235927105</v>
      </c>
      <c r="CU91">
        <v>988</v>
      </c>
      <c r="CV91">
        <v>0</v>
      </c>
      <c r="CW91">
        <v>0</v>
      </c>
      <c r="CX91">
        <v>29076841.620393746</v>
      </c>
      <c r="CY91">
        <v>1600</v>
      </c>
      <c r="CZ91" s="246">
        <v>0.32487407052050854</v>
      </c>
      <c r="DA91" s="246">
        <v>0.44180225281602004</v>
      </c>
      <c r="DB91" s="123">
        <v>170297698.30000001</v>
      </c>
      <c r="DC91" s="174">
        <v>91.7</v>
      </c>
      <c r="DD91" s="174">
        <v>5</v>
      </c>
      <c r="DE91" s="174">
        <v>1.6</v>
      </c>
      <c r="DF91" s="174">
        <v>76.2</v>
      </c>
      <c r="DG91" s="174">
        <v>10.3</v>
      </c>
      <c r="DH91" s="174">
        <v>4.5</v>
      </c>
      <c r="DI91" s="174">
        <v>98.3</v>
      </c>
      <c r="DJ91" s="174">
        <v>91.1</v>
      </c>
    </row>
    <row r="92" spans="1:114" x14ac:dyDescent="0.45">
      <c r="A92">
        <v>830</v>
      </c>
      <c r="B92" s="247">
        <v>-6.2175297469415098E-3</v>
      </c>
      <c r="C92" s="169">
        <v>2.04457851516675E-3</v>
      </c>
      <c r="D92" s="169">
        <v>-1.23437335854607E-3</v>
      </c>
      <c r="E92" s="169">
        <v>2.46874671709213E-3</v>
      </c>
      <c r="F92" s="206">
        <v>2911</v>
      </c>
      <c r="G92" s="206">
        <v>0</v>
      </c>
      <c r="H92" s="206">
        <v>690</v>
      </c>
      <c r="I92" s="206">
        <v>150</v>
      </c>
      <c r="J92" s="189">
        <v>0.123171649671767</v>
      </c>
      <c r="K92" s="189">
        <v>0.116288466393644</v>
      </c>
      <c r="L92" s="206">
        <v>1477</v>
      </c>
      <c r="M92" s="206">
        <v>0</v>
      </c>
      <c r="N92" s="4">
        <v>30</v>
      </c>
      <c r="O92" s="4">
        <v>218</v>
      </c>
      <c r="P92" s="4">
        <v>0</v>
      </c>
      <c r="Q92" s="4">
        <v>0</v>
      </c>
      <c r="R92" s="4">
        <v>0</v>
      </c>
      <c r="S92" s="4">
        <v>5936</v>
      </c>
      <c r="T92" s="4">
        <v>44261</v>
      </c>
      <c r="U92" s="4">
        <v>9038</v>
      </c>
      <c r="V92" s="4">
        <v>887</v>
      </c>
      <c r="W92" s="4">
        <v>0</v>
      </c>
      <c r="X92" s="4">
        <v>1</v>
      </c>
      <c r="Y92" s="4">
        <v>1</v>
      </c>
      <c r="Z92" s="4">
        <v>0</v>
      </c>
      <c r="AA92" s="4">
        <v>282</v>
      </c>
      <c r="AB92" s="4">
        <v>0</v>
      </c>
      <c r="AC92" s="4">
        <v>0</v>
      </c>
      <c r="AD92" s="4">
        <v>0</v>
      </c>
      <c r="AE92" s="4">
        <v>4597</v>
      </c>
      <c r="AF92" s="4">
        <v>22850</v>
      </c>
      <c r="AG92" s="4">
        <v>13043</v>
      </c>
      <c r="AH92" s="4">
        <v>5057</v>
      </c>
      <c r="AI92" s="4">
        <v>0</v>
      </c>
      <c r="AJ92" s="4">
        <v>1</v>
      </c>
      <c r="AK92" s="4">
        <v>1</v>
      </c>
      <c r="AL92" s="4">
        <v>0</v>
      </c>
      <c r="AM92" s="4">
        <v>0</v>
      </c>
      <c r="AN92" s="4">
        <v>0</v>
      </c>
      <c r="AO92" s="4">
        <v>16</v>
      </c>
      <c r="AP92" s="4">
        <v>0</v>
      </c>
      <c r="AQ92" s="4">
        <v>266</v>
      </c>
      <c r="AR92" s="4">
        <v>0</v>
      </c>
      <c r="AS92" s="4">
        <v>74</v>
      </c>
      <c r="AT92" s="4">
        <v>2203</v>
      </c>
      <c r="AU92" s="4">
        <v>3849</v>
      </c>
      <c r="AV92" s="4">
        <v>16083</v>
      </c>
      <c r="AW92" s="4">
        <v>14385</v>
      </c>
      <c r="AX92" s="4">
        <v>8043</v>
      </c>
      <c r="AY92" s="4">
        <v>984</v>
      </c>
      <c r="AZ92" s="4">
        <v>0</v>
      </c>
      <c r="BA92" s="4">
        <v>40</v>
      </c>
      <c r="BB92" s="4">
        <v>178</v>
      </c>
      <c r="BC92" s="4">
        <v>0</v>
      </c>
      <c r="BD92" s="4">
        <v>0</v>
      </c>
      <c r="BE92" s="4">
        <v>30</v>
      </c>
      <c r="BF92" s="4">
        <v>0.18348623853210999</v>
      </c>
      <c r="BG92" s="4">
        <v>55</v>
      </c>
      <c r="BH92" s="4">
        <v>1326</v>
      </c>
      <c r="BI92" s="4">
        <v>4870</v>
      </c>
      <c r="BJ92" s="4">
        <v>27552</v>
      </c>
      <c r="BK92" s="4">
        <v>8022</v>
      </c>
      <c r="BL92" s="4">
        <v>5611</v>
      </c>
      <c r="BM92" s="4">
        <v>12741</v>
      </c>
      <c r="BN92" s="4">
        <v>0</v>
      </c>
      <c r="BO92" s="4">
        <v>0</v>
      </c>
      <c r="BP92" s="4">
        <v>218</v>
      </c>
      <c r="BQ92" s="4">
        <v>0</v>
      </c>
      <c r="BR92" s="4">
        <v>0</v>
      </c>
      <c r="BS92" s="4">
        <v>30</v>
      </c>
      <c r="BT92" s="4">
        <v>0</v>
      </c>
      <c r="BU92" s="4">
        <v>69</v>
      </c>
      <c r="BV92" s="4">
        <v>3040</v>
      </c>
      <c r="BW92" s="4">
        <v>1398</v>
      </c>
      <c r="BX92" s="4">
        <v>30495</v>
      </c>
      <c r="BY92" s="4">
        <v>4958</v>
      </c>
      <c r="BZ92" s="4">
        <v>7490</v>
      </c>
      <c r="CA92" s="4">
        <v>12741</v>
      </c>
      <c r="CB92">
        <v>13355.98089941111</v>
      </c>
      <c r="CC92" t="s">
        <v>687</v>
      </c>
      <c r="CD92" t="s">
        <v>687</v>
      </c>
      <c r="CE92" t="s">
        <v>687</v>
      </c>
      <c r="CF92" t="s">
        <v>687</v>
      </c>
      <c r="CG92" t="s">
        <v>687</v>
      </c>
      <c r="CH92">
        <v>20</v>
      </c>
      <c r="CI92">
        <v>0</v>
      </c>
      <c r="CJ92">
        <v>0</v>
      </c>
      <c r="CK92">
        <v>0</v>
      </c>
      <c r="CL92">
        <v>0</v>
      </c>
      <c r="CM92">
        <v>0</v>
      </c>
      <c r="CN92">
        <v>10991972.280215343</v>
      </c>
      <c r="CO92">
        <v>823</v>
      </c>
      <c r="CP92">
        <v>0</v>
      </c>
      <c r="CQ92">
        <v>0</v>
      </c>
      <c r="CR92">
        <v>0</v>
      </c>
      <c r="CS92">
        <v>0</v>
      </c>
      <c r="CT92">
        <v>0</v>
      </c>
      <c r="CU92">
        <v>0</v>
      </c>
      <c r="CV92">
        <v>0</v>
      </c>
      <c r="CW92">
        <v>0</v>
      </c>
      <c r="CX92">
        <v>0</v>
      </c>
      <c r="CY92">
        <v>0</v>
      </c>
      <c r="CZ92" s="246">
        <v>7.821861756539529E-2</v>
      </c>
      <c r="DA92" s="246">
        <v>-6.4366151114433903E-2</v>
      </c>
      <c r="DB92" s="123">
        <v>50259585.910000004</v>
      </c>
      <c r="DC92" s="174">
        <v>95.4</v>
      </c>
      <c r="DD92" s="174">
        <v>3.1</v>
      </c>
      <c r="DE92" s="174">
        <v>0.6</v>
      </c>
      <c r="DF92" s="174">
        <v>83.2</v>
      </c>
      <c r="DG92" s="174">
        <v>6.4</v>
      </c>
      <c r="DH92" s="174">
        <v>1.5</v>
      </c>
      <c r="DI92" s="174">
        <v>99.1</v>
      </c>
      <c r="DJ92" s="174">
        <v>91.1</v>
      </c>
    </row>
    <row r="93" spans="1:114" x14ac:dyDescent="0.45">
      <c r="A93">
        <v>831</v>
      </c>
      <c r="B93" s="247">
        <v>9.4720889113412508E-3</v>
      </c>
      <c r="C93" s="169">
        <v>2.02071230108613E-3</v>
      </c>
      <c r="D93" s="169">
        <v>5.5805218324501998E-2</v>
      </c>
      <c r="E93" s="169">
        <v>1.8311087262727201E-2</v>
      </c>
      <c r="F93" s="206">
        <v>3206</v>
      </c>
      <c r="G93" s="206">
        <v>3179</v>
      </c>
      <c r="H93" s="206">
        <v>60</v>
      </c>
      <c r="I93" s="206">
        <v>0</v>
      </c>
      <c r="J93" s="189">
        <v>8.2771432148307206E-2</v>
      </c>
      <c r="K93" s="189">
        <v>0.103353034963547</v>
      </c>
      <c r="L93" s="206">
        <v>315</v>
      </c>
      <c r="M93" s="206">
        <v>870</v>
      </c>
      <c r="N93" s="4">
        <v>0</v>
      </c>
      <c r="O93" s="4">
        <v>32</v>
      </c>
      <c r="P93" s="4">
        <v>0</v>
      </c>
      <c r="Q93" s="4">
        <v>0</v>
      </c>
      <c r="R93" s="4">
        <v>0</v>
      </c>
      <c r="S93" s="4">
        <v>2733</v>
      </c>
      <c r="T93" s="4">
        <v>15862</v>
      </c>
      <c r="U93" s="4">
        <v>2482</v>
      </c>
      <c r="V93" s="4">
        <v>520</v>
      </c>
      <c r="W93" s="4">
        <v>0</v>
      </c>
      <c r="X93" s="4">
        <v>1</v>
      </c>
      <c r="Y93" s="4">
        <v>1</v>
      </c>
      <c r="Z93" s="4">
        <v>0</v>
      </c>
      <c r="AA93" s="4">
        <v>201</v>
      </c>
      <c r="AB93" s="4">
        <v>90</v>
      </c>
      <c r="AC93" s="4">
        <v>0</v>
      </c>
      <c r="AD93" s="4">
        <v>1260</v>
      </c>
      <c r="AE93" s="4">
        <v>2887</v>
      </c>
      <c r="AF93" s="4">
        <v>5223</v>
      </c>
      <c r="AG93" s="4">
        <v>3507</v>
      </c>
      <c r="AH93" s="4">
        <v>5070</v>
      </c>
      <c r="AI93" s="4">
        <v>0</v>
      </c>
      <c r="AJ93" s="4">
        <v>0.69072164948453596</v>
      </c>
      <c r="AK93" s="4">
        <v>98</v>
      </c>
      <c r="AL93" s="4">
        <v>0</v>
      </c>
      <c r="AM93" s="4">
        <v>0</v>
      </c>
      <c r="AN93" s="4">
        <v>0</v>
      </c>
      <c r="AO93" s="4">
        <v>291</v>
      </c>
      <c r="AP93" s="4">
        <v>0</v>
      </c>
      <c r="AQ93" s="4">
        <v>1260</v>
      </c>
      <c r="AR93" s="4">
        <v>0</v>
      </c>
      <c r="AS93" s="4">
        <v>74</v>
      </c>
      <c r="AT93" s="4">
        <v>1125</v>
      </c>
      <c r="AU93" s="4">
        <v>4636</v>
      </c>
      <c r="AV93" s="4">
        <v>3034</v>
      </c>
      <c r="AW93" s="4">
        <v>3372</v>
      </c>
      <c r="AX93" s="4">
        <v>3920</v>
      </c>
      <c r="AY93" s="4">
        <v>600</v>
      </c>
      <c r="AZ93" s="4">
        <v>0</v>
      </c>
      <c r="BA93" s="4">
        <v>0</v>
      </c>
      <c r="BB93" s="4">
        <v>0</v>
      </c>
      <c r="BC93" s="4">
        <v>0</v>
      </c>
      <c r="BD93" s="4">
        <v>0</v>
      </c>
      <c r="BE93" s="4">
        <v>32</v>
      </c>
      <c r="BF93" s="4" t="s">
        <v>709</v>
      </c>
      <c r="BG93" s="4" t="s">
        <v>709</v>
      </c>
      <c r="BH93" s="4">
        <v>1400</v>
      </c>
      <c r="BI93" s="4">
        <v>2802</v>
      </c>
      <c r="BJ93" s="4">
        <v>7021</v>
      </c>
      <c r="BK93" s="4">
        <v>1500</v>
      </c>
      <c r="BL93" s="4">
        <v>1500</v>
      </c>
      <c r="BM93" s="4">
        <v>7374</v>
      </c>
      <c r="BN93" s="4">
        <v>0</v>
      </c>
      <c r="BO93" s="4">
        <v>0</v>
      </c>
      <c r="BP93" s="4">
        <v>0</v>
      </c>
      <c r="BQ93" s="4">
        <v>0</v>
      </c>
      <c r="BR93" s="4">
        <v>0</v>
      </c>
      <c r="BS93" s="4">
        <v>32</v>
      </c>
      <c r="BT93" s="4" t="s">
        <v>709</v>
      </c>
      <c r="BU93" s="4" t="s">
        <v>709</v>
      </c>
      <c r="BV93" s="4">
        <v>1351</v>
      </c>
      <c r="BW93" s="4">
        <v>1130</v>
      </c>
      <c r="BX93" s="4">
        <v>8462</v>
      </c>
      <c r="BY93" s="4">
        <v>630</v>
      </c>
      <c r="BZ93" s="4">
        <v>2650</v>
      </c>
      <c r="CA93" s="4">
        <v>7374</v>
      </c>
      <c r="CB93">
        <v>11916.451464783619</v>
      </c>
      <c r="CC93">
        <v>8631.1605138208961</v>
      </c>
      <c r="CD93" t="s">
        <v>687</v>
      </c>
      <c r="CE93" t="s">
        <v>687</v>
      </c>
      <c r="CF93" t="s">
        <v>687</v>
      </c>
      <c r="CG93" t="s">
        <v>687</v>
      </c>
      <c r="CH93">
        <v>3</v>
      </c>
      <c r="CI93">
        <v>1</v>
      </c>
      <c r="CJ93">
        <v>0</v>
      </c>
      <c r="CK93">
        <v>0</v>
      </c>
      <c r="CL93">
        <v>0</v>
      </c>
      <c r="CM93">
        <v>0</v>
      </c>
      <c r="CN93">
        <v>2895697.7059424194</v>
      </c>
      <c r="CO93">
        <v>243</v>
      </c>
      <c r="CP93">
        <v>86311.605138208964</v>
      </c>
      <c r="CQ93">
        <v>10</v>
      </c>
      <c r="CR93">
        <v>0</v>
      </c>
      <c r="CS93">
        <v>0</v>
      </c>
      <c r="CT93">
        <v>0</v>
      </c>
      <c r="CU93">
        <v>0</v>
      </c>
      <c r="CV93">
        <v>0</v>
      </c>
      <c r="CW93">
        <v>0</v>
      </c>
      <c r="CX93">
        <v>0</v>
      </c>
      <c r="CY93">
        <v>0</v>
      </c>
      <c r="CZ93" s="246">
        <v>0.2176120627756693</v>
      </c>
      <c r="DA93" s="246">
        <v>0.21301645338208411</v>
      </c>
      <c r="DB93" s="123">
        <v>56315597.079999998</v>
      </c>
      <c r="DC93" s="174">
        <v>88.7</v>
      </c>
      <c r="DD93" s="174">
        <v>5.7</v>
      </c>
      <c r="DE93" s="174">
        <v>1.8</v>
      </c>
      <c r="DF93" s="174">
        <v>81.5</v>
      </c>
      <c r="DG93" s="174">
        <v>9.5</v>
      </c>
      <c r="DH93" s="174">
        <v>3.2</v>
      </c>
      <c r="DI93" s="174">
        <v>96.2</v>
      </c>
      <c r="DJ93" s="174">
        <v>94.3</v>
      </c>
    </row>
    <row r="94" spans="1:114" x14ac:dyDescent="0.45">
      <c r="A94">
        <v>840</v>
      </c>
      <c r="B94" s="247">
        <v>-1.71708912510221E-2</v>
      </c>
      <c r="C94" s="169">
        <v>2.7391659852820899E-2</v>
      </c>
      <c r="D94" s="169">
        <v>2.0780153158902401E-2</v>
      </c>
      <c r="E94" s="169">
        <v>-1.2523931078493899E-2</v>
      </c>
      <c r="F94" s="206">
        <v>2907</v>
      </c>
      <c r="G94" s="206">
        <v>0</v>
      </c>
      <c r="H94" s="206">
        <v>180</v>
      </c>
      <c r="I94" s="206">
        <v>160</v>
      </c>
      <c r="J94" s="189">
        <v>0.148461681750441</v>
      </c>
      <c r="K94" s="189">
        <v>0.17362026108038101</v>
      </c>
      <c r="L94" s="206">
        <v>193</v>
      </c>
      <c r="M94" s="206">
        <v>60</v>
      </c>
      <c r="N94" s="4">
        <v>245</v>
      </c>
      <c r="O94" s="4">
        <v>212</v>
      </c>
      <c r="P94" s="4">
        <v>0</v>
      </c>
      <c r="Q94" s="4">
        <v>0</v>
      </c>
      <c r="R94" s="4">
        <v>0</v>
      </c>
      <c r="S94" s="4">
        <v>6891</v>
      </c>
      <c r="T94" s="4">
        <v>32129</v>
      </c>
      <c r="U94" s="4">
        <v>5163</v>
      </c>
      <c r="V94" s="4">
        <v>630</v>
      </c>
      <c r="W94" s="4">
        <v>0</v>
      </c>
      <c r="X94" s="4">
        <v>1</v>
      </c>
      <c r="Y94" s="4">
        <v>1</v>
      </c>
      <c r="Z94" s="4">
        <v>0</v>
      </c>
      <c r="AA94" s="4">
        <v>27</v>
      </c>
      <c r="AB94" s="4">
        <v>0</v>
      </c>
      <c r="AC94" s="4">
        <v>0</v>
      </c>
      <c r="AD94" s="4">
        <v>0</v>
      </c>
      <c r="AE94" s="4">
        <v>7251</v>
      </c>
      <c r="AF94" s="4">
        <v>15772</v>
      </c>
      <c r="AG94" s="4">
        <v>8023</v>
      </c>
      <c r="AH94" s="4">
        <v>2103</v>
      </c>
      <c r="AI94" s="4">
        <v>0</v>
      </c>
      <c r="AJ94" s="4">
        <v>1</v>
      </c>
      <c r="AK94" s="4">
        <v>1</v>
      </c>
      <c r="AL94" s="4">
        <v>0</v>
      </c>
      <c r="AM94" s="4">
        <v>0</v>
      </c>
      <c r="AN94" s="4">
        <v>27</v>
      </c>
      <c r="AO94" s="4">
        <v>0</v>
      </c>
      <c r="AP94" s="4">
        <v>0</v>
      </c>
      <c r="AQ94" s="4">
        <v>0</v>
      </c>
      <c r="AR94" s="4">
        <v>0</v>
      </c>
      <c r="AS94" s="4">
        <v>74</v>
      </c>
      <c r="AT94" s="4">
        <v>975</v>
      </c>
      <c r="AU94" s="4">
        <v>8807</v>
      </c>
      <c r="AV94" s="4">
        <v>10637</v>
      </c>
      <c r="AW94" s="4">
        <v>7417</v>
      </c>
      <c r="AX94" s="4">
        <v>4713</v>
      </c>
      <c r="AY94" s="4">
        <v>600</v>
      </c>
      <c r="AZ94" s="4">
        <v>128</v>
      </c>
      <c r="BA94" s="4">
        <v>0</v>
      </c>
      <c r="BB94" s="4">
        <v>300</v>
      </c>
      <c r="BC94" s="4">
        <v>0</v>
      </c>
      <c r="BD94" s="4">
        <v>29</v>
      </c>
      <c r="BE94" s="4">
        <v>0</v>
      </c>
      <c r="BF94" s="4">
        <v>0.28008752735229803</v>
      </c>
      <c r="BG94" s="4">
        <v>42</v>
      </c>
      <c r="BH94" s="4">
        <v>4893</v>
      </c>
      <c r="BI94" s="4">
        <v>3470</v>
      </c>
      <c r="BJ94" s="4">
        <v>28206</v>
      </c>
      <c r="BK94" s="4">
        <v>2782</v>
      </c>
      <c r="BL94" s="4">
        <v>2966</v>
      </c>
      <c r="BM94" s="4">
        <v>2496</v>
      </c>
      <c r="BN94" s="4">
        <v>56</v>
      </c>
      <c r="BO94" s="4">
        <v>0</v>
      </c>
      <c r="BP94" s="4">
        <v>372</v>
      </c>
      <c r="BQ94" s="4">
        <v>29</v>
      </c>
      <c r="BR94" s="4">
        <v>0</v>
      </c>
      <c r="BS94" s="4">
        <v>0</v>
      </c>
      <c r="BT94" s="4">
        <v>0.12253829321663</v>
      </c>
      <c r="BU94" s="4">
        <v>58</v>
      </c>
      <c r="BV94" s="4">
        <v>3913</v>
      </c>
      <c r="BW94" s="4">
        <v>3868</v>
      </c>
      <c r="BX94" s="4">
        <v>28088</v>
      </c>
      <c r="BY94" s="4">
        <v>1738</v>
      </c>
      <c r="BZ94" s="4">
        <v>4710</v>
      </c>
      <c r="CA94" s="4">
        <v>2496</v>
      </c>
      <c r="CB94">
        <v>15711.443810021581</v>
      </c>
      <c r="CC94" t="s">
        <v>687</v>
      </c>
      <c r="CD94" t="s">
        <v>687</v>
      </c>
      <c r="CE94" t="s">
        <v>687</v>
      </c>
      <c r="CF94" t="s">
        <v>687</v>
      </c>
      <c r="CG94" t="s">
        <v>687</v>
      </c>
      <c r="CH94">
        <v>17</v>
      </c>
      <c r="CI94">
        <v>0</v>
      </c>
      <c r="CJ94">
        <v>0</v>
      </c>
      <c r="CK94">
        <v>0</v>
      </c>
      <c r="CL94">
        <v>0</v>
      </c>
      <c r="CM94">
        <v>0</v>
      </c>
      <c r="CN94">
        <v>14046030.766159294</v>
      </c>
      <c r="CO94">
        <v>894</v>
      </c>
      <c r="CP94">
        <v>0</v>
      </c>
      <c r="CQ94">
        <v>0</v>
      </c>
      <c r="CR94">
        <v>0</v>
      </c>
      <c r="CS94">
        <v>0</v>
      </c>
      <c r="CT94">
        <v>0</v>
      </c>
      <c r="CU94">
        <v>0</v>
      </c>
      <c r="CV94">
        <v>0</v>
      </c>
      <c r="CW94">
        <v>0</v>
      </c>
      <c r="CX94">
        <v>0</v>
      </c>
      <c r="CY94">
        <v>0</v>
      </c>
      <c r="CZ94" s="246">
        <v>9.9407523335755407E-2</v>
      </c>
      <c r="DA94" s="246">
        <v>3.6193681061880728E-2</v>
      </c>
      <c r="DB94" s="123">
        <v>21179499.390000001</v>
      </c>
      <c r="DC94" s="174">
        <v>95.4</v>
      </c>
      <c r="DD94" s="174">
        <v>3.5</v>
      </c>
      <c r="DE94" s="174">
        <v>0.4</v>
      </c>
      <c r="DF94" s="174">
        <v>94</v>
      </c>
      <c r="DG94" s="174">
        <v>3.7</v>
      </c>
      <c r="DH94" s="174">
        <v>0.8</v>
      </c>
      <c r="DI94" s="174">
        <v>99.3</v>
      </c>
      <c r="DJ94" s="174">
        <v>98.5</v>
      </c>
    </row>
    <row r="95" spans="1:114" x14ac:dyDescent="0.45">
      <c r="A95">
        <v>841</v>
      </c>
      <c r="B95" s="247">
        <v>1.42265038646802E-2</v>
      </c>
      <c r="C95" s="169">
        <v>6.2731040663156698E-3</v>
      </c>
      <c r="D95" s="169">
        <v>6.3411325873177396E-2</v>
      </c>
      <c r="E95" s="169">
        <v>3.2722956934554098E-2</v>
      </c>
      <c r="F95" s="206">
        <v>870</v>
      </c>
      <c r="G95" s="206">
        <v>784</v>
      </c>
      <c r="H95" s="206">
        <v>0</v>
      </c>
      <c r="I95" s="206">
        <v>0</v>
      </c>
      <c r="J95" s="189">
        <v>0.122135040083034</v>
      </c>
      <c r="K95" s="189">
        <v>7.3584878212606494E-2</v>
      </c>
      <c r="L95" s="206">
        <v>0</v>
      </c>
      <c r="M95" s="206">
        <v>0</v>
      </c>
      <c r="N95" s="4">
        <v>0</v>
      </c>
      <c r="O95" s="4">
        <v>0</v>
      </c>
      <c r="P95" s="4">
        <v>0</v>
      </c>
      <c r="Q95" s="4">
        <v>0</v>
      </c>
      <c r="R95" s="4">
        <v>0</v>
      </c>
      <c r="S95" s="4">
        <v>1495</v>
      </c>
      <c r="T95" s="4">
        <v>5830</v>
      </c>
      <c r="U95" s="4">
        <v>2046</v>
      </c>
      <c r="V95" s="4">
        <v>0</v>
      </c>
      <c r="W95" s="4">
        <v>0</v>
      </c>
      <c r="X95" s="4" t="s">
        <v>709</v>
      </c>
      <c r="Y95" s="4" t="s">
        <v>709</v>
      </c>
      <c r="Z95" s="4">
        <v>0</v>
      </c>
      <c r="AA95" s="4">
        <v>0</v>
      </c>
      <c r="AB95" s="4">
        <v>0</v>
      </c>
      <c r="AC95" s="4">
        <v>0</v>
      </c>
      <c r="AD95" s="4">
        <v>0</v>
      </c>
      <c r="AE95" s="4">
        <v>1835</v>
      </c>
      <c r="AF95" s="4">
        <v>0</v>
      </c>
      <c r="AG95" s="4">
        <v>3346</v>
      </c>
      <c r="AH95" s="4">
        <v>0</v>
      </c>
      <c r="AI95" s="4">
        <v>0</v>
      </c>
      <c r="AJ95" s="4" t="s">
        <v>709</v>
      </c>
      <c r="AK95" s="4" t="s">
        <v>709</v>
      </c>
      <c r="AL95" s="4">
        <v>0</v>
      </c>
      <c r="AM95" s="4">
        <v>0</v>
      </c>
      <c r="AN95" s="4">
        <v>0</v>
      </c>
      <c r="AO95" s="4">
        <v>0</v>
      </c>
      <c r="AP95" s="4">
        <v>0</v>
      </c>
      <c r="AQ95" s="4">
        <v>0</v>
      </c>
      <c r="AR95" s="4" t="s">
        <v>709</v>
      </c>
      <c r="AS95" s="4" t="s">
        <v>709</v>
      </c>
      <c r="AT95" s="4">
        <v>0</v>
      </c>
      <c r="AU95" s="4">
        <v>1200</v>
      </c>
      <c r="AV95" s="4">
        <v>2446</v>
      </c>
      <c r="AW95" s="4">
        <v>1535</v>
      </c>
      <c r="AX95" s="4">
        <v>0</v>
      </c>
      <c r="AY95" s="4">
        <v>0</v>
      </c>
      <c r="AZ95" s="4">
        <v>0</v>
      </c>
      <c r="BA95" s="4">
        <v>0</v>
      </c>
      <c r="BB95" s="4">
        <v>0</v>
      </c>
      <c r="BC95" s="4">
        <v>0</v>
      </c>
      <c r="BD95" s="4">
        <v>0</v>
      </c>
      <c r="BE95" s="4">
        <v>0</v>
      </c>
      <c r="BF95" s="4" t="s">
        <v>709</v>
      </c>
      <c r="BG95" s="4" t="s">
        <v>709</v>
      </c>
      <c r="BH95" s="4">
        <v>1630</v>
      </c>
      <c r="BI95" s="4">
        <v>1650</v>
      </c>
      <c r="BJ95" s="4">
        <v>4375</v>
      </c>
      <c r="BK95" s="4">
        <v>840</v>
      </c>
      <c r="BL95" s="4">
        <v>0</v>
      </c>
      <c r="BM95" s="4">
        <v>876</v>
      </c>
      <c r="BN95" s="4">
        <v>0</v>
      </c>
      <c r="BO95" s="4">
        <v>0</v>
      </c>
      <c r="BP95" s="4">
        <v>0</v>
      </c>
      <c r="BQ95" s="4">
        <v>0</v>
      </c>
      <c r="BR95" s="4">
        <v>0</v>
      </c>
      <c r="BS95" s="4">
        <v>0</v>
      </c>
      <c r="BT95" s="4" t="s">
        <v>709</v>
      </c>
      <c r="BU95" s="4" t="s">
        <v>709</v>
      </c>
      <c r="BV95" s="4">
        <v>1225</v>
      </c>
      <c r="BW95" s="4">
        <v>640</v>
      </c>
      <c r="BX95" s="4">
        <v>5160</v>
      </c>
      <c r="BY95" s="4">
        <v>840</v>
      </c>
      <c r="BZ95" s="4">
        <v>630</v>
      </c>
      <c r="CA95" s="4">
        <v>876</v>
      </c>
      <c r="CB95">
        <v>18037.220504961984</v>
      </c>
      <c r="CC95" t="s">
        <v>687</v>
      </c>
      <c r="CD95" t="s">
        <v>687</v>
      </c>
      <c r="CE95" t="s">
        <v>687</v>
      </c>
      <c r="CF95" t="s">
        <v>687</v>
      </c>
      <c r="CG95" t="s">
        <v>687</v>
      </c>
      <c r="CH95">
        <v>2</v>
      </c>
      <c r="CI95">
        <v>0</v>
      </c>
      <c r="CJ95">
        <v>0</v>
      </c>
      <c r="CK95">
        <v>0</v>
      </c>
      <c r="CL95">
        <v>0</v>
      </c>
      <c r="CM95">
        <v>0</v>
      </c>
      <c r="CN95">
        <v>4058374.6136164465</v>
      </c>
      <c r="CO95">
        <v>225</v>
      </c>
      <c r="CP95">
        <v>0</v>
      </c>
      <c r="CQ95">
        <v>0</v>
      </c>
      <c r="CR95">
        <v>0</v>
      </c>
      <c r="CS95">
        <v>0</v>
      </c>
      <c r="CT95">
        <v>0</v>
      </c>
      <c r="CU95">
        <v>0</v>
      </c>
      <c r="CV95">
        <v>0</v>
      </c>
      <c r="CW95">
        <v>0</v>
      </c>
      <c r="CX95">
        <v>0</v>
      </c>
      <c r="CY95">
        <v>0</v>
      </c>
      <c r="CZ95" s="246">
        <v>5.6404522300906944E-2</v>
      </c>
      <c r="DA95" s="246">
        <v>0.19260129183793306</v>
      </c>
      <c r="DB95" s="123">
        <v>13343101.989999998</v>
      </c>
      <c r="DC95" s="174">
        <v>95.9</v>
      </c>
      <c r="DD95" s="174">
        <v>3</v>
      </c>
      <c r="DE95" s="174">
        <v>0.6</v>
      </c>
      <c r="DF95" s="174">
        <v>83.6</v>
      </c>
      <c r="DG95" s="174">
        <v>7.6</v>
      </c>
      <c r="DH95" s="174">
        <v>2.8</v>
      </c>
      <c r="DI95" s="174">
        <v>99.5</v>
      </c>
      <c r="DJ95" s="174">
        <v>94</v>
      </c>
    </row>
    <row r="96" spans="1:114" x14ac:dyDescent="0.45">
      <c r="A96">
        <v>845</v>
      </c>
      <c r="B96" s="247">
        <v>3.8926417682532299E-2</v>
      </c>
      <c r="C96" s="169">
        <v>1.5529155990371901E-4</v>
      </c>
      <c r="D96" s="169">
        <v>4.3034131933048898E-2</v>
      </c>
      <c r="E96" s="169">
        <v>7.3022645224811297E-3</v>
      </c>
      <c r="F96" s="206">
        <v>2538</v>
      </c>
      <c r="G96" s="206">
        <v>2004</v>
      </c>
      <c r="H96" s="206">
        <v>140</v>
      </c>
      <c r="I96" s="206">
        <v>120</v>
      </c>
      <c r="J96" s="189">
        <v>9.14609143888091E-2</v>
      </c>
      <c r="K96" s="189">
        <v>0.107518128628455</v>
      </c>
      <c r="L96" s="206">
        <v>626</v>
      </c>
      <c r="M96" s="206">
        <v>0</v>
      </c>
      <c r="N96" s="4">
        <v>0</v>
      </c>
      <c r="O96" s="4">
        <v>55</v>
      </c>
      <c r="P96" s="4">
        <v>0</v>
      </c>
      <c r="Q96" s="4">
        <v>0</v>
      </c>
      <c r="R96" s="4">
        <v>0</v>
      </c>
      <c r="S96" s="4">
        <v>3595</v>
      </c>
      <c r="T96" s="4">
        <v>33598</v>
      </c>
      <c r="U96" s="4">
        <v>2000</v>
      </c>
      <c r="V96" s="4">
        <v>420</v>
      </c>
      <c r="W96" s="4">
        <v>0</v>
      </c>
      <c r="X96" s="4">
        <v>1</v>
      </c>
      <c r="Y96" s="4">
        <v>1</v>
      </c>
      <c r="Z96" s="4">
        <v>0</v>
      </c>
      <c r="AA96" s="4">
        <v>340</v>
      </c>
      <c r="AB96" s="4">
        <v>0</v>
      </c>
      <c r="AC96" s="4">
        <v>0</v>
      </c>
      <c r="AD96" s="4">
        <v>0</v>
      </c>
      <c r="AE96" s="4">
        <v>2400</v>
      </c>
      <c r="AF96" s="4">
        <v>24895</v>
      </c>
      <c r="AG96" s="4">
        <v>2295</v>
      </c>
      <c r="AH96" s="4">
        <v>1350</v>
      </c>
      <c r="AI96" s="4">
        <v>0</v>
      </c>
      <c r="AJ96" s="4">
        <v>1</v>
      </c>
      <c r="AK96" s="4">
        <v>1</v>
      </c>
      <c r="AL96" s="4">
        <v>300</v>
      </c>
      <c r="AM96" s="4">
        <v>0</v>
      </c>
      <c r="AN96" s="4">
        <v>0</v>
      </c>
      <c r="AO96" s="4">
        <v>40</v>
      </c>
      <c r="AP96" s="4">
        <v>0</v>
      </c>
      <c r="AQ96" s="4">
        <v>0</v>
      </c>
      <c r="AR96" s="4">
        <v>0.88235294117647101</v>
      </c>
      <c r="AS96" s="4">
        <v>29</v>
      </c>
      <c r="AT96" s="4">
        <v>1500</v>
      </c>
      <c r="AU96" s="4">
        <v>6010</v>
      </c>
      <c r="AV96" s="4">
        <v>14245</v>
      </c>
      <c r="AW96" s="4">
        <v>4490</v>
      </c>
      <c r="AX96" s="4">
        <v>3345</v>
      </c>
      <c r="AY96" s="4">
        <v>1350</v>
      </c>
      <c r="AZ96" s="4">
        <v>0</v>
      </c>
      <c r="BA96" s="4">
        <v>0</v>
      </c>
      <c r="BB96" s="4">
        <v>30</v>
      </c>
      <c r="BC96" s="4">
        <v>0</v>
      </c>
      <c r="BD96" s="4">
        <v>25</v>
      </c>
      <c r="BE96" s="4">
        <v>0</v>
      </c>
      <c r="BF96" s="4">
        <v>0</v>
      </c>
      <c r="BG96" s="4">
        <v>68</v>
      </c>
      <c r="BH96" s="4">
        <v>434</v>
      </c>
      <c r="BI96" s="4">
        <v>3830</v>
      </c>
      <c r="BJ96" s="4">
        <v>16266</v>
      </c>
      <c r="BK96" s="4">
        <v>7121</v>
      </c>
      <c r="BL96" s="4">
        <v>7680</v>
      </c>
      <c r="BM96" s="4">
        <v>4282</v>
      </c>
      <c r="BN96" s="4">
        <v>0</v>
      </c>
      <c r="BO96" s="4">
        <v>30</v>
      </c>
      <c r="BP96" s="4">
        <v>25</v>
      </c>
      <c r="BQ96" s="4">
        <v>0</v>
      </c>
      <c r="BR96" s="4">
        <v>0</v>
      </c>
      <c r="BS96" s="4">
        <v>0</v>
      </c>
      <c r="BT96" s="4">
        <v>0.54545454545454497</v>
      </c>
      <c r="BU96" s="4">
        <v>20</v>
      </c>
      <c r="BV96" s="4">
        <v>835</v>
      </c>
      <c r="BW96" s="4">
        <v>3600</v>
      </c>
      <c r="BX96" s="4">
        <v>22661</v>
      </c>
      <c r="BY96" s="4">
        <v>3840</v>
      </c>
      <c r="BZ96" s="4">
        <v>4395</v>
      </c>
      <c r="CA96" s="4">
        <v>4282</v>
      </c>
      <c r="CB96">
        <v>18503.636570320621</v>
      </c>
      <c r="CC96">
        <v>9913.7871856112961</v>
      </c>
      <c r="CD96">
        <v>21876.943611060367</v>
      </c>
      <c r="CE96" t="s">
        <v>687</v>
      </c>
      <c r="CF96" t="s">
        <v>687</v>
      </c>
      <c r="CG96" t="s">
        <v>687</v>
      </c>
      <c r="CH96">
        <v>11</v>
      </c>
      <c r="CI96">
        <v>16</v>
      </c>
      <c r="CJ96">
        <v>3</v>
      </c>
      <c r="CK96">
        <v>0</v>
      </c>
      <c r="CL96">
        <v>0</v>
      </c>
      <c r="CM96">
        <v>0</v>
      </c>
      <c r="CN96">
        <v>11990356.497567764</v>
      </c>
      <c r="CO96">
        <v>648</v>
      </c>
      <c r="CP96">
        <v>5056031.4646617612</v>
      </c>
      <c r="CQ96">
        <v>510</v>
      </c>
      <c r="CR96">
        <v>19557987.588287968</v>
      </c>
      <c r="CS96">
        <v>894</v>
      </c>
      <c r="CT96">
        <v>0</v>
      </c>
      <c r="CU96">
        <v>0</v>
      </c>
      <c r="CV96">
        <v>0</v>
      </c>
      <c r="CW96">
        <v>0</v>
      </c>
      <c r="CX96">
        <v>0</v>
      </c>
      <c r="CY96">
        <v>0</v>
      </c>
      <c r="CZ96" s="246">
        <v>0.11328899778322249</v>
      </c>
      <c r="DA96" s="246">
        <v>1.4407106991116261E-2</v>
      </c>
      <c r="DB96" s="123">
        <v>91141945.679999992</v>
      </c>
      <c r="DC96" s="174">
        <v>88.9</v>
      </c>
      <c r="DD96" s="174">
        <v>6.4</v>
      </c>
      <c r="DE96" s="174">
        <v>1.6</v>
      </c>
      <c r="DF96" s="174">
        <v>88.6</v>
      </c>
      <c r="DG96" s="174">
        <v>5.9</v>
      </c>
      <c r="DH96" s="174">
        <v>1</v>
      </c>
      <c r="DI96" s="174">
        <v>97</v>
      </c>
      <c r="DJ96" s="174">
        <v>95.4</v>
      </c>
    </row>
    <row r="97" spans="1:114" x14ac:dyDescent="0.45">
      <c r="A97">
        <v>846</v>
      </c>
      <c r="B97" s="247">
        <v>3.7684119987098197E-2</v>
      </c>
      <c r="C97" s="169">
        <v>1.0859047414256501E-2</v>
      </c>
      <c r="D97" s="169">
        <v>2.6058062259531299E-2</v>
      </c>
      <c r="E97" s="169">
        <v>1.4952780692549799E-2</v>
      </c>
      <c r="F97" s="206">
        <v>3121</v>
      </c>
      <c r="G97" s="206">
        <v>2151</v>
      </c>
      <c r="H97" s="206">
        <v>0</v>
      </c>
      <c r="I97" s="206">
        <v>40</v>
      </c>
      <c r="J97" s="189">
        <v>0.152263065472305</v>
      </c>
      <c r="K97" s="189">
        <v>0.123054700491771</v>
      </c>
      <c r="L97" s="206">
        <v>0</v>
      </c>
      <c r="M97" s="206">
        <v>240</v>
      </c>
      <c r="N97" s="4">
        <v>0</v>
      </c>
      <c r="O97" s="4">
        <v>0</v>
      </c>
      <c r="P97" s="4">
        <v>0</v>
      </c>
      <c r="Q97" s="4">
        <v>0</v>
      </c>
      <c r="R97" s="4">
        <v>0</v>
      </c>
      <c r="S97" s="4">
        <v>2728</v>
      </c>
      <c r="T97" s="4">
        <v>15977</v>
      </c>
      <c r="U97" s="4">
        <v>2100</v>
      </c>
      <c r="V97" s="4">
        <v>607</v>
      </c>
      <c r="W97" s="4">
        <v>0</v>
      </c>
      <c r="X97" s="4" t="s">
        <v>709</v>
      </c>
      <c r="Y97" s="4" t="s">
        <v>709</v>
      </c>
      <c r="Z97" s="4">
        <v>0</v>
      </c>
      <c r="AA97" s="4">
        <v>117</v>
      </c>
      <c r="AB97" s="4">
        <v>0</v>
      </c>
      <c r="AC97" s="4">
        <v>0</v>
      </c>
      <c r="AD97" s="4">
        <v>0</v>
      </c>
      <c r="AE97" s="4">
        <v>0</v>
      </c>
      <c r="AF97" s="4">
        <v>14656</v>
      </c>
      <c r="AG97" s="4">
        <v>0</v>
      </c>
      <c r="AH97" s="4">
        <v>0</v>
      </c>
      <c r="AI97" s="4">
        <v>0</v>
      </c>
      <c r="AJ97" s="4">
        <v>1</v>
      </c>
      <c r="AK97" s="4">
        <v>1</v>
      </c>
      <c r="AL97" s="4">
        <v>0</v>
      </c>
      <c r="AM97" s="4">
        <v>40</v>
      </c>
      <c r="AN97" s="4">
        <v>77</v>
      </c>
      <c r="AO97" s="4">
        <v>0</v>
      </c>
      <c r="AP97" s="4">
        <v>0</v>
      </c>
      <c r="AQ97" s="4">
        <v>0</v>
      </c>
      <c r="AR97" s="4">
        <v>0.341880341880342</v>
      </c>
      <c r="AS97" s="4">
        <v>58</v>
      </c>
      <c r="AT97" s="4">
        <v>0</v>
      </c>
      <c r="AU97" s="4">
        <v>3000</v>
      </c>
      <c r="AV97" s="4">
        <v>8632</v>
      </c>
      <c r="AW97" s="4">
        <v>1661</v>
      </c>
      <c r="AX97" s="4">
        <v>1363</v>
      </c>
      <c r="AY97" s="4">
        <v>0</v>
      </c>
      <c r="AZ97" s="4">
        <v>0</v>
      </c>
      <c r="BA97" s="4">
        <v>0</v>
      </c>
      <c r="BB97" s="4">
        <v>0</v>
      </c>
      <c r="BC97" s="4">
        <v>0</v>
      </c>
      <c r="BD97" s="4">
        <v>0</v>
      </c>
      <c r="BE97" s="4">
        <v>0</v>
      </c>
      <c r="BF97" s="4" t="s">
        <v>709</v>
      </c>
      <c r="BG97" s="4" t="s">
        <v>709</v>
      </c>
      <c r="BH97" s="4">
        <v>840</v>
      </c>
      <c r="BI97" s="4">
        <v>1260</v>
      </c>
      <c r="BJ97" s="4">
        <v>13662</v>
      </c>
      <c r="BK97" s="4">
        <v>2574</v>
      </c>
      <c r="BL97" s="4">
        <v>1290</v>
      </c>
      <c r="BM97" s="4">
        <v>1786</v>
      </c>
      <c r="BN97" s="4">
        <v>0</v>
      </c>
      <c r="BO97" s="4">
        <v>0</v>
      </c>
      <c r="BP97" s="4">
        <v>0</v>
      </c>
      <c r="BQ97" s="4">
        <v>0</v>
      </c>
      <c r="BR97" s="4">
        <v>0</v>
      </c>
      <c r="BS97" s="4">
        <v>0</v>
      </c>
      <c r="BT97" s="4" t="s">
        <v>709</v>
      </c>
      <c r="BU97" s="4" t="s">
        <v>709</v>
      </c>
      <c r="BV97" s="4">
        <v>949</v>
      </c>
      <c r="BW97" s="4">
        <v>5571</v>
      </c>
      <c r="BX97" s="4">
        <v>11187</v>
      </c>
      <c r="BY97" s="4">
        <v>1709</v>
      </c>
      <c r="BZ97" s="4">
        <v>210</v>
      </c>
      <c r="CA97" s="4">
        <v>1786</v>
      </c>
      <c r="CB97">
        <v>15812.399004062729</v>
      </c>
      <c r="CC97">
        <v>4238.9281110404327</v>
      </c>
      <c r="CD97" t="s">
        <v>687</v>
      </c>
      <c r="CE97" t="s">
        <v>687</v>
      </c>
      <c r="CF97" t="s">
        <v>687</v>
      </c>
      <c r="CG97" t="s">
        <v>687</v>
      </c>
      <c r="CH97">
        <v>2</v>
      </c>
      <c r="CI97">
        <v>5</v>
      </c>
      <c r="CJ97">
        <v>0</v>
      </c>
      <c r="CK97">
        <v>0</v>
      </c>
      <c r="CL97">
        <v>0</v>
      </c>
      <c r="CM97">
        <v>0</v>
      </c>
      <c r="CN97">
        <v>5218091.6713407002</v>
      </c>
      <c r="CO97">
        <v>330</v>
      </c>
      <c r="CP97">
        <v>635839.21665606485</v>
      </c>
      <c r="CQ97">
        <v>150</v>
      </c>
      <c r="CR97">
        <v>0</v>
      </c>
      <c r="CS97">
        <v>0</v>
      </c>
      <c r="CT97">
        <v>0</v>
      </c>
      <c r="CU97">
        <v>0</v>
      </c>
      <c r="CV97">
        <v>0</v>
      </c>
      <c r="CW97">
        <v>0</v>
      </c>
      <c r="CX97">
        <v>0</v>
      </c>
      <c r="CY97">
        <v>0</v>
      </c>
      <c r="CZ97" s="246">
        <v>9.2495636998254804E-2</v>
      </c>
      <c r="DA97" s="246">
        <v>7.5939388630988883E-2</v>
      </c>
      <c r="DB97" s="123">
        <v>62215954</v>
      </c>
      <c r="DC97" s="174">
        <v>84.9</v>
      </c>
      <c r="DD97" s="174">
        <v>7</v>
      </c>
      <c r="DE97" s="174">
        <v>1.6</v>
      </c>
      <c r="DF97" s="174">
        <v>82.3</v>
      </c>
      <c r="DG97" s="174">
        <v>9.8000000000000007</v>
      </c>
      <c r="DH97" s="174">
        <v>3.7</v>
      </c>
      <c r="DI97" s="174">
        <v>93.5</v>
      </c>
      <c r="DJ97" s="174">
        <v>95.8</v>
      </c>
    </row>
    <row r="98" spans="1:114" x14ac:dyDescent="0.45">
      <c r="A98">
        <v>850</v>
      </c>
      <c r="B98" s="247">
        <v>3.12444071851775E-2</v>
      </c>
      <c r="C98" s="169">
        <v>7.4979041662349404E-3</v>
      </c>
      <c r="D98" s="169">
        <v>4.73174197644711E-3</v>
      </c>
      <c r="E98" s="169">
        <v>-6.4702414246625003E-3</v>
      </c>
      <c r="F98" s="206">
        <v>11137</v>
      </c>
      <c r="G98" s="206">
        <v>1154</v>
      </c>
      <c r="H98" s="206">
        <v>1440</v>
      </c>
      <c r="I98" s="206">
        <v>1310</v>
      </c>
      <c r="J98" s="189">
        <v>8.4491052884614296E-2</v>
      </c>
      <c r="K98" s="189">
        <v>0.108064142288846</v>
      </c>
      <c r="L98" s="206">
        <v>2240</v>
      </c>
      <c r="M98" s="206">
        <v>150</v>
      </c>
      <c r="N98" s="4">
        <v>216</v>
      </c>
      <c r="O98" s="4">
        <v>1614</v>
      </c>
      <c r="P98" s="4">
        <v>0</v>
      </c>
      <c r="Q98" s="4">
        <v>0</v>
      </c>
      <c r="R98" s="4">
        <v>0</v>
      </c>
      <c r="S98" s="4">
        <v>28158</v>
      </c>
      <c r="T98" s="4">
        <v>75288</v>
      </c>
      <c r="U98" s="4">
        <v>8064</v>
      </c>
      <c r="V98" s="4">
        <v>569</v>
      </c>
      <c r="W98" s="4">
        <v>0</v>
      </c>
      <c r="X98" s="4">
        <v>1</v>
      </c>
      <c r="Y98" s="4">
        <v>1</v>
      </c>
      <c r="Z98" s="4">
        <v>30</v>
      </c>
      <c r="AA98" s="4">
        <v>165</v>
      </c>
      <c r="AB98" s="4">
        <v>0</v>
      </c>
      <c r="AC98" s="4">
        <v>0</v>
      </c>
      <c r="AD98" s="4">
        <v>0</v>
      </c>
      <c r="AE98" s="4">
        <v>12575</v>
      </c>
      <c r="AF98" s="4">
        <v>58087</v>
      </c>
      <c r="AG98" s="4">
        <v>5298</v>
      </c>
      <c r="AH98" s="4">
        <v>0</v>
      </c>
      <c r="AI98" s="4">
        <v>0</v>
      </c>
      <c r="AJ98" s="4">
        <v>1</v>
      </c>
      <c r="AK98" s="4">
        <v>1</v>
      </c>
      <c r="AL98" s="4">
        <v>0</v>
      </c>
      <c r="AM98" s="4">
        <v>0</v>
      </c>
      <c r="AN98" s="4">
        <v>195</v>
      </c>
      <c r="AO98" s="4">
        <v>0</v>
      </c>
      <c r="AP98" s="4">
        <v>0</v>
      </c>
      <c r="AQ98" s="4">
        <v>0</v>
      </c>
      <c r="AR98" s="4">
        <v>0</v>
      </c>
      <c r="AS98" s="4">
        <v>74</v>
      </c>
      <c r="AT98" s="4">
        <v>1450</v>
      </c>
      <c r="AU98" s="4">
        <v>17982</v>
      </c>
      <c r="AV98" s="4">
        <v>27283</v>
      </c>
      <c r="AW98" s="4">
        <v>17094</v>
      </c>
      <c r="AX98" s="4">
        <v>12151</v>
      </c>
      <c r="AY98" s="4">
        <v>0</v>
      </c>
      <c r="AZ98" s="4">
        <v>0</v>
      </c>
      <c r="BA98" s="4">
        <v>328</v>
      </c>
      <c r="BB98" s="4">
        <v>1136</v>
      </c>
      <c r="BC98" s="4">
        <v>30</v>
      </c>
      <c r="BD98" s="4">
        <v>120</v>
      </c>
      <c r="BE98" s="4">
        <v>216</v>
      </c>
      <c r="BF98" s="4">
        <v>0.20322180916976501</v>
      </c>
      <c r="BG98" s="4">
        <v>51</v>
      </c>
      <c r="BH98" s="4">
        <v>2010</v>
      </c>
      <c r="BI98" s="4">
        <v>9750</v>
      </c>
      <c r="BJ98" s="4">
        <v>48455</v>
      </c>
      <c r="BK98" s="4">
        <v>14642</v>
      </c>
      <c r="BL98" s="4">
        <v>11943</v>
      </c>
      <c r="BM98" s="4">
        <v>25279</v>
      </c>
      <c r="BN98" s="4">
        <v>212</v>
      </c>
      <c r="BO98" s="4">
        <v>46</v>
      </c>
      <c r="BP98" s="4">
        <v>743</v>
      </c>
      <c r="BQ98" s="4">
        <v>541</v>
      </c>
      <c r="BR98" s="4">
        <v>72</v>
      </c>
      <c r="BS98" s="4">
        <v>216</v>
      </c>
      <c r="BT98" s="4">
        <v>0.15985130111524201</v>
      </c>
      <c r="BU98" s="4">
        <v>51</v>
      </c>
      <c r="BV98" s="4">
        <v>4229</v>
      </c>
      <c r="BW98" s="4">
        <v>9402</v>
      </c>
      <c r="BX98" s="4">
        <v>51481</v>
      </c>
      <c r="BY98" s="4">
        <v>11297</v>
      </c>
      <c r="BZ98" s="4">
        <v>10391</v>
      </c>
      <c r="CA98" s="4">
        <v>25279</v>
      </c>
      <c r="CB98">
        <v>18285.250477154157</v>
      </c>
      <c r="CC98">
        <v>4151.725764624417</v>
      </c>
      <c r="CD98">
        <v>30860.78503795341</v>
      </c>
      <c r="CE98">
        <v>47022.705730353249</v>
      </c>
      <c r="CF98">
        <v>24091.653389980529</v>
      </c>
      <c r="CG98" t="s">
        <v>687</v>
      </c>
      <c r="CH98">
        <v>25</v>
      </c>
      <c r="CI98">
        <v>33</v>
      </c>
      <c r="CJ98">
        <v>1</v>
      </c>
      <c r="CK98">
        <v>2</v>
      </c>
      <c r="CL98">
        <v>1</v>
      </c>
      <c r="CM98">
        <v>0</v>
      </c>
      <c r="CN98">
        <v>38545308.005840965</v>
      </c>
      <c r="CO98">
        <v>2108</v>
      </c>
      <c r="CP98">
        <v>4753726.0004949579</v>
      </c>
      <c r="CQ98">
        <v>1145</v>
      </c>
      <c r="CR98">
        <v>6480764.8579702163</v>
      </c>
      <c r="CS98">
        <v>210</v>
      </c>
      <c r="CT98">
        <v>16222833.476971872</v>
      </c>
      <c r="CU98">
        <v>345</v>
      </c>
      <c r="CV98">
        <v>722749.60169941583</v>
      </c>
      <c r="CW98">
        <v>30</v>
      </c>
      <c r="CX98">
        <v>0</v>
      </c>
      <c r="CY98">
        <v>0</v>
      </c>
      <c r="CZ98" s="246">
        <v>0.15592794480878971</v>
      </c>
      <c r="DA98" s="246">
        <v>2.1145567311200292E-2</v>
      </c>
      <c r="DB98" s="123">
        <v>272060853.66999996</v>
      </c>
      <c r="DC98" s="174">
        <v>92.2</v>
      </c>
      <c r="DD98" s="174">
        <v>5</v>
      </c>
      <c r="DE98" s="174">
        <v>1.2</v>
      </c>
      <c r="DF98" s="174">
        <v>92.4</v>
      </c>
      <c r="DG98" s="174">
        <v>4.7</v>
      </c>
      <c r="DH98" s="174">
        <v>1</v>
      </c>
      <c r="DI98" s="174">
        <v>98.5</v>
      </c>
      <c r="DJ98" s="174">
        <v>98.1</v>
      </c>
    </row>
    <row r="99" spans="1:114" x14ac:dyDescent="0.45">
      <c r="A99">
        <v>851</v>
      </c>
      <c r="B99" s="247">
        <v>2.4050320670942298E-2</v>
      </c>
      <c r="C99" s="169">
        <v>2.4913665515540199E-2</v>
      </c>
      <c r="D99" s="169">
        <v>2.9849065104753301E-2</v>
      </c>
      <c r="E99" s="169">
        <v>1.9261094841180399E-2</v>
      </c>
      <c r="F99" s="206">
        <v>1502</v>
      </c>
      <c r="G99" s="206">
        <v>930</v>
      </c>
      <c r="H99" s="206">
        <v>110</v>
      </c>
      <c r="I99" s="206">
        <v>90</v>
      </c>
      <c r="J99" s="189">
        <v>6.5246156697659902E-2</v>
      </c>
      <c r="K99" s="189">
        <v>0.115092674315975</v>
      </c>
      <c r="L99" s="206">
        <v>105</v>
      </c>
      <c r="M99" s="206">
        <v>810</v>
      </c>
      <c r="N99" s="4">
        <v>0</v>
      </c>
      <c r="O99" s="4">
        <v>15</v>
      </c>
      <c r="P99" s="4">
        <v>0</v>
      </c>
      <c r="Q99" s="4">
        <v>0</v>
      </c>
      <c r="R99" s="4">
        <v>0</v>
      </c>
      <c r="S99" s="4">
        <v>750</v>
      </c>
      <c r="T99" s="4">
        <v>14260</v>
      </c>
      <c r="U99" s="4">
        <v>1980</v>
      </c>
      <c r="V99" s="4">
        <v>315</v>
      </c>
      <c r="W99" s="4">
        <v>0</v>
      </c>
      <c r="X99" s="4">
        <v>1</v>
      </c>
      <c r="Y99" s="4">
        <v>1</v>
      </c>
      <c r="Z99" s="4">
        <v>0</v>
      </c>
      <c r="AA99" s="4">
        <v>115</v>
      </c>
      <c r="AB99" s="4">
        <v>0</v>
      </c>
      <c r="AC99" s="4">
        <v>0</v>
      </c>
      <c r="AD99" s="4">
        <v>150</v>
      </c>
      <c r="AE99" s="4">
        <v>1040</v>
      </c>
      <c r="AF99" s="4">
        <v>8065</v>
      </c>
      <c r="AG99" s="4">
        <v>1000</v>
      </c>
      <c r="AH99" s="4">
        <v>0</v>
      </c>
      <c r="AI99" s="4">
        <v>450</v>
      </c>
      <c r="AJ99" s="4">
        <v>1</v>
      </c>
      <c r="AK99" s="4">
        <v>1</v>
      </c>
      <c r="AL99" s="4">
        <v>0</v>
      </c>
      <c r="AM99" s="4">
        <v>0</v>
      </c>
      <c r="AN99" s="4">
        <v>75</v>
      </c>
      <c r="AO99" s="4">
        <v>0</v>
      </c>
      <c r="AP99" s="4">
        <v>40</v>
      </c>
      <c r="AQ99" s="4">
        <v>150</v>
      </c>
      <c r="AR99" s="4">
        <v>0</v>
      </c>
      <c r="AS99" s="4">
        <v>74</v>
      </c>
      <c r="AT99" s="4">
        <v>0</v>
      </c>
      <c r="AU99" s="4">
        <v>1040</v>
      </c>
      <c r="AV99" s="4">
        <v>2000</v>
      </c>
      <c r="AW99" s="4">
        <v>3135</v>
      </c>
      <c r="AX99" s="4">
        <v>3930</v>
      </c>
      <c r="AY99" s="4">
        <v>450</v>
      </c>
      <c r="AZ99" s="4">
        <v>0</v>
      </c>
      <c r="BA99" s="4">
        <v>0</v>
      </c>
      <c r="BB99" s="4">
        <v>0</v>
      </c>
      <c r="BC99" s="4">
        <v>0</v>
      </c>
      <c r="BD99" s="4">
        <v>0</v>
      </c>
      <c r="BE99" s="4">
        <v>15</v>
      </c>
      <c r="BF99" s="4" t="s">
        <v>709</v>
      </c>
      <c r="BG99" s="4" t="s">
        <v>709</v>
      </c>
      <c r="BH99" s="4">
        <v>315</v>
      </c>
      <c r="BI99" s="4">
        <v>840</v>
      </c>
      <c r="BJ99" s="4">
        <v>5345</v>
      </c>
      <c r="BK99" s="4">
        <v>2715</v>
      </c>
      <c r="BL99" s="4">
        <v>3390</v>
      </c>
      <c r="BM99" s="4">
        <v>4700</v>
      </c>
      <c r="BN99" s="4">
        <v>0</v>
      </c>
      <c r="BO99" s="4">
        <v>0</v>
      </c>
      <c r="BP99" s="4">
        <v>0</v>
      </c>
      <c r="BQ99" s="4">
        <v>0</v>
      </c>
      <c r="BR99" s="4">
        <v>0</v>
      </c>
      <c r="BS99" s="4">
        <v>15</v>
      </c>
      <c r="BT99" s="4" t="s">
        <v>709</v>
      </c>
      <c r="BU99" s="4" t="s">
        <v>709</v>
      </c>
      <c r="BV99" s="4">
        <v>420</v>
      </c>
      <c r="BW99" s="4">
        <v>735</v>
      </c>
      <c r="BX99" s="4">
        <v>4295</v>
      </c>
      <c r="BY99" s="4">
        <v>4455</v>
      </c>
      <c r="BZ99" s="4">
        <v>2700</v>
      </c>
      <c r="CA99" s="4">
        <v>4700</v>
      </c>
      <c r="CB99">
        <v>17169.463159215975</v>
      </c>
      <c r="CC99">
        <v>6326.7025560224101</v>
      </c>
      <c r="CD99" t="s">
        <v>687</v>
      </c>
      <c r="CE99">
        <v>5584.965062833764</v>
      </c>
      <c r="CF99" t="s">
        <v>687</v>
      </c>
      <c r="CG99" t="s">
        <v>687</v>
      </c>
      <c r="CH99">
        <v>4</v>
      </c>
      <c r="CI99">
        <v>2</v>
      </c>
      <c r="CJ99">
        <v>0</v>
      </c>
      <c r="CK99">
        <v>1</v>
      </c>
      <c r="CL99">
        <v>0</v>
      </c>
      <c r="CM99">
        <v>0</v>
      </c>
      <c r="CN99">
        <v>4721602.3687843932</v>
      </c>
      <c r="CO99">
        <v>275</v>
      </c>
      <c r="CP99">
        <v>379602.15336134459</v>
      </c>
      <c r="CQ99">
        <v>60</v>
      </c>
      <c r="CR99">
        <v>0</v>
      </c>
      <c r="CS99">
        <v>0</v>
      </c>
      <c r="CT99">
        <v>530571.68096920755</v>
      </c>
      <c r="CU99">
        <v>95</v>
      </c>
      <c r="CV99">
        <v>0</v>
      </c>
      <c r="CW99">
        <v>0</v>
      </c>
      <c r="CX99">
        <v>0</v>
      </c>
      <c r="CY99">
        <v>0</v>
      </c>
      <c r="CZ99" s="246">
        <v>0.22294323860669799</v>
      </c>
      <c r="DA99" s="246">
        <v>0.15891384051329055</v>
      </c>
      <c r="DB99" s="123">
        <v>38790371.260000005</v>
      </c>
      <c r="DC99" s="174">
        <v>86.6</v>
      </c>
      <c r="DD99" s="174">
        <v>8.6999999999999993</v>
      </c>
      <c r="DE99" s="174">
        <v>2</v>
      </c>
      <c r="DF99" s="174">
        <v>87.7</v>
      </c>
      <c r="DG99" s="174">
        <v>8.1999999999999993</v>
      </c>
      <c r="DH99" s="174">
        <v>1.2</v>
      </c>
      <c r="DI99" s="174">
        <v>97.4</v>
      </c>
      <c r="DJ99" s="174">
        <v>97.1</v>
      </c>
    </row>
    <row r="100" spans="1:114" x14ac:dyDescent="0.45">
      <c r="A100">
        <v>852</v>
      </c>
      <c r="B100" s="247">
        <v>1.98054204308548E-2</v>
      </c>
      <c r="C100" s="169">
        <v>4.8644892286309896E-3</v>
      </c>
      <c r="D100" s="169">
        <v>3.5015060240963902E-2</v>
      </c>
      <c r="E100" s="169">
        <v>-3.20030120481928E-3</v>
      </c>
      <c r="F100" s="206">
        <v>5367</v>
      </c>
      <c r="G100" s="206">
        <v>496</v>
      </c>
      <c r="H100" s="206">
        <v>0</v>
      </c>
      <c r="I100" s="206">
        <v>780</v>
      </c>
      <c r="J100" s="189">
        <v>0.120147791552786</v>
      </c>
      <c r="K100" s="189">
        <v>7.6925912130996907E-2</v>
      </c>
      <c r="L100" s="206">
        <v>0</v>
      </c>
      <c r="M100" s="206">
        <v>84</v>
      </c>
      <c r="N100" s="4">
        <v>0</v>
      </c>
      <c r="O100" s="4">
        <v>0</v>
      </c>
      <c r="P100" s="4">
        <v>120</v>
      </c>
      <c r="Q100" s="4">
        <v>0</v>
      </c>
      <c r="R100" s="4">
        <v>0</v>
      </c>
      <c r="S100" s="4">
        <v>4269</v>
      </c>
      <c r="T100" s="4">
        <v>13354</v>
      </c>
      <c r="U100" s="4">
        <v>3581</v>
      </c>
      <c r="V100" s="4">
        <v>90</v>
      </c>
      <c r="W100" s="4">
        <v>420</v>
      </c>
      <c r="X100" s="4">
        <v>0</v>
      </c>
      <c r="Y100" s="4">
        <v>118</v>
      </c>
      <c r="Z100" s="4">
        <v>121</v>
      </c>
      <c r="AA100" s="4">
        <v>120</v>
      </c>
      <c r="AB100" s="4">
        <v>0</v>
      </c>
      <c r="AC100" s="4">
        <v>0</v>
      </c>
      <c r="AD100" s="4">
        <v>0</v>
      </c>
      <c r="AE100" s="4">
        <v>1079</v>
      </c>
      <c r="AF100" s="4">
        <v>8284</v>
      </c>
      <c r="AG100" s="4">
        <v>2114</v>
      </c>
      <c r="AH100" s="4">
        <v>0</v>
      </c>
      <c r="AI100" s="4">
        <v>0</v>
      </c>
      <c r="AJ100" s="4">
        <v>1</v>
      </c>
      <c r="AK100" s="4">
        <v>1</v>
      </c>
      <c r="AL100" s="4">
        <v>241</v>
      </c>
      <c r="AM100" s="4">
        <v>0</v>
      </c>
      <c r="AN100" s="4">
        <v>0</v>
      </c>
      <c r="AO100" s="4">
        <v>0</v>
      </c>
      <c r="AP100" s="4">
        <v>0</v>
      </c>
      <c r="AQ100" s="4">
        <v>0</v>
      </c>
      <c r="AR100" s="4">
        <v>1</v>
      </c>
      <c r="AS100" s="4">
        <v>1</v>
      </c>
      <c r="AT100" s="4">
        <v>1829</v>
      </c>
      <c r="AU100" s="4">
        <v>1938</v>
      </c>
      <c r="AV100" s="4">
        <v>2746</v>
      </c>
      <c r="AW100" s="4">
        <v>2003</v>
      </c>
      <c r="AX100" s="4">
        <v>2961</v>
      </c>
      <c r="AY100" s="4">
        <v>0</v>
      </c>
      <c r="AZ100" s="4">
        <v>0</v>
      </c>
      <c r="BA100" s="4">
        <v>0</v>
      </c>
      <c r="BB100" s="4">
        <v>120</v>
      </c>
      <c r="BC100" s="4">
        <v>0</v>
      </c>
      <c r="BD100" s="4">
        <v>0</v>
      </c>
      <c r="BE100" s="4">
        <v>0</v>
      </c>
      <c r="BF100" s="4">
        <v>0</v>
      </c>
      <c r="BG100" s="4">
        <v>68</v>
      </c>
      <c r="BH100" s="4">
        <v>3885</v>
      </c>
      <c r="BI100" s="4">
        <v>2235</v>
      </c>
      <c r="BJ100" s="4">
        <v>8710</v>
      </c>
      <c r="BK100" s="4">
        <v>3308</v>
      </c>
      <c r="BL100" s="4">
        <v>723</v>
      </c>
      <c r="BM100" s="4">
        <v>2853</v>
      </c>
      <c r="BN100" s="4">
        <v>0</v>
      </c>
      <c r="BO100" s="4">
        <v>0</v>
      </c>
      <c r="BP100" s="4">
        <v>120</v>
      </c>
      <c r="BQ100" s="4">
        <v>0</v>
      </c>
      <c r="BR100" s="4">
        <v>0</v>
      </c>
      <c r="BS100" s="4">
        <v>0</v>
      </c>
      <c r="BT100" s="4">
        <v>0</v>
      </c>
      <c r="BU100" s="4">
        <v>69</v>
      </c>
      <c r="BV100" s="4">
        <v>2055</v>
      </c>
      <c r="BW100" s="4">
        <v>2070</v>
      </c>
      <c r="BX100" s="4">
        <v>10002</v>
      </c>
      <c r="BY100" s="4">
        <v>3591</v>
      </c>
      <c r="BZ100" s="4">
        <v>1143</v>
      </c>
      <c r="CA100" s="4">
        <v>2853</v>
      </c>
      <c r="CB100">
        <v>10421.746004924446</v>
      </c>
      <c r="CC100">
        <v>11288.919568467474</v>
      </c>
      <c r="CD100" t="s">
        <v>687</v>
      </c>
      <c r="CE100" t="s">
        <v>687</v>
      </c>
      <c r="CF100" t="s">
        <v>687</v>
      </c>
      <c r="CG100" t="s">
        <v>687</v>
      </c>
      <c r="CH100">
        <v>3</v>
      </c>
      <c r="CI100">
        <v>6</v>
      </c>
      <c r="CJ100">
        <v>0</v>
      </c>
      <c r="CK100">
        <v>0</v>
      </c>
      <c r="CL100">
        <v>0</v>
      </c>
      <c r="CM100">
        <v>0</v>
      </c>
      <c r="CN100">
        <v>2501219.041181867</v>
      </c>
      <c r="CO100">
        <v>240</v>
      </c>
      <c r="CP100">
        <v>2032005.5223241453</v>
      </c>
      <c r="CQ100">
        <v>180</v>
      </c>
      <c r="CR100">
        <v>0</v>
      </c>
      <c r="CS100">
        <v>0</v>
      </c>
      <c r="CT100">
        <v>0</v>
      </c>
      <c r="CU100">
        <v>0</v>
      </c>
      <c r="CV100">
        <v>0</v>
      </c>
      <c r="CW100">
        <v>0</v>
      </c>
      <c r="CX100">
        <v>0</v>
      </c>
      <c r="CY100">
        <v>0</v>
      </c>
      <c r="CZ100" s="246">
        <v>0.26213282247765007</v>
      </c>
      <c r="DA100" s="246">
        <v>0.44531158998252768</v>
      </c>
      <c r="DB100" s="123">
        <v>65358574.580000006</v>
      </c>
      <c r="DC100" s="174">
        <v>86.7</v>
      </c>
      <c r="DD100" s="174">
        <v>8</v>
      </c>
      <c r="DE100" s="174">
        <v>2.4</v>
      </c>
      <c r="DF100" s="174">
        <v>78.599999999999994</v>
      </c>
      <c r="DG100" s="174">
        <v>8.3000000000000007</v>
      </c>
      <c r="DH100" s="174">
        <v>3.6</v>
      </c>
      <c r="DI100" s="174">
        <v>97.1</v>
      </c>
      <c r="DJ100" s="174">
        <v>90.4</v>
      </c>
    </row>
    <row r="101" spans="1:114" x14ac:dyDescent="0.45">
      <c r="A101">
        <v>855</v>
      </c>
      <c r="B101" s="247">
        <v>3.1253445044647797E-2</v>
      </c>
      <c r="C101" s="169">
        <v>5.2732150075331602E-3</v>
      </c>
      <c r="D101" s="169">
        <v>4.1799513644960803E-2</v>
      </c>
      <c r="E101" s="169">
        <v>1.0348554444744701E-2</v>
      </c>
      <c r="F101" s="206">
        <v>6633</v>
      </c>
      <c r="G101" s="206">
        <v>0</v>
      </c>
      <c r="H101" s="206">
        <v>1190</v>
      </c>
      <c r="I101" s="206">
        <v>1490</v>
      </c>
      <c r="J101" s="189">
        <v>7.4768660579270604E-2</v>
      </c>
      <c r="K101" s="189">
        <v>8.5862180631266702E-2</v>
      </c>
      <c r="L101" s="206">
        <v>2372</v>
      </c>
      <c r="M101" s="206">
        <v>0</v>
      </c>
      <c r="N101" s="4">
        <v>92</v>
      </c>
      <c r="O101" s="4">
        <v>738</v>
      </c>
      <c r="P101" s="4">
        <v>189</v>
      </c>
      <c r="Q101" s="4">
        <v>0</v>
      </c>
      <c r="R101" s="4">
        <v>0</v>
      </c>
      <c r="S101" s="4">
        <v>8805</v>
      </c>
      <c r="T101" s="4">
        <v>41778</v>
      </c>
      <c r="U101" s="4">
        <v>5970</v>
      </c>
      <c r="V101" s="4">
        <v>954</v>
      </c>
      <c r="W101" s="4">
        <v>210</v>
      </c>
      <c r="X101" s="4">
        <v>0.81452404317958804</v>
      </c>
      <c r="Y101" s="4">
        <v>100</v>
      </c>
      <c r="Z101" s="4">
        <v>65</v>
      </c>
      <c r="AA101" s="4">
        <v>50</v>
      </c>
      <c r="AB101" s="4">
        <v>0</v>
      </c>
      <c r="AC101" s="4">
        <v>0</v>
      </c>
      <c r="AD101" s="4">
        <v>0</v>
      </c>
      <c r="AE101" s="4">
        <v>8613</v>
      </c>
      <c r="AF101" s="4">
        <v>28541</v>
      </c>
      <c r="AG101" s="4">
        <v>8124</v>
      </c>
      <c r="AH101" s="4">
        <v>2745</v>
      </c>
      <c r="AI101" s="4">
        <v>0</v>
      </c>
      <c r="AJ101" s="4">
        <v>1</v>
      </c>
      <c r="AK101" s="4">
        <v>1</v>
      </c>
      <c r="AL101" s="4">
        <v>65</v>
      </c>
      <c r="AM101" s="4">
        <v>50</v>
      </c>
      <c r="AN101" s="4">
        <v>0</v>
      </c>
      <c r="AO101" s="4">
        <v>0</v>
      </c>
      <c r="AP101" s="4">
        <v>0</v>
      </c>
      <c r="AQ101" s="4">
        <v>0</v>
      </c>
      <c r="AR101" s="4">
        <v>1</v>
      </c>
      <c r="AS101" s="4">
        <v>1</v>
      </c>
      <c r="AT101" s="4">
        <v>6116</v>
      </c>
      <c r="AU101" s="4">
        <v>3850</v>
      </c>
      <c r="AV101" s="4">
        <v>11830</v>
      </c>
      <c r="AW101" s="4">
        <v>12390</v>
      </c>
      <c r="AX101" s="4">
        <v>5627</v>
      </c>
      <c r="AY101" s="4">
        <v>8210</v>
      </c>
      <c r="AZ101" s="4">
        <v>0</v>
      </c>
      <c r="BA101" s="4">
        <v>0</v>
      </c>
      <c r="BB101" s="4">
        <v>527</v>
      </c>
      <c r="BC101" s="4">
        <v>210</v>
      </c>
      <c r="BD101" s="4">
        <v>198</v>
      </c>
      <c r="BE101" s="4">
        <v>84</v>
      </c>
      <c r="BF101" s="4">
        <v>0</v>
      </c>
      <c r="BG101" s="4">
        <v>68</v>
      </c>
      <c r="BH101" s="4">
        <v>4779</v>
      </c>
      <c r="BI101" s="4">
        <v>8352</v>
      </c>
      <c r="BJ101" s="4">
        <v>34435</v>
      </c>
      <c r="BK101" s="4">
        <v>3914</v>
      </c>
      <c r="BL101" s="4">
        <v>3175</v>
      </c>
      <c r="BM101" s="4">
        <v>3062</v>
      </c>
      <c r="BN101" s="4">
        <v>0</v>
      </c>
      <c r="BO101" s="4">
        <v>0</v>
      </c>
      <c r="BP101" s="4">
        <v>555</v>
      </c>
      <c r="BQ101" s="4">
        <v>240</v>
      </c>
      <c r="BR101" s="4">
        <v>140</v>
      </c>
      <c r="BS101" s="4">
        <v>84</v>
      </c>
      <c r="BT101" s="4">
        <v>0</v>
      </c>
      <c r="BU101" s="4">
        <v>69</v>
      </c>
      <c r="BV101" s="4">
        <v>4615</v>
      </c>
      <c r="BW101" s="4">
        <v>4185</v>
      </c>
      <c r="BX101" s="4">
        <v>36960</v>
      </c>
      <c r="BY101" s="4">
        <v>4627</v>
      </c>
      <c r="BZ101" s="4">
        <v>4268</v>
      </c>
      <c r="CA101" s="4">
        <v>3062</v>
      </c>
      <c r="CB101">
        <v>12176.526128797686</v>
      </c>
      <c r="CC101">
        <v>1213.0462162824053</v>
      </c>
      <c r="CD101">
        <v>23312.821529912606</v>
      </c>
      <c r="CE101">
        <v>5263.7620664581846</v>
      </c>
      <c r="CF101">
        <v>3882.9635332538173</v>
      </c>
      <c r="CG101" t="s">
        <v>687</v>
      </c>
      <c r="CH101">
        <v>41</v>
      </c>
      <c r="CI101">
        <v>1</v>
      </c>
      <c r="CJ101">
        <v>1</v>
      </c>
      <c r="CK101">
        <v>4</v>
      </c>
      <c r="CL101">
        <v>3</v>
      </c>
      <c r="CM101">
        <v>0</v>
      </c>
      <c r="CN101">
        <v>33290622.436132874</v>
      </c>
      <c r="CO101">
        <v>2734</v>
      </c>
      <c r="CP101">
        <v>18195.693244236081</v>
      </c>
      <c r="CQ101">
        <v>15</v>
      </c>
      <c r="CR101">
        <v>4895692.5212816475</v>
      </c>
      <c r="CS101">
        <v>210</v>
      </c>
      <c r="CT101">
        <v>1784415.3405293245</v>
      </c>
      <c r="CU101">
        <v>339</v>
      </c>
      <c r="CV101">
        <v>543614.89465553442</v>
      </c>
      <c r="CW101">
        <v>140</v>
      </c>
      <c r="CX101">
        <v>0</v>
      </c>
      <c r="CY101">
        <v>0</v>
      </c>
      <c r="CZ101" s="246">
        <v>0.21316497619540467</v>
      </c>
      <c r="DA101" s="246">
        <v>0.12922149122807017</v>
      </c>
      <c r="DB101" s="123">
        <v>139225778.25</v>
      </c>
      <c r="DC101" s="174">
        <v>90.4</v>
      </c>
      <c r="DD101" s="174">
        <v>5.2</v>
      </c>
      <c r="DE101" s="174">
        <v>1.6</v>
      </c>
      <c r="DF101" s="174">
        <v>89.7</v>
      </c>
      <c r="DG101" s="174">
        <v>5.0999999999999996</v>
      </c>
      <c r="DH101" s="174">
        <v>1.4</v>
      </c>
      <c r="DI101" s="174">
        <v>97.2</v>
      </c>
      <c r="DJ101" s="174">
        <v>96.3</v>
      </c>
    </row>
    <row r="102" spans="1:114" x14ac:dyDescent="0.45">
      <c r="A102">
        <v>856</v>
      </c>
      <c r="B102" s="247">
        <v>8.9160578500074496E-3</v>
      </c>
      <c r="C102" s="169">
        <v>5.4271656478306202E-3</v>
      </c>
      <c r="D102" s="169">
        <v>5.77450929618313E-2</v>
      </c>
      <c r="E102" s="169">
        <v>8.7006059350561906E-3</v>
      </c>
      <c r="F102" s="206">
        <v>7073</v>
      </c>
      <c r="G102" s="206">
        <v>2021</v>
      </c>
      <c r="H102" s="206">
        <v>360</v>
      </c>
      <c r="I102" s="206">
        <v>720</v>
      </c>
      <c r="J102" s="189">
        <v>3.1532779013651903E-2</v>
      </c>
      <c r="K102" s="189">
        <v>5.3200898365977099E-2</v>
      </c>
      <c r="L102" s="206">
        <v>88</v>
      </c>
      <c r="M102" s="206">
        <v>1362</v>
      </c>
      <c r="N102" s="4">
        <v>0</v>
      </c>
      <c r="O102" s="4">
        <v>133</v>
      </c>
      <c r="P102" s="4">
        <v>0</v>
      </c>
      <c r="Q102" s="4">
        <v>0</v>
      </c>
      <c r="R102" s="4">
        <v>420</v>
      </c>
      <c r="S102" s="4">
        <v>4940</v>
      </c>
      <c r="T102" s="4">
        <v>25225</v>
      </c>
      <c r="U102" s="4">
        <v>3950</v>
      </c>
      <c r="V102" s="4">
        <v>420</v>
      </c>
      <c r="W102" s="4">
        <v>0</v>
      </c>
      <c r="X102" s="4">
        <v>1</v>
      </c>
      <c r="Y102" s="4">
        <v>1</v>
      </c>
      <c r="Z102" s="4">
        <v>110</v>
      </c>
      <c r="AA102" s="4">
        <v>353</v>
      </c>
      <c r="AB102" s="4">
        <v>191</v>
      </c>
      <c r="AC102" s="4">
        <v>0</v>
      </c>
      <c r="AD102" s="4">
        <v>900</v>
      </c>
      <c r="AE102" s="4">
        <v>5745</v>
      </c>
      <c r="AF102" s="4">
        <v>8322</v>
      </c>
      <c r="AG102" s="4">
        <v>1715</v>
      </c>
      <c r="AH102" s="4">
        <v>600</v>
      </c>
      <c r="AI102" s="4">
        <v>0</v>
      </c>
      <c r="AJ102" s="4">
        <v>0.70795107033639104</v>
      </c>
      <c r="AK102" s="4">
        <v>96</v>
      </c>
      <c r="AL102" s="4">
        <v>77</v>
      </c>
      <c r="AM102" s="4">
        <v>40</v>
      </c>
      <c r="AN102" s="4">
        <v>537</v>
      </c>
      <c r="AO102" s="4">
        <v>0</v>
      </c>
      <c r="AP102" s="4">
        <v>0</v>
      </c>
      <c r="AQ102" s="4">
        <v>900</v>
      </c>
      <c r="AR102" s="4">
        <v>0.17889908256880699</v>
      </c>
      <c r="AS102" s="4">
        <v>67</v>
      </c>
      <c r="AT102" s="4">
        <v>2045</v>
      </c>
      <c r="AU102" s="4">
        <v>3275</v>
      </c>
      <c r="AV102" s="4">
        <v>8227</v>
      </c>
      <c r="AW102" s="4">
        <v>1035</v>
      </c>
      <c r="AX102" s="4">
        <v>600</v>
      </c>
      <c r="AY102" s="4">
        <v>1200</v>
      </c>
      <c r="AZ102" s="4">
        <v>60</v>
      </c>
      <c r="BA102" s="4">
        <v>30</v>
      </c>
      <c r="BB102" s="4">
        <v>16</v>
      </c>
      <c r="BC102" s="4">
        <v>0</v>
      </c>
      <c r="BD102" s="4">
        <v>0</v>
      </c>
      <c r="BE102" s="4">
        <v>447</v>
      </c>
      <c r="BF102" s="4">
        <v>0.84905660377358505</v>
      </c>
      <c r="BG102" s="4">
        <v>15</v>
      </c>
      <c r="BH102" s="4">
        <v>7479</v>
      </c>
      <c r="BI102" s="4">
        <v>6880</v>
      </c>
      <c r="BJ102" s="4">
        <v>14644</v>
      </c>
      <c r="BK102" s="4">
        <v>1294</v>
      </c>
      <c r="BL102" s="4">
        <v>420</v>
      </c>
      <c r="BM102" s="4">
        <v>3818</v>
      </c>
      <c r="BN102" s="4">
        <v>0</v>
      </c>
      <c r="BO102" s="4">
        <v>16</v>
      </c>
      <c r="BP102" s="4">
        <v>90</v>
      </c>
      <c r="BQ102" s="4">
        <v>0</v>
      </c>
      <c r="BR102" s="4">
        <v>0</v>
      </c>
      <c r="BS102" s="4">
        <v>447</v>
      </c>
      <c r="BT102" s="4">
        <v>0.15094339622641501</v>
      </c>
      <c r="BU102" s="4">
        <v>52</v>
      </c>
      <c r="BV102" s="4">
        <v>4186</v>
      </c>
      <c r="BW102" s="4">
        <v>4900</v>
      </c>
      <c r="BX102" s="4">
        <v>17009</v>
      </c>
      <c r="BY102" s="4">
        <v>1832</v>
      </c>
      <c r="BZ102" s="4">
        <v>2790</v>
      </c>
      <c r="CA102" s="4">
        <v>3818</v>
      </c>
      <c r="CB102">
        <v>16827.881557444773</v>
      </c>
      <c r="CC102">
        <v>4745.4082954867172</v>
      </c>
      <c r="CD102">
        <v>15430.307300512311</v>
      </c>
      <c r="CE102" t="s">
        <v>687</v>
      </c>
      <c r="CF102">
        <v>8562.4490278361955</v>
      </c>
      <c r="CG102" t="s">
        <v>687</v>
      </c>
      <c r="CH102">
        <v>5</v>
      </c>
      <c r="CI102">
        <v>22</v>
      </c>
      <c r="CJ102">
        <v>1</v>
      </c>
      <c r="CK102">
        <v>0</v>
      </c>
      <c r="CL102">
        <v>7</v>
      </c>
      <c r="CM102">
        <v>0</v>
      </c>
      <c r="CN102">
        <v>15397511.625061966</v>
      </c>
      <c r="CO102">
        <v>915</v>
      </c>
      <c r="CP102">
        <v>5442983.314923265</v>
      </c>
      <c r="CQ102">
        <v>1147</v>
      </c>
      <c r="CR102">
        <v>3240364.5331075853</v>
      </c>
      <c r="CS102">
        <v>210</v>
      </c>
      <c r="CT102">
        <v>0</v>
      </c>
      <c r="CU102">
        <v>0</v>
      </c>
      <c r="CV102">
        <v>13622856.403287387</v>
      </c>
      <c r="CW102">
        <v>1591</v>
      </c>
      <c r="CX102">
        <v>0</v>
      </c>
      <c r="CY102">
        <v>0</v>
      </c>
      <c r="CZ102" s="246">
        <v>0.36021547967994932</v>
      </c>
      <c r="DA102" s="246">
        <v>0.32625400859200099</v>
      </c>
      <c r="DB102" s="123">
        <v>166735397.37</v>
      </c>
      <c r="DC102" s="174">
        <v>90.5</v>
      </c>
      <c r="DD102" s="174">
        <v>5.0999999999999996</v>
      </c>
      <c r="DE102" s="174">
        <v>1.2</v>
      </c>
      <c r="DF102" s="174">
        <v>78.099999999999994</v>
      </c>
      <c r="DG102" s="174">
        <v>10.8</v>
      </c>
      <c r="DH102" s="174">
        <v>2.7</v>
      </c>
      <c r="DI102" s="174">
        <v>96.7</v>
      </c>
      <c r="DJ102" s="174">
        <v>91.7</v>
      </c>
    </row>
    <row r="103" spans="1:114" x14ac:dyDescent="0.45">
      <c r="A103">
        <v>857</v>
      </c>
      <c r="B103" s="247">
        <v>7.3196986006458603E-2</v>
      </c>
      <c r="C103" s="169">
        <v>3.4445640473627602E-2</v>
      </c>
      <c r="D103" s="169">
        <v>5.5191045928213001E-2</v>
      </c>
      <c r="E103" s="169">
        <v>1.2736395214203E-2</v>
      </c>
      <c r="F103" s="206">
        <v>209</v>
      </c>
      <c r="G103" s="206">
        <v>114</v>
      </c>
      <c r="H103" s="206">
        <v>0</v>
      </c>
      <c r="I103" s="206">
        <v>40</v>
      </c>
      <c r="J103" s="189">
        <v>0.14377182720824899</v>
      </c>
      <c r="K103" s="189">
        <v>2.8621291448516599E-2</v>
      </c>
      <c r="L103" s="206">
        <v>0</v>
      </c>
      <c r="M103" s="206">
        <v>0</v>
      </c>
      <c r="N103" s="4">
        <v>0</v>
      </c>
      <c r="O103" s="4">
        <v>0</v>
      </c>
      <c r="P103" s="4">
        <v>0</v>
      </c>
      <c r="Q103" s="4">
        <v>0</v>
      </c>
      <c r="R103" s="4">
        <v>0</v>
      </c>
      <c r="S103" s="4">
        <v>511</v>
      </c>
      <c r="T103" s="4">
        <v>2565</v>
      </c>
      <c r="U103" s="4">
        <v>360</v>
      </c>
      <c r="V103" s="4">
        <v>0</v>
      </c>
      <c r="W103" s="4">
        <v>0</v>
      </c>
      <c r="X103" s="4" t="s">
        <v>709</v>
      </c>
      <c r="Y103" s="4" t="s">
        <v>709</v>
      </c>
      <c r="Z103" s="4">
        <v>150</v>
      </c>
      <c r="AA103" s="4">
        <v>0</v>
      </c>
      <c r="AB103" s="4">
        <v>0</v>
      </c>
      <c r="AC103" s="4">
        <v>0</v>
      </c>
      <c r="AD103" s="4">
        <v>0</v>
      </c>
      <c r="AE103" s="4">
        <v>900</v>
      </c>
      <c r="AF103" s="4">
        <v>1815</v>
      </c>
      <c r="AG103" s="4">
        <v>0</v>
      </c>
      <c r="AH103" s="4">
        <v>0</v>
      </c>
      <c r="AI103" s="4">
        <v>0</v>
      </c>
      <c r="AJ103" s="4">
        <v>1</v>
      </c>
      <c r="AK103" s="4">
        <v>1</v>
      </c>
      <c r="AL103" s="4">
        <v>150</v>
      </c>
      <c r="AM103" s="4">
        <v>0</v>
      </c>
      <c r="AN103" s="4">
        <v>0</v>
      </c>
      <c r="AO103" s="4">
        <v>0</v>
      </c>
      <c r="AP103" s="4">
        <v>0</v>
      </c>
      <c r="AQ103" s="4">
        <v>0</v>
      </c>
      <c r="AR103" s="4">
        <v>1</v>
      </c>
      <c r="AS103" s="4">
        <v>1</v>
      </c>
      <c r="AT103" s="4">
        <v>1800</v>
      </c>
      <c r="AU103" s="4">
        <v>0</v>
      </c>
      <c r="AV103" s="4">
        <v>915</v>
      </c>
      <c r="AW103" s="4">
        <v>0</v>
      </c>
      <c r="AX103" s="4">
        <v>0</v>
      </c>
      <c r="AY103" s="4">
        <v>0</v>
      </c>
      <c r="AZ103" s="4">
        <v>0</v>
      </c>
      <c r="BA103" s="4">
        <v>0</v>
      </c>
      <c r="BB103" s="4">
        <v>0</v>
      </c>
      <c r="BC103" s="4">
        <v>0</v>
      </c>
      <c r="BD103" s="4">
        <v>0</v>
      </c>
      <c r="BE103" s="4">
        <v>0</v>
      </c>
      <c r="BF103" s="4" t="s">
        <v>709</v>
      </c>
      <c r="BG103" s="4" t="s">
        <v>709</v>
      </c>
      <c r="BH103" s="4">
        <v>0</v>
      </c>
      <c r="BI103" s="4">
        <v>0</v>
      </c>
      <c r="BJ103" s="4">
        <v>2341</v>
      </c>
      <c r="BK103" s="4">
        <v>450</v>
      </c>
      <c r="BL103" s="4">
        <v>70</v>
      </c>
      <c r="BM103" s="4">
        <v>575</v>
      </c>
      <c r="BN103" s="4">
        <v>0</v>
      </c>
      <c r="BO103" s="4">
        <v>0</v>
      </c>
      <c r="BP103" s="4">
        <v>0</v>
      </c>
      <c r="BQ103" s="4">
        <v>0</v>
      </c>
      <c r="BR103" s="4">
        <v>0</v>
      </c>
      <c r="BS103" s="4">
        <v>0</v>
      </c>
      <c r="BT103" s="4" t="s">
        <v>709</v>
      </c>
      <c r="BU103" s="4" t="s">
        <v>709</v>
      </c>
      <c r="BV103" s="4">
        <v>0</v>
      </c>
      <c r="BW103" s="4">
        <v>315</v>
      </c>
      <c r="BX103" s="4">
        <v>2546</v>
      </c>
      <c r="BY103" s="4">
        <v>0</v>
      </c>
      <c r="BZ103" s="4">
        <v>0</v>
      </c>
      <c r="CA103" s="4">
        <v>575</v>
      </c>
      <c r="CB103">
        <v>8133.4742434644013</v>
      </c>
      <c r="CC103" t="s">
        <v>687</v>
      </c>
      <c r="CD103" t="s">
        <v>687</v>
      </c>
      <c r="CE103" t="s">
        <v>687</v>
      </c>
      <c r="CF103" t="s">
        <v>687</v>
      </c>
      <c r="CG103" t="s">
        <v>687</v>
      </c>
      <c r="CH103">
        <v>2</v>
      </c>
      <c r="CI103">
        <v>0</v>
      </c>
      <c r="CJ103">
        <v>0</v>
      </c>
      <c r="CK103">
        <v>0</v>
      </c>
      <c r="CL103">
        <v>0</v>
      </c>
      <c r="CM103">
        <v>0</v>
      </c>
      <c r="CN103">
        <v>732012.6819117961</v>
      </c>
      <c r="CO103">
        <v>90</v>
      </c>
      <c r="CP103">
        <v>0</v>
      </c>
      <c r="CQ103">
        <v>0</v>
      </c>
      <c r="CR103">
        <v>0</v>
      </c>
      <c r="CS103">
        <v>0</v>
      </c>
      <c r="CT103">
        <v>0</v>
      </c>
      <c r="CU103">
        <v>0</v>
      </c>
      <c r="CV103">
        <v>0</v>
      </c>
      <c r="CW103">
        <v>0</v>
      </c>
      <c r="CX103">
        <v>0</v>
      </c>
      <c r="CY103">
        <v>0</v>
      </c>
      <c r="CZ103" s="246">
        <v>0.18390342052313882</v>
      </c>
      <c r="DA103" s="246">
        <v>0.18889356331510307</v>
      </c>
      <c r="DB103" s="123">
        <v>5972824.2599999998</v>
      </c>
      <c r="DC103" s="174">
        <v>95</v>
      </c>
      <c r="DD103" s="174">
        <v>4.4000000000000004</v>
      </c>
      <c r="DE103" s="174">
        <v>0</v>
      </c>
      <c r="DF103" s="174">
        <v>90.7</v>
      </c>
      <c r="DG103" s="174">
        <v>4.4000000000000004</v>
      </c>
      <c r="DH103" s="174">
        <v>0.3</v>
      </c>
      <c r="DI103" s="174">
        <v>99.4</v>
      </c>
      <c r="DJ103" s="174">
        <v>95.3</v>
      </c>
    </row>
    <row r="104" spans="1:114" x14ac:dyDescent="0.45">
      <c r="A104">
        <v>860</v>
      </c>
      <c r="B104" s="247">
        <v>1.63182737693864E-2</v>
      </c>
      <c r="C104" s="169">
        <v>-2.3825578781748701E-3</v>
      </c>
      <c r="D104" s="169">
        <v>4.4111280730934899E-2</v>
      </c>
      <c r="E104" s="169">
        <v>1.31695869124382E-2</v>
      </c>
      <c r="F104" s="206">
        <v>6974</v>
      </c>
      <c r="G104" s="206">
        <v>4480</v>
      </c>
      <c r="H104" s="206">
        <v>280</v>
      </c>
      <c r="I104" s="206">
        <v>230</v>
      </c>
      <c r="J104" s="189">
        <v>0.12256381748022201</v>
      </c>
      <c r="K104" s="189">
        <v>0.15897528902883001</v>
      </c>
      <c r="L104" s="206">
        <v>2135</v>
      </c>
      <c r="M104" s="206">
        <v>1010</v>
      </c>
      <c r="N104" s="4">
        <v>112</v>
      </c>
      <c r="O104" s="4">
        <v>233</v>
      </c>
      <c r="P104" s="4">
        <v>131</v>
      </c>
      <c r="Q104" s="4">
        <v>0</v>
      </c>
      <c r="R104" s="4">
        <v>420</v>
      </c>
      <c r="S104" s="4">
        <v>8410</v>
      </c>
      <c r="T104" s="4">
        <v>53952</v>
      </c>
      <c r="U104" s="4">
        <v>7326</v>
      </c>
      <c r="V104" s="4">
        <v>520</v>
      </c>
      <c r="W104" s="4">
        <v>0</v>
      </c>
      <c r="X104" s="4">
        <v>0.72478991596638698</v>
      </c>
      <c r="Y104" s="4">
        <v>107</v>
      </c>
      <c r="Z104" s="4">
        <v>0</v>
      </c>
      <c r="AA104" s="4">
        <v>568</v>
      </c>
      <c r="AB104" s="4">
        <v>52</v>
      </c>
      <c r="AC104" s="4">
        <v>0</v>
      </c>
      <c r="AD104" s="4">
        <v>1550</v>
      </c>
      <c r="AE104" s="4">
        <v>3052</v>
      </c>
      <c r="AF104" s="4">
        <v>40063</v>
      </c>
      <c r="AG104" s="4">
        <v>14150</v>
      </c>
      <c r="AH104" s="4">
        <v>1590</v>
      </c>
      <c r="AI104" s="4">
        <v>0</v>
      </c>
      <c r="AJ104" s="4">
        <v>0.91612903225806497</v>
      </c>
      <c r="AK104" s="4">
        <v>80</v>
      </c>
      <c r="AL104" s="4">
        <v>0</v>
      </c>
      <c r="AM104" s="4">
        <v>0</v>
      </c>
      <c r="AN104" s="4">
        <v>0</v>
      </c>
      <c r="AO104" s="4">
        <v>497</v>
      </c>
      <c r="AP104" s="4">
        <v>0</v>
      </c>
      <c r="AQ104" s="4">
        <v>1673</v>
      </c>
      <c r="AR104" s="4">
        <v>0</v>
      </c>
      <c r="AS104" s="4">
        <v>74</v>
      </c>
      <c r="AT104" s="4">
        <v>2847</v>
      </c>
      <c r="AU104" s="4">
        <v>3926</v>
      </c>
      <c r="AV104" s="4">
        <v>16346</v>
      </c>
      <c r="AW104" s="4">
        <v>16383</v>
      </c>
      <c r="AX104" s="4">
        <v>5316</v>
      </c>
      <c r="AY104" s="4">
        <v>14037</v>
      </c>
      <c r="AZ104" s="4">
        <v>49</v>
      </c>
      <c r="BA104" s="4">
        <v>15</v>
      </c>
      <c r="BB104" s="4">
        <v>227</v>
      </c>
      <c r="BC104" s="4">
        <v>36</v>
      </c>
      <c r="BD104" s="4">
        <v>0</v>
      </c>
      <c r="BE104" s="4">
        <v>569</v>
      </c>
      <c r="BF104" s="4">
        <v>0.19571865443425099</v>
      </c>
      <c r="BG104" s="4">
        <v>53</v>
      </c>
      <c r="BH104" s="4">
        <v>3539</v>
      </c>
      <c r="BI104" s="4">
        <v>4623</v>
      </c>
      <c r="BJ104" s="4">
        <v>35852</v>
      </c>
      <c r="BK104" s="4">
        <v>7075</v>
      </c>
      <c r="BL104" s="4">
        <v>4564</v>
      </c>
      <c r="BM104" s="4">
        <v>14555</v>
      </c>
      <c r="BN104" s="4">
        <v>49</v>
      </c>
      <c r="BO104" s="4">
        <v>15</v>
      </c>
      <c r="BP104" s="4">
        <v>227</v>
      </c>
      <c r="BQ104" s="4">
        <v>36</v>
      </c>
      <c r="BR104" s="4">
        <v>0</v>
      </c>
      <c r="BS104" s="4">
        <v>569</v>
      </c>
      <c r="BT104" s="4">
        <v>0.19571865443425099</v>
      </c>
      <c r="BU104" s="4">
        <v>46</v>
      </c>
      <c r="BV104" s="4">
        <v>1980</v>
      </c>
      <c r="BW104" s="4">
        <v>5547</v>
      </c>
      <c r="BX104" s="4">
        <v>36676</v>
      </c>
      <c r="BY104" s="4">
        <v>5531</v>
      </c>
      <c r="BZ104" s="4">
        <v>5919</v>
      </c>
      <c r="CA104" s="4">
        <v>14555</v>
      </c>
      <c r="CB104">
        <v>14412.422473219034</v>
      </c>
      <c r="CC104">
        <v>2670.9927872814569</v>
      </c>
      <c r="CD104">
        <v>21060.375999410331</v>
      </c>
      <c r="CE104">
        <v>7734.3096055604346</v>
      </c>
      <c r="CF104" t="s">
        <v>687</v>
      </c>
      <c r="CG104" t="s">
        <v>687</v>
      </c>
      <c r="CH104">
        <v>17</v>
      </c>
      <c r="CI104">
        <v>2</v>
      </c>
      <c r="CJ104">
        <v>1</v>
      </c>
      <c r="CK104">
        <v>4</v>
      </c>
      <c r="CL104">
        <v>0</v>
      </c>
      <c r="CM104">
        <v>0</v>
      </c>
      <c r="CN104">
        <v>22584266.015534226</v>
      </c>
      <c r="CO104">
        <v>1567</v>
      </c>
      <c r="CP104">
        <v>120194.67542766556</v>
      </c>
      <c r="CQ104">
        <v>45</v>
      </c>
      <c r="CR104">
        <v>9392927.695737008</v>
      </c>
      <c r="CS104">
        <v>446</v>
      </c>
      <c r="CT104">
        <v>3325753.1303909868</v>
      </c>
      <c r="CU104">
        <v>430</v>
      </c>
      <c r="CV104">
        <v>0</v>
      </c>
      <c r="CW104">
        <v>0</v>
      </c>
      <c r="CX104">
        <v>0</v>
      </c>
      <c r="CY104">
        <v>0</v>
      </c>
      <c r="CZ104" s="246">
        <v>0.12043089647812166</v>
      </c>
      <c r="DA104" s="246">
        <v>1.0252083113595612E-2</v>
      </c>
      <c r="DB104" s="123">
        <v>108499598.17999999</v>
      </c>
      <c r="DC104" s="174">
        <v>94.8</v>
      </c>
      <c r="DD104" s="174">
        <v>3.6</v>
      </c>
      <c r="DE104" s="174">
        <v>0.6</v>
      </c>
      <c r="DF104" s="174">
        <v>89.7</v>
      </c>
      <c r="DG104" s="174">
        <v>6.2</v>
      </c>
      <c r="DH104" s="174">
        <v>1.1000000000000001</v>
      </c>
      <c r="DI104" s="174">
        <v>98.9</v>
      </c>
      <c r="DJ104" s="174">
        <v>97</v>
      </c>
    </row>
    <row r="105" spans="1:114" x14ac:dyDescent="0.45">
      <c r="A105">
        <v>861</v>
      </c>
      <c r="B105" s="247">
        <v>-1.6473036240679698E-2</v>
      </c>
      <c r="C105" s="169">
        <v>-2.6010057222125901E-3</v>
      </c>
      <c r="D105" s="169">
        <v>1.39751552795031E-3</v>
      </c>
      <c r="E105" s="169">
        <v>3.1832298136646002E-3</v>
      </c>
      <c r="F105" s="206">
        <v>4178</v>
      </c>
      <c r="G105" s="206">
        <v>0</v>
      </c>
      <c r="H105" s="206">
        <v>0</v>
      </c>
      <c r="I105" s="206">
        <v>20</v>
      </c>
      <c r="J105" s="189">
        <v>7.2980340212247696E-2</v>
      </c>
      <c r="K105" s="189">
        <v>5.1254942450486403E-2</v>
      </c>
      <c r="L105" s="206">
        <v>105</v>
      </c>
      <c r="M105" s="206">
        <v>556</v>
      </c>
      <c r="N105" s="4">
        <v>60</v>
      </c>
      <c r="O105" s="4">
        <v>30</v>
      </c>
      <c r="P105" s="4">
        <v>0</v>
      </c>
      <c r="Q105" s="4">
        <v>0</v>
      </c>
      <c r="R105" s="4">
        <v>0</v>
      </c>
      <c r="S105" s="4">
        <v>3855</v>
      </c>
      <c r="T105" s="4">
        <v>15463</v>
      </c>
      <c r="U105" s="4">
        <v>3799</v>
      </c>
      <c r="V105" s="4">
        <v>0</v>
      </c>
      <c r="W105" s="4">
        <v>0</v>
      </c>
      <c r="X105" s="4">
        <v>1</v>
      </c>
      <c r="Y105" s="4">
        <v>1</v>
      </c>
      <c r="Z105" s="4">
        <v>115</v>
      </c>
      <c r="AA105" s="4">
        <v>0</v>
      </c>
      <c r="AB105" s="4">
        <v>0</v>
      </c>
      <c r="AC105" s="4">
        <v>0</v>
      </c>
      <c r="AD105" s="4">
        <v>0</v>
      </c>
      <c r="AE105" s="4">
        <v>1060</v>
      </c>
      <c r="AF105" s="4">
        <v>10235</v>
      </c>
      <c r="AG105" s="4">
        <v>3150</v>
      </c>
      <c r="AH105" s="4">
        <v>0</v>
      </c>
      <c r="AI105" s="4">
        <v>0</v>
      </c>
      <c r="AJ105" s="4">
        <v>1</v>
      </c>
      <c r="AK105" s="4">
        <v>1</v>
      </c>
      <c r="AL105" s="4">
        <v>0</v>
      </c>
      <c r="AM105" s="4">
        <v>115</v>
      </c>
      <c r="AN105" s="4">
        <v>0</v>
      </c>
      <c r="AO105" s="4">
        <v>0</v>
      </c>
      <c r="AP105" s="4">
        <v>0</v>
      </c>
      <c r="AQ105" s="4">
        <v>0</v>
      </c>
      <c r="AR105" s="4">
        <v>1</v>
      </c>
      <c r="AS105" s="4">
        <v>1</v>
      </c>
      <c r="AT105" s="4">
        <v>0</v>
      </c>
      <c r="AU105" s="4">
        <v>2110</v>
      </c>
      <c r="AV105" s="4">
        <v>2850</v>
      </c>
      <c r="AW105" s="4">
        <v>7235</v>
      </c>
      <c r="AX105" s="4">
        <v>2100</v>
      </c>
      <c r="AY105" s="4">
        <v>150</v>
      </c>
      <c r="AZ105" s="4">
        <v>0</v>
      </c>
      <c r="BA105" s="4">
        <v>60</v>
      </c>
      <c r="BB105" s="4">
        <v>30</v>
      </c>
      <c r="BC105" s="4">
        <v>0</v>
      </c>
      <c r="BD105" s="4">
        <v>0</v>
      </c>
      <c r="BE105" s="4">
        <v>0</v>
      </c>
      <c r="BF105" s="4">
        <v>0.66666666666666696</v>
      </c>
      <c r="BG105" s="4">
        <v>19</v>
      </c>
      <c r="BH105" s="4">
        <v>840</v>
      </c>
      <c r="BI105" s="4">
        <v>1620</v>
      </c>
      <c r="BJ105" s="4">
        <v>11738</v>
      </c>
      <c r="BK105" s="4">
        <v>3463</v>
      </c>
      <c r="BL105" s="4">
        <v>2580</v>
      </c>
      <c r="BM105" s="4">
        <v>2876</v>
      </c>
      <c r="BN105" s="4">
        <v>0</v>
      </c>
      <c r="BO105" s="4">
        <v>60</v>
      </c>
      <c r="BP105" s="4">
        <v>30</v>
      </c>
      <c r="BQ105" s="4">
        <v>0</v>
      </c>
      <c r="BR105" s="4">
        <v>0</v>
      </c>
      <c r="BS105" s="4">
        <v>0</v>
      </c>
      <c r="BT105" s="4">
        <v>0.66666666666666696</v>
      </c>
      <c r="BU105" s="4">
        <v>15</v>
      </c>
      <c r="BV105" s="4">
        <v>1470</v>
      </c>
      <c r="BW105" s="4">
        <v>1176</v>
      </c>
      <c r="BX105" s="4">
        <v>9496</v>
      </c>
      <c r="BY105" s="4">
        <v>4169</v>
      </c>
      <c r="BZ105" s="4">
        <v>3930</v>
      </c>
      <c r="CA105" s="4">
        <v>2876</v>
      </c>
      <c r="CB105">
        <v>8692.9866927139483</v>
      </c>
      <c r="CC105">
        <v>5111.3079003307648</v>
      </c>
      <c r="CD105" t="s">
        <v>687</v>
      </c>
      <c r="CE105" t="s">
        <v>687</v>
      </c>
      <c r="CF105" t="s">
        <v>687</v>
      </c>
      <c r="CG105" t="s">
        <v>687</v>
      </c>
      <c r="CH105">
        <v>3</v>
      </c>
      <c r="CI105">
        <v>5</v>
      </c>
      <c r="CJ105">
        <v>0</v>
      </c>
      <c r="CK105">
        <v>0</v>
      </c>
      <c r="CL105">
        <v>0</v>
      </c>
      <c r="CM105">
        <v>0</v>
      </c>
      <c r="CN105">
        <v>2868685.6085956031</v>
      </c>
      <c r="CO105">
        <v>330</v>
      </c>
      <c r="CP105">
        <v>1073374.6590694606</v>
      </c>
      <c r="CQ105">
        <v>210</v>
      </c>
      <c r="CR105">
        <v>0</v>
      </c>
      <c r="CS105">
        <v>0</v>
      </c>
      <c r="CT105">
        <v>0</v>
      </c>
      <c r="CU105">
        <v>0</v>
      </c>
      <c r="CV105">
        <v>0</v>
      </c>
      <c r="CW105">
        <v>0</v>
      </c>
      <c r="CX105">
        <v>0</v>
      </c>
      <c r="CY105">
        <v>0</v>
      </c>
      <c r="CZ105" s="246">
        <v>0.20788935529006566</v>
      </c>
      <c r="DA105" s="246">
        <v>0.14005513981882631</v>
      </c>
      <c r="DB105" s="123">
        <v>32707478.989999995</v>
      </c>
      <c r="DC105" s="174">
        <v>94.7</v>
      </c>
      <c r="DD105" s="174">
        <v>3.4</v>
      </c>
      <c r="DE105" s="174">
        <v>0.2</v>
      </c>
      <c r="DF105" s="174">
        <v>82.2</v>
      </c>
      <c r="DG105" s="174">
        <v>8.1999999999999993</v>
      </c>
      <c r="DH105" s="174">
        <v>2.1</v>
      </c>
      <c r="DI105" s="174">
        <v>98.3</v>
      </c>
      <c r="DJ105" s="174">
        <v>92.5</v>
      </c>
    </row>
    <row r="106" spans="1:114" x14ac:dyDescent="0.45">
      <c r="A106">
        <v>865</v>
      </c>
      <c r="B106" s="247">
        <v>7.2869310759262201E-2</v>
      </c>
      <c r="C106" s="169">
        <v>3.7649579348905303E-2</v>
      </c>
      <c r="D106" s="169">
        <v>7.1027660004037999E-2</v>
      </c>
      <c r="E106" s="169">
        <v>3.1738340399757703E-2</v>
      </c>
      <c r="F106" s="206">
        <v>5451</v>
      </c>
      <c r="G106" s="206">
        <v>2816</v>
      </c>
      <c r="H106" s="206">
        <v>50</v>
      </c>
      <c r="I106" s="206">
        <v>270</v>
      </c>
      <c r="J106" s="189">
        <v>0.143610396622224</v>
      </c>
      <c r="K106" s="189">
        <v>0.154801972111236</v>
      </c>
      <c r="L106" s="206">
        <v>1360</v>
      </c>
      <c r="M106" s="206">
        <v>644</v>
      </c>
      <c r="N106" s="4">
        <v>46</v>
      </c>
      <c r="O106" s="4">
        <v>360</v>
      </c>
      <c r="P106" s="4">
        <v>0</v>
      </c>
      <c r="Q106" s="4">
        <v>15</v>
      </c>
      <c r="R106" s="4">
        <v>315</v>
      </c>
      <c r="S106" s="4">
        <v>5975</v>
      </c>
      <c r="T106" s="4">
        <v>29526</v>
      </c>
      <c r="U106" s="4">
        <v>7337</v>
      </c>
      <c r="V106" s="4">
        <v>1745</v>
      </c>
      <c r="W106" s="4">
        <v>0</v>
      </c>
      <c r="X106" s="4">
        <v>0.96437054631829</v>
      </c>
      <c r="Y106" s="4">
        <v>87</v>
      </c>
      <c r="Z106" s="4">
        <v>0</v>
      </c>
      <c r="AA106" s="4">
        <v>346</v>
      </c>
      <c r="AB106" s="4">
        <v>0</v>
      </c>
      <c r="AC106" s="4">
        <v>0</v>
      </c>
      <c r="AD106" s="4">
        <v>0</v>
      </c>
      <c r="AE106" s="4">
        <v>7878</v>
      </c>
      <c r="AF106" s="4">
        <v>19956</v>
      </c>
      <c r="AG106" s="4">
        <v>7245</v>
      </c>
      <c r="AH106" s="4">
        <v>600</v>
      </c>
      <c r="AI106" s="4">
        <v>0</v>
      </c>
      <c r="AJ106" s="4">
        <v>1</v>
      </c>
      <c r="AK106" s="4">
        <v>1</v>
      </c>
      <c r="AL106" s="4">
        <v>0</v>
      </c>
      <c r="AM106" s="4">
        <v>0</v>
      </c>
      <c r="AN106" s="4">
        <v>346</v>
      </c>
      <c r="AO106" s="4">
        <v>0</v>
      </c>
      <c r="AP106" s="4">
        <v>0</v>
      </c>
      <c r="AQ106" s="4">
        <v>0</v>
      </c>
      <c r="AR106" s="4">
        <v>0</v>
      </c>
      <c r="AS106" s="4">
        <v>74</v>
      </c>
      <c r="AT106" s="4">
        <v>3056</v>
      </c>
      <c r="AU106" s="4">
        <v>7778</v>
      </c>
      <c r="AV106" s="4">
        <v>18401</v>
      </c>
      <c r="AW106" s="4">
        <v>3959</v>
      </c>
      <c r="AX106" s="4">
        <v>1885</v>
      </c>
      <c r="AY106" s="4">
        <v>600</v>
      </c>
      <c r="AZ106" s="4">
        <v>15</v>
      </c>
      <c r="BA106" s="4">
        <v>0</v>
      </c>
      <c r="BB106" s="4">
        <v>46</v>
      </c>
      <c r="BC106" s="4">
        <v>60</v>
      </c>
      <c r="BD106" s="4">
        <v>300</v>
      </c>
      <c r="BE106" s="4">
        <v>315</v>
      </c>
      <c r="BF106" s="4">
        <v>3.5629453681710201E-2</v>
      </c>
      <c r="BG106" s="4">
        <v>67</v>
      </c>
      <c r="BH106" s="4">
        <v>1099</v>
      </c>
      <c r="BI106" s="4">
        <v>2574</v>
      </c>
      <c r="BJ106" s="4">
        <v>25940</v>
      </c>
      <c r="BK106" s="4">
        <v>6222</v>
      </c>
      <c r="BL106" s="4">
        <v>5216</v>
      </c>
      <c r="BM106" s="4">
        <v>3532</v>
      </c>
      <c r="BN106" s="4">
        <v>15</v>
      </c>
      <c r="BO106" s="4">
        <v>0</v>
      </c>
      <c r="BP106" s="4">
        <v>406</v>
      </c>
      <c r="BQ106" s="4">
        <v>0</v>
      </c>
      <c r="BR106" s="4">
        <v>0</v>
      </c>
      <c r="BS106" s="4">
        <v>315</v>
      </c>
      <c r="BT106" s="4">
        <v>3.5629453681710201E-2</v>
      </c>
      <c r="BU106" s="4">
        <v>68</v>
      </c>
      <c r="BV106" s="4">
        <v>1804</v>
      </c>
      <c r="BW106" s="4">
        <v>2160</v>
      </c>
      <c r="BX106" s="4">
        <v>29784</v>
      </c>
      <c r="BY106" s="4">
        <v>3263</v>
      </c>
      <c r="BZ106" s="4">
        <v>4040</v>
      </c>
      <c r="CA106" s="4">
        <v>3532</v>
      </c>
      <c r="CB106">
        <v>19558.274978540147</v>
      </c>
      <c r="CC106">
        <v>6906.1088137150764</v>
      </c>
      <c r="CD106">
        <v>21324.759008030374</v>
      </c>
      <c r="CE106">
        <v>19301.503796159293</v>
      </c>
      <c r="CF106" t="s">
        <v>687</v>
      </c>
      <c r="CG106" t="s">
        <v>687</v>
      </c>
      <c r="CH106">
        <v>17</v>
      </c>
      <c r="CI106">
        <v>1</v>
      </c>
      <c r="CJ106">
        <v>1</v>
      </c>
      <c r="CK106">
        <v>3</v>
      </c>
      <c r="CL106">
        <v>0</v>
      </c>
      <c r="CM106">
        <v>0</v>
      </c>
      <c r="CN106">
        <v>32740552.314076204</v>
      </c>
      <c r="CO106">
        <v>1674</v>
      </c>
      <c r="CP106">
        <v>621549.79323435691</v>
      </c>
      <c r="CQ106">
        <v>90</v>
      </c>
      <c r="CR106">
        <v>4478199.391686379</v>
      </c>
      <c r="CS106">
        <v>210</v>
      </c>
      <c r="CT106">
        <v>7334571.442540532</v>
      </c>
      <c r="CU106">
        <v>380</v>
      </c>
      <c r="CV106">
        <v>0</v>
      </c>
      <c r="CW106">
        <v>0</v>
      </c>
      <c r="CX106">
        <v>0</v>
      </c>
      <c r="CY106">
        <v>0</v>
      </c>
      <c r="CZ106" s="246">
        <v>0.20077903682719547</v>
      </c>
      <c r="DA106" s="246">
        <v>0.11211878009630818</v>
      </c>
      <c r="DB106" s="123">
        <v>68201550.689999998</v>
      </c>
      <c r="DC106" s="174">
        <v>93.1</v>
      </c>
      <c r="DD106" s="174">
        <v>4.4000000000000004</v>
      </c>
      <c r="DE106" s="174">
        <v>0.9</v>
      </c>
      <c r="DF106" s="174">
        <v>93.1</v>
      </c>
      <c r="DG106" s="174">
        <v>3.9</v>
      </c>
      <c r="DH106" s="174">
        <v>0.9</v>
      </c>
      <c r="DI106" s="174">
        <v>98.4</v>
      </c>
      <c r="DJ106" s="174">
        <v>98</v>
      </c>
    </row>
    <row r="107" spans="1:114" x14ac:dyDescent="0.45">
      <c r="A107">
        <v>866</v>
      </c>
      <c r="B107" s="247">
        <v>-1.7390464228781201E-3</v>
      </c>
      <c r="C107" s="169">
        <v>-4.7823776629148402E-3</v>
      </c>
      <c r="D107" s="169">
        <v>1.45714544302652E-2</v>
      </c>
      <c r="E107" s="169">
        <v>4.4347904787763598E-3</v>
      </c>
      <c r="F107" s="206">
        <v>3863</v>
      </c>
      <c r="G107" s="206">
        <v>2895</v>
      </c>
      <c r="H107" s="206">
        <v>0</v>
      </c>
      <c r="I107" s="206">
        <v>130</v>
      </c>
      <c r="J107" s="189">
        <v>8.5248493923472404E-2</v>
      </c>
      <c r="K107" s="189">
        <v>0.189310485860998</v>
      </c>
      <c r="L107" s="206">
        <v>540</v>
      </c>
      <c r="M107" s="206">
        <v>570</v>
      </c>
      <c r="N107" s="4">
        <v>0</v>
      </c>
      <c r="O107" s="4">
        <v>20</v>
      </c>
      <c r="P107" s="4">
        <v>0</v>
      </c>
      <c r="Q107" s="4">
        <v>0</v>
      </c>
      <c r="R107" s="4">
        <v>0</v>
      </c>
      <c r="S107" s="4">
        <v>3140</v>
      </c>
      <c r="T107" s="4">
        <v>14861</v>
      </c>
      <c r="U107" s="4">
        <v>3222</v>
      </c>
      <c r="V107" s="4">
        <v>574</v>
      </c>
      <c r="W107" s="4">
        <v>0</v>
      </c>
      <c r="X107" s="4">
        <v>1</v>
      </c>
      <c r="Y107" s="4">
        <v>1</v>
      </c>
      <c r="Z107" s="4">
        <v>0</v>
      </c>
      <c r="AA107" s="4">
        <v>0</v>
      </c>
      <c r="AB107" s="4">
        <v>0</v>
      </c>
      <c r="AC107" s="4">
        <v>0</v>
      </c>
      <c r="AD107" s="4">
        <v>750</v>
      </c>
      <c r="AE107" s="4">
        <v>0</v>
      </c>
      <c r="AF107" s="4">
        <v>7864</v>
      </c>
      <c r="AG107" s="4">
        <v>5090</v>
      </c>
      <c r="AH107" s="4">
        <v>600</v>
      </c>
      <c r="AI107" s="4">
        <v>0</v>
      </c>
      <c r="AJ107" s="4" t="s">
        <v>709</v>
      </c>
      <c r="AK107" s="4" t="s">
        <v>709</v>
      </c>
      <c r="AL107" s="4">
        <v>0</v>
      </c>
      <c r="AM107" s="4">
        <v>0</v>
      </c>
      <c r="AN107" s="4">
        <v>0</v>
      </c>
      <c r="AO107" s="4">
        <v>0</v>
      </c>
      <c r="AP107" s="4">
        <v>0</v>
      </c>
      <c r="AQ107" s="4">
        <v>750</v>
      </c>
      <c r="AR107" s="4" t="s">
        <v>709</v>
      </c>
      <c r="AS107" s="4" t="s">
        <v>709</v>
      </c>
      <c r="AT107" s="4">
        <v>0</v>
      </c>
      <c r="AU107" s="4">
        <v>2649</v>
      </c>
      <c r="AV107" s="4">
        <v>8117</v>
      </c>
      <c r="AW107" s="4">
        <v>2188</v>
      </c>
      <c r="AX107" s="4">
        <v>0</v>
      </c>
      <c r="AY107" s="4">
        <v>600</v>
      </c>
      <c r="AZ107" s="4">
        <v>0</v>
      </c>
      <c r="BA107" s="4">
        <v>0</v>
      </c>
      <c r="BB107" s="4">
        <v>20</v>
      </c>
      <c r="BC107" s="4">
        <v>0</v>
      </c>
      <c r="BD107" s="4">
        <v>0</v>
      </c>
      <c r="BE107" s="4">
        <v>0</v>
      </c>
      <c r="BF107" s="4">
        <v>0</v>
      </c>
      <c r="BG107" s="4">
        <v>68</v>
      </c>
      <c r="BH107" s="4">
        <v>371</v>
      </c>
      <c r="BI107" s="4">
        <v>2827</v>
      </c>
      <c r="BJ107" s="4">
        <v>10885</v>
      </c>
      <c r="BK107" s="4">
        <v>3460</v>
      </c>
      <c r="BL107" s="4">
        <v>2028</v>
      </c>
      <c r="BM107" s="4">
        <v>2226</v>
      </c>
      <c r="BN107" s="4">
        <v>0</v>
      </c>
      <c r="BO107" s="4">
        <v>0</v>
      </c>
      <c r="BP107" s="4">
        <v>20</v>
      </c>
      <c r="BQ107" s="4">
        <v>0</v>
      </c>
      <c r="BR107" s="4">
        <v>0</v>
      </c>
      <c r="BS107" s="4">
        <v>0</v>
      </c>
      <c r="BT107" s="4">
        <v>0</v>
      </c>
      <c r="BU107" s="4">
        <v>69</v>
      </c>
      <c r="BV107" s="4">
        <v>371</v>
      </c>
      <c r="BW107" s="4">
        <v>1470</v>
      </c>
      <c r="BX107" s="4">
        <v>15251</v>
      </c>
      <c r="BY107" s="4">
        <v>1290</v>
      </c>
      <c r="BZ107" s="4">
        <v>1189</v>
      </c>
      <c r="CA107" s="4">
        <v>2226</v>
      </c>
      <c r="CB107">
        <v>5371.1720378387045</v>
      </c>
      <c r="CC107">
        <v>12901.344600691004</v>
      </c>
      <c r="CD107" t="s">
        <v>687</v>
      </c>
      <c r="CE107">
        <v>102003.68217490891</v>
      </c>
      <c r="CF107" t="s">
        <v>687</v>
      </c>
      <c r="CG107" t="s">
        <v>687</v>
      </c>
      <c r="CH107">
        <v>1</v>
      </c>
      <c r="CI107">
        <v>1</v>
      </c>
      <c r="CJ107">
        <v>0</v>
      </c>
      <c r="CK107">
        <v>1</v>
      </c>
      <c r="CL107">
        <v>0</v>
      </c>
      <c r="CM107">
        <v>0</v>
      </c>
      <c r="CN107">
        <v>161135.16113516112</v>
      </c>
      <c r="CO107">
        <v>30</v>
      </c>
      <c r="CP107">
        <v>387040.33802073012</v>
      </c>
      <c r="CQ107">
        <v>30</v>
      </c>
      <c r="CR107">
        <v>0</v>
      </c>
      <c r="CS107">
        <v>0</v>
      </c>
      <c r="CT107">
        <v>2550092.0543727227</v>
      </c>
      <c r="CU107">
        <v>25</v>
      </c>
      <c r="CV107">
        <v>0</v>
      </c>
      <c r="CW107">
        <v>0</v>
      </c>
      <c r="CX107">
        <v>0</v>
      </c>
      <c r="CY107">
        <v>0</v>
      </c>
      <c r="CZ107" s="246">
        <v>0.31928512580011409</v>
      </c>
      <c r="DA107" s="246">
        <v>0.17219917012448133</v>
      </c>
      <c r="DB107" s="123">
        <v>26046095.059999999</v>
      </c>
      <c r="DC107" s="174">
        <v>95.1</v>
      </c>
      <c r="DD107" s="174">
        <v>3.8</v>
      </c>
      <c r="DE107" s="174">
        <v>0.6</v>
      </c>
      <c r="DF107" s="174">
        <v>91.2</v>
      </c>
      <c r="DG107" s="174">
        <v>6.8</v>
      </c>
      <c r="DH107" s="174">
        <v>0.9</v>
      </c>
      <c r="DI107" s="174">
        <v>99.5</v>
      </c>
      <c r="DJ107" s="174">
        <v>99</v>
      </c>
    </row>
    <row r="108" spans="1:114" x14ac:dyDescent="0.45">
      <c r="A108">
        <v>867</v>
      </c>
      <c r="B108" s="247">
        <v>0.12773465067042999</v>
      </c>
      <c r="C108" s="169">
        <v>2.01633229156165E-2</v>
      </c>
      <c r="D108" s="169">
        <v>7.6822916666666699E-2</v>
      </c>
      <c r="E108" s="169">
        <v>8.7890625E-3</v>
      </c>
      <c r="F108" s="206">
        <v>1681</v>
      </c>
      <c r="G108" s="206">
        <v>2166</v>
      </c>
      <c r="H108" s="206">
        <v>0</v>
      </c>
      <c r="I108" s="206">
        <v>0</v>
      </c>
      <c r="J108" s="189">
        <v>0.11810524321158899</v>
      </c>
      <c r="K108" s="189">
        <v>0.22490488085493399</v>
      </c>
      <c r="L108" s="206">
        <v>0</v>
      </c>
      <c r="M108" s="206">
        <v>120</v>
      </c>
      <c r="N108" s="4">
        <v>0</v>
      </c>
      <c r="O108" s="4">
        <v>0</v>
      </c>
      <c r="P108" s="4">
        <v>61</v>
      </c>
      <c r="Q108" s="4">
        <v>0</v>
      </c>
      <c r="R108" s="4">
        <v>0</v>
      </c>
      <c r="S108" s="4">
        <v>1049</v>
      </c>
      <c r="T108" s="4">
        <v>5732</v>
      </c>
      <c r="U108" s="4">
        <v>3359</v>
      </c>
      <c r="V108" s="4">
        <v>0</v>
      </c>
      <c r="W108" s="4">
        <v>0</v>
      </c>
      <c r="X108" s="4">
        <v>0</v>
      </c>
      <c r="Y108" s="4">
        <v>118</v>
      </c>
      <c r="Z108" s="4">
        <v>30</v>
      </c>
      <c r="AA108" s="4">
        <v>0</v>
      </c>
      <c r="AB108" s="4">
        <v>0</v>
      </c>
      <c r="AC108" s="4">
        <v>0</v>
      </c>
      <c r="AD108" s="4">
        <v>1365</v>
      </c>
      <c r="AE108" s="4">
        <v>2480</v>
      </c>
      <c r="AF108" s="4">
        <v>5785</v>
      </c>
      <c r="AG108" s="4">
        <v>0</v>
      </c>
      <c r="AH108" s="4">
        <v>0</v>
      </c>
      <c r="AI108" s="4">
        <v>0</v>
      </c>
      <c r="AJ108" s="4">
        <v>1</v>
      </c>
      <c r="AK108" s="4">
        <v>1</v>
      </c>
      <c r="AL108" s="4">
        <v>0</v>
      </c>
      <c r="AM108" s="4">
        <v>30</v>
      </c>
      <c r="AN108" s="4">
        <v>0</v>
      </c>
      <c r="AO108" s="4">
        <v>0</v>
      </c>
      <c r="AP108" s="4">
        <v>0</v>
      </c>
      <c r="AQ108" s="4">
        <v>1365</v>
      </c>
      <c r="AR108" s="4">
        <v>1</v>
      </c>
      <c r="AS108" s="4">
        <v>1</v>
      </c>
      <c r="AT108" s="4">
        <v>1010</v>
      </c>
      <c r="AU108" s="4">
        <v>1470</v>
      </c>
      <c r="AV108" s="4">
        <v>2451</v>
      </c>
      <c r="AW108" s="4">
        <v>1972</v>
      </c>
      <c r="AX108" s="4">
        <v>1362</v>
      </c>
      <c r="AY108" s="4">
        <v>0</v>
      </c>
      <c r="AZ108" s="4">
        <v>0</v>
      </c>
      <c r="BA108" s="4">
        <v>0</v>
      </c>
      <c r="BB108" s="4">
        <v>61</v>
      </c>
      <c r="BC108" s="4">
        <v>0</v>
      </c>
      <c r="BD108" s="4">
        <v>0</v>
      </c>
      <c r="BE108" s="4">
        <v>0</v>
      </c>
      <c r="BF108" s="4">
        <v>0</v>
      </c>
      <c r="BG108" s="4">
        <v>68</v>
      </c>
      <c r="BH108" s="4">
        <v>209</v>
      </c>
      <c r="BI108" s="4">
        <v>870</v>
      </c>
      <c r="BJ108" s="4">
        <v>6661</v>
      </c>
      <c r="BK108" s="4">
        <v>1710</v>
      </c>
      <c r="BL108" s="4">
        <v>210</v>
      </c>
      <c r="BM108" s="4">
        <v>480</v>
      </c>
      <c r="BN108" s="4">
        <v>0</v>
      </c>
      <c r="BO108" s="4">
        <v>0</v>
      </c>
      <c r="BP108" s="4">
        <v>61</v>
      </c>
      <c r="BQ108" s="4">
        <v>0</v>
      </c>
      <c r="BR108" s="4">
        <v>0</v>
      </c>
      <c r="BS108" s="4">
        <v>0</v>
      </c>
      <c r="BT108" s="4">
        <v>0</v>
      </c>
      <c r="BU108" s="4">
        <v>69</v>
      </c>
      <c r="BV108" s="4">
        <v>629</v>
      </c>
      <c r="BW108" s="4">
        <v>240</v>
      </c>
      <c r="BX108" s="4">
        <v>8161</v>
      </c>
      <c r="BY108" s="4">
        <v>630</v>
      </c>
      <c r="BZ108" s="4">
        <v>0</v>
      </c>
      <c r="CA108" s="4">
        <v>480</v>
      </c>
      <c r="CB108">
        <v>22991.650741775866</v>
      </c>
      <c r="CC108">
        <v>28132.857304644451</v>
      </c>
      <c r="CD108" t="s">
        <v>687</v>
      </c>
      <c r="CE108">
        <v>29153.906822445559</v>
      </c>
      <c r="CF108" t="s">
        <v>687</v>
      </c>
      <c r="CG108" t="s">
        <v>687</v>
      </c>
      <c r="CH108">
        <v>5</v>
      </c>
      <c r="CI108">
        <v>2</v>
      </c>
      <c r="CJ108">
        <v>0</v>
      </c>
      <c r="CK108">
        <v>1</v>
      </c>
      <c r="CL108">
        <v>0</v>
      </c>
      <c r="CM108">
        <v>0</v>
      </c>
      <c r="CN108">
        <v>16278088.725177314</v>
      </c>
      <c r="CO108">
        <v>708</v>
      </c>
      <c r="CP108">
        <v>1125314.292185778</v>
      </c>
      <c r="CQ108">
        <v>40</v>
      </c>
      <c r="CR108">
        <v>0</v>
      </c>
      <c r="CS108">
        <v>0</v>
      </c>
      <c r="CT108">
        <v>10262175.201500837</v>
      </c>
      <c r="CU108">
        <v>352</v>
      </c>
      <c r="CV108">
        <v>0</v>
      </c>
      <c r="CW108">
        <v>0</v>
      </c>
      <c r="CX108">
        <v>0</v>
      </c>
      <c r="CY108">
        <v>0</v>
      </c>
      <c r="CZ108" s="246">
        <v>0.17228509511196724</v>
      </c>
      <c r="DA108" s="246">
        <v>0.22740419378163412</v>
      </c>
      <c r="DB108" s="123">
        <v>51466907.520000003</v>
      </c>
      <c r="DC108" s="174">
        <v>92.5</v>
      </c>
      <c r="DD108" s="174">
        <v>5.2</v>
      </c>
      <c r="DE108" s="174">
        <v>1.1000000000000001</v>
      </c>
      <c r="DF108" s="174">
        <v>82.3</v>
      </c>
      <c r="DG108" s="174">
        <v>8</v>
      </c>
      <c r="DH108" s="174">
        <v>5.2</v>
      </c>
      <c r="DI108" s="174">
        <v>98.9</v>
      </c>
      <c r="DJ108" s="174">
        <v>95.5</v>
      </c>
    </row>
    <row r="109" spans="1:114" x14ac:dyDescent="0.45">
      <c r="A109">
        <v>868</v>
      </c>
      <c r="B109" s="247">
        <v>-1.0538333186967601E-3</v>
      </c>
      <c r="C109" s="169">
        <v>-2.8980416264160901E-3</v>
      </c>
      <c r="D109" s="169">
        <v>1.31992457573853E-2</v>
      </c>
      <c r="E109" s="169">
        <v>2.51414204902577E-3</v>
      </c>
      <c r="F109" s="206">
        <v>2440</v>
      </c>
      <c r="G109" s="206">
        <v>2016</v>
      </c>
      <c r="H109" s="206">
        <v>10</v>
      </c>
      <c r="I109" s="206">
        <v>0</v>
      </c>
      <c r="J109" s="189">
        <v>0.11263397017224699</v>
      </c>
      <c r="K109" s="189">
        <v>0.13903020462459501</v>
      </c>
      <c r="L109" s="206">
        <v>201</v>
      </c>
      <c r="M109" s="206">
        <v>420</v>
      </c>
      <c r="N109" s="4">
        <v>0</v>
      </c>
      <c r="O109" s="4">
        <v>15</v>
      </c>
      <c r="P109" s="4">
        <v>95</v>
      </c>
      <c r="Q109" s="4">
        <v>0</v>
      </c>
      <c r="R109" s="4">
        <v>0</v>
      </c>
      <c r="S109" s="4">
        <v>3869</v>
      </c>
      <c r="T109" s="4">
        <v>7179</v>
      </c>
      <c r="U109" s="4">
        <v>1276</v>
      </c>
      <c r="V109" s="4">
        <v>0</v>
      </c>
      <c r="W109" s="4">
        <v>0</v>
      </c>
      <c r="X109" s="4">
        <v>0.13636363636363599</v>
      </c>
      <c r="Y109" s="4">
        <v>117</v>
      </c>
      <c r="Z109" s="4">
        <v>124</v>
      </c>
      <c r="AA109" s="4">
        <v>229</v>
      </c>
      <c r="AB109" s="4">
        <v>96</v>
      </c>
      <c r="AC109" s="4">
        <v>0</v>
      </c>
      <c r="AD109" s="4">
        <v>0</v>
      </c>
      <c r="AE109" s="4">
        <v>4222</v>
      </c>
      <c r="AF109" s="4">
        <v>6648</v>
      </c>
      <c r="AG109" s="4">
        <v>585</v>
      </c>
      <c r="AH109" s="4">
        <v>0</v>
      </c>
      <c r="AI109" s="4">
        <v>0</v>
      </c>
      <c r="AJ109" s="4">
        <v>0.78619153674832998</v>
      </c>
      <c r="AK109" s="4">
        <v>92</v>
      </c>
      <c r="AL109" s="4">
        <v>0</v>
      </c>
      <c r="AM109" s="4">
        <v>124</v>
      </c>
      <c r="AN109" s="4">
        <v>94</v>
      </c>
      <c r="AO109" s="4">
        <v>135</v>
      </c>
      <c r="AP109" s="4">
        <v>0</v>
      </c>
      <c r="AQ109" s="4">
        <v>96</v>
      </c>
      <c r="AR109" s="4">
        <v>0.35127478753541103</v>
      </c>
      <c r="AS109" s="4">
        <v>55</v>
      </c>
      <c r="AT109" s="4">
        <v>1181</v>
      </c>
      <c r="AU109" s="4">
        <v>1642</v>
      </c>
      <c r="AV109" s="4">
        <v>3454</v>
      </c>
      <c r="AW109" s="4">
        <v>2238</v>
      </c>
      <c r="AX109" s="4">
        <v>0</v>
      </c>
      <c r="AY109" s="4">
        <v>2940</v>
      </c>
      <c r="AZ109" s="4">
        <v>0</v>
      </c>
      <c r="BA109" s="4">
        <v>0</v>
      </c>
      <c r="BB109" s="4">
        <v>15</v>
      </c>
      <c r="BC109" s="4">
        <v>0</v>
      </c>
      <c r="BD109" s="4">
        <v>0</v>
      </c>
      <c r="BE109" s="4">
        <v>95</v>
      </c>
      <c r="BF109" s="4">
        <v>0</v>
      </c>
      <c r="BG109" s="4">
        <v>68</v>
      </c>
      <c r="BH109" s="4">
        <v>1614</v>
      </c>
      <c r="BI109" s="4">
        <v>1270</v>
      </c>
      <c r="BJ109" s="4">
        <v>3204</v>
      </c>
      <c r="BK109" s="4">
        <v>1200</v>
      </c>
      <c r="BL109" s="4">
        <v>159</v>
      </c>
      <c r="BM109" s="4">
        <v>4877</v>
      </c>
      <c r="BN109" s="4">
        <v>0</v>
      </c>
      <c r="BO109" s="4">
        <v>0</v>
      </c>
      <c r="BP109" s="4">
        <v>15</v>
      </c>
      <c r="BQ109" s="4">
        <v>0</v>
      </c>
      <c r="BR109" s="4">
        <v>0</v>
      </c>
      <c r="BS109" s="4">
        <v>95</v>
      </c>
      <c r="BT109" s="4">
        <v>0</v>
      </c>
      <c r="BU109" s="4">
        <v>69</v>
      </c>
      <c r="BV109" s="4">
        <v>1260</v>
      </c>
      <c r="BW109" s="4">
        <v>975</v>
      </c>
      <c r="BX109" s="4">
        <v>4432</v>
      </c>
      <c r="BY109" s="4">
        <v>780</v>
      </c>
      <c r="BZ109" s="4">
        <v>0</v>
      </c>
      <c r="CA109" s="4">
        <v>4877</v>
      </c>
      <c r="CB109">
        <v>9159.199388063982</v>
      </c>
      <c r="CC109">
        <v>8132.0134891563494</v>
      </c>
      <c r="CD109" t="s">
        <v>687</v>
      </c>
      <c r="CE109">
        <v>17308.773714874646</v>
      </c>
      <c r="CF109" t="s">
        <v>687</v>
      </c>
      <c r="CG109" t="s">
        <v>687</v>
      </c>
      <c r="CH109">
        <v>2</v>
      </c>
      <c r="CI109">
        <v>2</v>
      </c>
      <c r="CJ109">
        <v>0</v>
      </c>
      <c r="CK109">
        <v>1</v>
      </c>
      <c r="CL109">
        <v>0</v>
      </c>
      <c r="CM109">
        <v>0</v>
      </c>
      <c r="CN109">
        <v>549551.96328383894</v>
      </c>
      <c r="CO109">
        <v>60</v>
      </c>
      <c r="CP109">
        <v>658693.09262166428</v>
      </c>
      <c r="CQ109">
        <v>81</v>
      </c>
      <c r="CR109">
        <v>0</v>
      </c>
      <c r="CS109">
        <v>0</v>
      </c>
      <c r="CT109">
        <v>2077052.8457849575</v>
      </c>
      <c r="CU109">
        <v>120</v>
      </c>
      <c r="CV109">
        <v>0</v>
      </c>
      <c r="CW109">
        <v>0</v>
      </c>
      <c r="CX109">
        <v>0</v>
      </c>
      <c r="CY109">
        <v>0</v>
      </c>
      <c r="CZ109" s="246">
        <v>0.26291502532357908</v>
      </c>
      <c r="DA109" s="246">
        <v>0.16601916601916603</v>
      </c>
      <c r="DB109" s="123">
        <v>31563843.239999998</v>
      </c>
      <c r="DC109" s="174">
        <v>83.6</v>
      </c>
      <c r="DD109" s="174">
        <v>8</v>
      </c>
      <c r="DE109" s="174">
        <v>2.9</v>
      </c>
      <c r="DF109" s="174">
        <v>76.5</v>
      </c>
      <c r="DG109" s="174">
        <v>12.2</v>
      </c>
      <c r="DH109" s="174">
        <v>3.4</v>
      </c>
      <c r="DI109" s="174">
        <v>94.4</v>
      </c>
      <c r="DJ109" s="174">
        <v>92.1</v>
      </c>
    </row>
    <row r="110" spans="1:114" x14ac:dyDescent="0.45">
      <c r="A110">
        <v>869</v>
      </c>
      <c r="B110" s="247">
        <v>5.3280228451191097E-2</v>
      </c>
      <c r="C110" s="169">
        <v>1.33764184263921E-2</v>
      </c>
      <c r="D110" s="169">
        <v>2.48927038626609E-2</v>
      </c>
      <c r="E110" s="169">
        <v>9.1201716738197394E-3</v>
      </c>
      <c r="F110" s="206">
        <v>1458</v>
      </c>
      <c r="G110" s="206">
        <v>298</v>
      </c>
      <c r="H110" s="206">
        <v>50</v>
      </c>
      <c r="I110" s="206">
        <v>130</v>
      </c>
      <c r="J110" s="189">
        <v>0.12336184335398</v>
      </c>
      <c r="K110" s="189">
        <v>9.4956774941274996E-2</v>
      </c>
      <c r="L110" s="206">
        <v>240</v>
      </c>
      <c r="M110" s="206">
        <v>295</v>
      </c>
      <c r="N110" s="4">
        <v>15</v>
      </c>
      <c r="O110" s="4">
        <v>0</v>
      </c>
      <c r="P110" s="4">
        <v>0</v>
      </c>
      <c r="Q110" s="4">
        <v>0</v>
      </c>
      <c r="R110" s="4">
        <v>0</v>
      </c>
      <c r="S110" s="4">
        <v>1255</v>
      </c>
      <c r="T110" s="4">
        <v>11977</v>
      </c>
      <c r="U110" s="4">
        <v>1043</v>
      </c>
      <c r="V110" s="4">
        <v>0</v>
      </c>
      <c r="W110" s="4">
        <v>0</v>
      </c>
      <c r="X110" s="4">
        <v>1</v>
      </c>
      <c r="Y110" s="4">
        <v>1</v>
      </c>
      <c r="Z110" s="4">
        <v>0</v>
      </c>
      <c r="AA110" s="4">
        <v>0</v>
      </c>
      <c r="AB110" s="4">
        <v>0</v>
      </c>
      <c r="AC110" s="4">
        <v>0</v>
      </c>
      <c r="AD110" s="4">
        <v>0</v>
      </c>
      <c r="AE110" s="4">
        <v>3039</v>
      </c>
      <c r="AF110" s="4">
        <v>8636</v>
      </c>
      <c r="AG110" s="4">
        <v>0</v>
      </c>
      <c r="AH110" s="4">
        <v>0</v>
      </c>
      <c r="AI110" s="4">
        <v>0</v>
      </c>
      <c r="AJ110" s="4" t="s">
        <v>709</v>
      </c>
      <c r="AK110" s="4" t="s">
        <v>709</v>
      </c>
      <c r="AL110" s="4">
        <v>0</v>
      </c>
      <c r="AM110" s="4">
        <v>0</v>
      </c>
      <c r="AN110" s="4">
        <v>0</v>
      </c>
      <c r="AO110" s="4">
        <v>0</v>
      </c>
      <c r="AP110" s="4">
        <v>0</v>
      </c>
      <c r="AQ110" s="4">
        <v>0</v>
      </c>
      <c r="AR110" s="4" t="s">
        <v>709</v>
      </c>
      <c r="AS110" s="4" t="s">
        <v>709</v>
      </c>
      <c r="AT110" s="4">
        <v>0</v>
      </c>
      <c r="AU110" s="4">
        <v>2847</v>
      </c>
      <c r="AV110" s="4">
        <v>7691</v>
      </c>
      <c r="AW110" s="4">
        <v>1137</v>
      </c>
      <c r="AX110" s="4">
        <v>0</v>
      </c>
      <c r="AY110" s="4">
        <v>0</v>
      </c>
      <c r="AZ110" s="4">
        <v>0</v>
      </c>
      <c r="BA110" s="4">
        <v>0</v>
      </c>
      <c r="BB110" s="4">
        <v>0</v>
      </c>
      <c r="BC110" s="4">
        <v>15</v>
      </c>
      <c r="BD110" s="4">
        <v>0</v>
      </c>
      <c r="BE110" s="4">
        <v>0</v>
      </c>
      <c r="BF110" s="4">
        <v>0</v>
      </c>
      <c r="BG110" s="4">
        <v>68</v>
      </c>
      <c r="BH110" s="4">
        <v>730</v>
      </c>
      <c r="BI110" s="4">
        <v>1390</v>
      </c>
      <c r="BJ110" s="4">
        <v>7177</v>
      </c>
      <c r="BK110" s="4">
        <v>2429</v>
      </c>
      <c r="BL110" s="4">
        <v>971</v>
      </c>
      <c r="BM110" s="4">
        <v>1578</v>
      </c>
      <c r="BN110" s="4">
        <v>0</v>
      </c>
      <c r="BO110" s="4">
        <v>0</v>
      </c>
      <c r="BP110" s="4">
        <v>15</v>
      </c>
      <c r="BQ110" s="4">
        <v>0</v>
      </c>
      <c r="BR110" s="4">
        <v>0</v>
      </c>
      <c r="BS110" s="4">
        <v>0</v>
      </c>
      <c r="BT110" s="4">
        <v>0</v>
      </c>
      <c r="BU110" s="4">
        <v>69</v>
      </c>
      <c r="BV110" s="4">
        <v>1346</v>
      </c>
      <c r="BW110" s="4">
        <v>1905</v>
      </c>
      <c r="BX110" s="4">
        <v>8521</v>
      </c>
      <c r="BY110" s="4">
        <v>659</v>
      </c>
      <c r="BZ110" s="4">
        <v>266</v>
      </c>
      <c r="CA110" s="4">
        <v>1578</v>
      </c>
      <c r="CB110">
        <v>21159.380141836107</v>
      </c>
      <c r="CC110">
        <v>4500.1874933984454</v>
      </c>
      <c r="CD110" t="s">
        <v>687</v>
      </c>
      <c r="CE110" t="s">
        <v>687</v>
      </c>
      <c r="CF110" t="s">
        <v>687</v>
      </c>
      <c r="CG110" t="s">
        <v>687</v>
      </c>
      <c r="CH110">
        <v>4</v>
      </c>
      <c r="CI110">
        <v>5</v>
      </c>
      <c r="CJ110">
        <v>0</v>
      </c>
      <c r="CK110">
        <v>0</v>
      </c>
      <c r="CL110">
        <v>0</v>
      </c>
      <c r="CM110">
        <v>0</v>
      </c>
      <c r="CN110">
        <v>5924626.4397141105</v>
      </c>
      <c r="CO110">
        <v>280</v>
      </c>
      <c r="CP110">
        <v>585024.37414179789</v>
      </c>
      <c r="CQ110">
        <v>130</v>
      </c>
      <c r="CR110">
        <v>0</v>
      </c>
      <c r="CS110">
        <v>0</v>
      </c>
      <c r="CT110">
        <v>0</v>
      </c>
      <c r="CU110">
        <v>0</v>
      </c>
      <c r="CV110">
        <v>0</v>
      </c>
      <c r="CW110">
        <v>0</v>
      </c>
      <c r="CX110">
        <v>0</v>
      </c>
      <c r="CY110">
        <v>0</v>
      </c>
      <c r="CZ110" s="246">
        <v>8.9488278295941512E-2</v>
      </c>
      <c r="DA110" s="246">
        <v>3.8955741382826842E-2</v>
      </c>
      <c r="DB110" s="123">
        <v>32047920.150000002</v>
      </c>
      <c r="DC110" s="174">
        <v>94.4</v>
      </c>
      <c r="DD110" s="174">
        <v>3.8</v>
      </c>
      <c r="DE110" s="174">
        <v>0.9</v>
      </c>
      <c r="DF110" s="174">
        <v>89.8</v>
      </c>
      <c r="DG110" s="174">
        <v>5.3</v>
      </c>
      <c r="DH110" s="174">
        <v>1.5</v>
      </c>
      <c r="DI110" s="174">
        <v>99.1</v>
      </c>
      <c r="DJ110" s="174">
        <v>96.6</v>
      </c>
    </row>
    <row r="111" spans="1:114" x14ac:dyDescent="0.45">
      <c r="A111">
        <v>870</v>
      </c>
      <c r="B111" s="247">
        <v>6.7763649962602798E-2</v>
      </c>
      <c r="C111" s="169">
        <v>1.66791323859387E-2</v>
      </c>
      <c r="D111" s="169">
        <v>1.1086820737039401E-2</v>
      </c>
      <c r="E111" s="169">
        <v>1.5615240474703301E-3</v>
      </c>
      <c r="F111" s="206">
        <v>4065</v>
      </c>
      <c r="G111" s="206">
        <v>2996</v>
      </c>
      <c r="H111" s="206">
        <v>0</v>
      </c>
      <c r="I111" s="206">
        <v>70</v>
      </c>
      <c r="J111" s="189">
        <v>0.148963563083335</v>
      </c>
      <c r="K111" s="189">
        <v>0.15283436002859499</v>
      </c>
      <c r="L111" s="206">
        <v>120</v>
      </c>
      <c r="M111" s="206">
        <v>715</v>
      </c>
      <c r="N111" s="4">
        <v>0</v>
      </c>
      <c r="O111" s="4">
        <v>0</v>
      </c>
      <c r="P111" s="4">
        <v>0</v>
      </c>
      <c r="Q111" s="4">
        <v>0</v>
      </c>
      <c r="R111" s="4">
        <v>0</v>
      </c>
      <c r="S111" s="4">
        <v>2090</v>
      </c>
      <c r="T111" s="4">
        <v>11113</v>
      </c>
      <c r="U111" s="4">
        <v>1395</v>
      </c>
      <c r="V111" s="4">
        <v>396</v>
      </c>
      <c r="W111" s="4">
        <v>0</v>
      </c>
      <c r="X111" s="4" t="s">
        <v>709</v>
      </c>
      <c r="Y111" s="4" t="s">
        <v>709</v>
      </c>
      <c r="Z111" s="4">
        <v>0</v>
      </c>
      <c r="AA111" s="4">
        <v>0</v>
      </c>
      <c r="AB111" s="4">
        <v>150</v>
      </c>
      <c r="AC111" s="4">
        <v>0</v>
      </c>
      <c r="AD111" s="4">
        <v>0</v>
      </c>
      <c r="AE111" s="4">
        <v>2247</v>
      </c>
      <c r="AF111" s="4">
        <v>4438</v>
      </c>
      <c r="AG111" s="4">
        <v>2650</v>
      </c>
      <c r="AH111" s="4">
        <v>0</v>
      </c>
      <c r="AI111" s="4">
        <v>0</v>
      </c>
      <c r="AJ111" s="4">
        <v>0</v>
      </c>
      <c r="AK111" s="4">
        <v>111</v>
      </c>
      <c r="AL111" s="4">
        <v>0</v>
      </c>
      <c r="AM111" s="4">
        <v>0</v>
      </c>
      <c r="AN111" s="4">
        <v>0</v>
      </c>
      <c r="AO111" s="4">
        <v>0</v>
      </c>
      <c r="AP111" s="4">
        <v>150</v>
      </c>
      <c r="AQ111" s="4">
        <v>0</v>
      </c>
      <c r="AR111" s="4">
        <v>0</v>
      </c>
      <c r="AS111" s="4">
        <v>74</v>
      </c>
      <c r="AT111" s="4">
        <v>1647</v>
      </c>
      <c r="AU111" s="4">
        <v>0</v>
      </c>
      <c r="AV111" s="4">
        <v>2362</v>
      </c>
      <c r="AW111" s="4">
        <v>0</v>
      </c>
      <c r="AX111" s="4">
        <v>2650</v>
      </c>
      <c r="AY111" s="4">
        <v>2676</v>
      </c>
      <c r="AZ111" s="4">
        <v>0</v>
      </c>
      <c r="BA111" s="4">
        <v>0</v>
      </c>
      <c r="BB111" s="4">
        <v>0</v>
      </c>
      <c r="BC111" s="4">
        <v>0</v>
      </c>
      <c r="BD111" s="4">
        <v>0</v>
      </c>
      <c r="BE111" s="4">
        <v>0</v>
      </c>
      <c r="BF111" s="4" t="s">
        <v>709</v>
      </c>
      <c r="BG111" s="4" t="s">
        <v>709</v>
      </c>
      <c r="BH111" s="4">
        <v>870</v>
      </c>
      <c r="BI111" s="4">
        <v>240</v>
      </c>
      <c r="BJ111" s="4">
        <v>9369</v>
      </c>
      <c r="BK111" s="4">
        <v>2995</v>
      </c>
      <c r="BL111" s="4">
        <v>420</v>
      </c>
      <c r="BM111" s="4">
        <v>1100</v>
      </c>
      <c r="BN111" s="4">
        <v>0</v>
      </c>
      <c r="BO111" s="4">
        <v>0</v>
      </c>
      <c r="BP111" s="4">
        <v>0</v>
      </c>
      <c r="BQ111" s="4">
        <v>0</v>
      </c>
      <c r="BR111" s="4">
        <v>0</v>
      </c>
      <c r="BS111" s="4">
        <v>0</v>
      </c>
      <c r="BT111" s="4" t="s">
        <v>709</v>
      </c>
      <c r="BU111" s="4" t="s">
        <v>709</v>
      </c>
      <c r="BV111" s="4">
        <v>450</v>
      </c>
      <c r="BW111" s="4">
        <v>870</v>
      </c>
      <c r="BX111" s="4">
        <v>9919</v>
      </c>
      <c r="BY111" s="4">
        <v>1545</v>
      </c>
      <c r="BZ111" s="4">
        <v>1110</v>
      </c>
      <c r="CA111" s="4">
        <v>1100</v>
      </c>
      <c r="CB111">
        <v>23312.828105593915</v>
      </c>
      <c r="CC111" t="s">
        <v>687</v>
      </c>
      <c r="CD111">
        <v>19490.02581051008</v>
      </c>
      <c r="CE111" t="s">
        <v>687</v>
      </c>
      <c r="CF111" t="s">
        <v>687</v>
      </c>
      <c r="CG111" t="s">
        <v>687</v>
      </c>
      <c r="CH111">
        <v>6</v>
      </c>
      <c r="CI111">
        <v>0</v>
      </c>
      <c r="CJ111">
        <v>2</v>
      </c>
      <c r="CK111">
        <v>0</v>
      </c>
      <c r="CL111">
        <v>0</v>
      </c>
      <c r="CM111">
        <v>0</v>
      </c>
      <c r="CN111">
        <v>27555762.820812006</v>
      </c>
      <c r="CO111">
        <v>1182</v>
      </c>
      <c r="CP111">
        <v>0</v>
      </c>
      <c r="CQ111">
        <v>0</v>
      </c>
      <c r="CR111">
        <v>8185810.8404142335</v>
      </c>
      <c r="CS111">
        <v>420</v>
      </c>
      <c r="CT111">
        <v>0</v>
      </c>
      <c r="CU111">
        <v>0</v>
      </c>
      <c r="CV111">
        <v>0</v>
      </c>
      <c r="CW111">
        <v>0</v>
      </c>
      <c r="CX111">
        <v>0</v>
      </c>
      <c r="CY111">
        <v>0</v>
      </c>
      <c r="CZ111" s="246">
        <v>0.33078316891483794</v>
      </c>
      <c r="DA111" s="246">
        <v>0.86671286671286674</v>
      </c>
      <c r="DB111" s="123">
        <v>62103202.440000005</v>
      </c>
      <c r="DC111" s="174">
        <v>88</v>
      </c>
      <c r="DD111" s="174">
        <v>6.7</v>
      </c>
      <c r="DE111" s="174">
        <v>2.7</v>
      </c>
      <c r="DF111" s="174">
        <v>64.400000000000006</v>
      </c>
      <c r="DG111" s="174">
        <v>14.1</v>
      </c>
      <c r="DH111" s="174">
        <v>5.8</v>
      </c>
      <c r="DI111" s="174">
        <v>97.3</v>
      </c>
      <c r="DJ111" s="174">
        <v>84.3</v>
      </c>
    </row>
    <row r="112" spans="1:114" x14ac:dyDescent="0.45">
      <c r="A112">
        <v>871</v>
      </c>
      <c r="B112" s="247">
        <v>1.53598856938739E-2</v>
      </c>
      <c r="C112" s="169">
        <v>-4.8818241352622501E-3</v>
      </c>
      <c r="D112" s="169">
        <v>8.9217919514047103E-3</v>
      </c>
      <c r="E112" s="169">
        <v>-8.5421412300683407E-3</v>
      </c>
      <c r="F112" s="206">
        <v>5672</v>
      </c>
      <c r="G112" s="206">
        <v>6557</v>
      </c>
      <c r="H112" s="206">
        <v>0</v>
      </c>
      <c r="I112" s="206">
        <v>0</v>
      </c>
      <c r="J112" s="189">
        <v>8.4948657153629301E-2</v>
      </c>
      <c r="K112" s="189">
        <v>7.3191662946061303E-2</v>
      </c>
      <c r="L112" s="206">
        <v>0</v>
      </c>
      <c r="M112" s="206">
        <v>0</v>
      </c>
      <c r="N112" s="4">
        <v>44</v>
      </c>
      <c r="O112" s="4">
        <v>60</v>
      </c>
      <c r="P112" s="4">
        <v>0</v>
      </c>
      <c r="Q112" s="4">
        <v>0</v>
      </c>
      <c r="R112" s="4">
        <v>0</v>
      </c>
      <c r="S112" s="4">
        <v>3841</v>
      </c>
      <c r="T112" s="4">
        <v>13006</v>
      </c>
      <c r="U112" s="4">
        <v>630</v>
      </c>
      <c r="V112" s="4">
        <v>0</v>
      </c>
      <c r="W112" s="4">
        <v>840</v>
      </c>
      <c r="X112" s="4">
        <v>1</v>
      </c>
      <c r="Y112" s="4">
        <v>1</v>
      </c>
      <c r="Z112" s="4">
        <v>335</v>
      </c>
      <c r="AA112" s="4">
        <v>409</v>
      </c>
      <c r="AB112" s="4">
        <v>0</v>
      </c>
      <c r="AC112" s="4">
        <v>0</v>
      </c>
      <c r="AD112" s="4">
        <v>0</v>
      </c>
      <c r="AE112" s="4">
        <v>8129</v>
      </c>
      <c r="AF112" s="4">
        <v>4143</v>
      </c>
      <c r="AG112" s="4">
        <v>905</v>
      </c>
      <c r="AH112" s="4">
        <v>1140</v>
      </c>
      <c r="AI112" s="4">
        <v>1100</v>
      </c>
      <c r="AJ112" s="4">
        <v>1</v>
      </c>
      <c r="AK112" s="4">
        <v>1</v>
      </c>
      <c r="AL112" s="4">
        <v>0</v>
      </c>
      <c r="AM112" s="4">
        <v>335</v>
      </c>
      <c r="AN112" s="4">
        <v>0</v>
      </c>
      <c r="AO112" s="4">
        <v>0</v>
      </c>
      <c r="AP112" s="4">
        <v>409</v>
      </c>
      <c r="AQ112" s="4">
        <v>0</v>
      </c>
      <c r="AR112" s="4">
        <v>0.45026881720430101</v>
      </c>
      <c r="AS112" s="4">
        <v>50</v>
      </c>
      <c r="AT112" s="4">
        <v>5929</v>
      </c>
      <c r="AU112" s="4">
        <v>3054</v>
      </c>
      <c r="AV112" s="4">
        <v>2260</v>
      </c>
      <c r="AW112" s="4">
        <v>905</v>
      </c>
      <c r="AX112" s="4">
        <v>1029</v>
      </c>
      <c r="AY112" s="4">
        <v>2240</v>
      </c>
      <c r="AZ112" s="4">
        <v>44</v>
      </c>
      <c r="BA112" s="4">
        <v>0</v>
      </c>
      <c r="BB112" s="4">
        <v>60</v>
      </c>
      <c r="BC112" s="4">
        <v>0</v>
      </c>
      <c r="BD112" s="4">
        <v>0</v>
      </c>
      <c r="BE112" s="4">
        <v>0</v>
      </c>
      <c r="BF112" s="4">
        <v>0.42307692307692302</v>
      </c>
      <c r="BG112" s="4">
        <v>29</v>
      </c>
      <c r="BH112" s="4">
        <v>3928</v>
      </c>
      <c r="BI112" s="4">
        <v>5918</v>
      </c>
      <c r="BJ112" s="4">
        <v>3880</v>
      </c>
      <c r="BK112" s="4">
        <v>2506</v>
      </c>
      <c r="BL112" s="4">
        <v>0</v>
      </c>
      <c r="BM112" s="4">
        <v>2085</v>
      </c>
      <c r="BN112" s="4">
        <v>0</v>
      </c>
      <c r="BO112" s="4">
        <v>44</v>
      </c>
      <c r="BP112" s="4">
        <v>60</v>
      </c>
      <c r="BQ112" s="4">
        <v>0</v>
      </c>
      <c r="BR112" s="4">
        <v>0</v>
      </c>
      <c r="BS112" s="4">
        <v>0</v>
      </c>
      <c r="BT112" s="4">
        <v>0.42307692307692302</v>
      </c>
      <c r="BU112" s="4">
        <v>26</v>
      </c>
      <c r="BV112" s="4">
        <v>450</v>
      </c>
      <c r="BW112" s="4">
        <v>5008</v>
      </c>
      <c r="BX112" s="4">
        <v>6790</v>
      </c>
      <c r="BY112" s="4">
        <v>3346</v>
      </c>
      <c r="BZ112" s="4">
        <v>638</v>
      </c>
      <c r="CA112" s="4">
        <v>2085</v>
      </c>
      <c r="CB112">
        <v>21262.188011209622</v>
      </c>
      <c r="CC112">
        <v>4518.30546289422</v>
      </c>
      <c r="CD112" t="s">
        <v>687</v>
      </c>
      <c r="CE112" t="s">
        <v>687</v>
      </c>
      <c r="CF112" t="s">
        <v>687</v>
      </c>
      <c r="CG112" t="s">
        <v>687</v>
      </c>
      <c r="CH112">
        <v>5</v>
      </c>
      <c r="CI112">
        <v>5</v>
      </c>
      <c r="CJ112">
        <v>0</v>
      </c>
      <c r="CK112">
        <v>0</v>
      </c>
      <c r="CL112">
        <v>0</v>
      </c>
      <c r="CM112">
        <v>0</v>
      </c>
      <c r="CN112">
        <v>14968580.359891573</v>
      </c>
      <c r="CO112">
        <v>704</v>
      </c>
      <c r="CP112">
        <v>1626589.9666419192</v>
      </c>
      <c r="CQ112">
        <v>360</v>
      </c>
      <c r="CR112">
        <v>0</v>
      </c>
      <c r="CS112">
        <v>0</v>
      </c>
      <c r="CT112">
        <v>0</v>
      </c>
      <c r="CU112">
        <v>0</v>
      </c>
      <c r="CV112">
        <v>0</v>
      </c>
      <c r="CW112">
        <v>0</v>
      </c>
      <c r="CX112">
        <v>0</v>
      </c>
      <c r="CY112">
        <v>0</v>
      </c>
      <c r="CZ112" s="246">
        <v>0.44552394170714782</v>
      </c>
      <c r="DA112" s="246">
        <v>0.69544827586206892</v>
      </c>
      <c r="DB112" s="123">
        <v>82225167.239999995</v>
      </c>
      <c r="DC112" s="174">
        <v>92</v>
      </c>
      <c r="DD112" s="174">
        <v>5.7</v>
      </c>
      <c r="DE112" s="174">
        <v>1.3</v>
      </c>
      <c r="DF112" s="174">
        <v>62.8</v>
      </c>
      <c r="DG112" s="174">
        <v>13.7</v>
      </c>
      <c r="DH112" s="174">
        <v>6.3</v>
      </c>
      <c r="DI112" s="174">
        <v>98.9</v>
      </c>
      <c r="DJ112" s="174">
        <v>82.8</v>
      </c>
    </row>
    <row r="113" spans="1:114" x14ac:dyDescent="0.45">
      <c r="A113">
        <v>872</v>
      </c>
      <c r="B113" s="247">
        <v>4.8214168256265198E-2</v>
      </c>
      <c r="C113" s="169">
        <v>3.551930540025E-3</v>
      </c>
      <c r="D113" s="169">
        <v>-4.9187625194747397E-2</v>
      </c>
      <c r="E113" s="169">
        <v>-1.66926329846428E-3</v>
      </c>
      <c r="F113" s="206">
        <v>2928</v>
      </c>
      <c r="G113" s="206">
        <v>2620</v>
      </c>
      <c r="H113" s="206">
        <v>230</v>
      </c>
      <c r="I113" s="206">
        <v>70</v>
      </c>
      <c r="J113" s="189">
        <v>9.41882344934932E-2</v>
      </c>
      <c r="K113" s="189">
        <v>5.2774483863559797E-2</v>
      </c>
      <c r="L113" s="206">
        <v>810</v>
      </c>
      <c r="M113" s="206">
        <v>0</v>
      </c>
      <c r="N113" s="4">
        <v>0</v>
      </c>
      <c r="O113" s="4">
        <v>233</v>
      </c>
      <c r="P113" s="4">
        <v>180</v>
      </c>
      <c r="Q113" s="4">
        <v>0</v>
      </c>
      <c r="R113" s="4">
        <v>0</v>
      </c>
      <c r="S113" s="4">
        <v>2770</v>
      </c>
      <c r="T113" s="4">
        <v>10722</v>
      </c>
      <c r="U113" s="4">
        <v>1560</v>
      </c>
      <c r="V113" s="4">
        <v>420</v>
      </c>
      <c r="W113" s="4">
        <v>0</v>
      </c>
      <c r="X113" s="4">
        <v>0.56416464891041196</v>
      </c>
      <c r="Y113" s="4">
        <v>113</v>
      </c>
      <c r="Z113" s="4">
        <v>106</v>
      </c>
      <c r="AA113" s="4">
        <v>0</v>
      </c>
      <c r="AB113" s="4">
        <v>0</v>
      </c>
      <c r="AC113" s="4">
        <v>0</v>
      </c>
      <c r="AD113" s="4">
        <v>0</v>
      </c>
      <c r="AE113" s="4">
        <v>1209</v>
      </c>
      <c r="AF113" s="4">
        <v>10163</v>
      </c>
      <c r="AG113" s="4">
        <v>1210</v>
      </c>
      <c r="AH113" s="4">
        <v>0</v>
      </c>
      <c r="AI113" s="4">
        <v>0</v>
      </c>
      <c r="AJ113" s="4">
        <v>1</v>
      </c>
      <c r="AK113" s="4">
        <v>1</v>
      </c>
      <c r="AL113" s="4">
        <v>106</v>
      </c>
      <c r="AM113" s="4">
        <v>0</v>
      </c>
      <c r="AN113" s="4">
        <v>0</v>
      </c>
      <c r="AO113" s="4">
        <v>0</v>
      </c>
      <c r="AP113" s="4">
        <v>0</v>
      </c>
      <c r="AQ113" s="4">
        <v>0</v>
      </c>
      <c r="AR113" s="4">
        <v>1</v>
      </c>
      <c r="AS113" s="4">
        <v>1</v>
      </c>
      <c r="AT113" s="4">
        <v>4335</v>
      </c>
      <c r="AU113" s="4">
        <v>1175</v>
      </c>
      <c r="AV113" s="4">
        <v>4102</v>
      </c>
      <c r="AW113" s="4">
        <v>1770</v>
      </c>
      <c r="AX113" s="4">
        <v>0</v>
      </c>
      <c r="AY113" s="4">
        <v>1200</v>
      </c>
      <c r="AZ113" s="4">
        <v>0</v>
      </c>
      <c r="BA113" s="4">
        <v>0</v>
      </c>
      <c r="BB113" s="4">
        <v>365</v>
      </c>
      <c r="BC113" s="4">
        <v>0</v>
      </c>
      <c r="BD113" s="4">
        <v>48</v>
      </c>
      <c r="BE113" s="4">
        <v>0</v>
      </c>
      <c r="BF113" s="4">
        <v>0</v>
      </c>
      <c r="BG113" s="4">
        <v>68</v>
      </c>
      <c r="BH113" s="4">
        <v>840</v>
      </c>
      <c r="BI113" s="4">
        <v>1428</v>
      </c>
      <c r="BJ113" s="4">
        <v>9065</v>
      </c>
      <c r="BK113" s="4">
        <v>1040</v>
      </c>
      <c r="BL113" s="4">
        <v>372</v>
      </c>
      <c r="BM113" s="4">
        <v>2727</v>
      </c>
      <c r="BN113" s="4">
        <v>0</v>
      </c>
      <c r="BO113" s="4">
        <v>0</v>
      </c>
      <c r="BP113" s="4">
        <v>365</v>
      </c>
      <c r="BQ113" s="4">
        <v>0</v>
      </c>
      <c r="BR113" s="4">
        <v>48</v>
      </c>
      <c r="BS113" s="4">
        <v>0</v>
      </c>
      <c r="BT113" s="4">
        <v>0</v>
      </c>
      <c r="BU113" s="4">
        <v>69</v>
      </c>
      <c r="BV113" s="4">
        <v>1155</v>
      </c>
      <c r="BW113" s="4">
        <v>1691</v>
      </c>
      <c r="BX113" s="4">
        <v>8837</v>
      </c>
      <c r="BY113" s="4">
        <v>690</v>
      </c>
      <c r="BZ113" s="4">
        <v>372</v>
      </c>
      <c r="CA113" s="4">
        <v>2727</v>
      </c>
      <c r="CB113">
        <v>14658.045503733942</v>
      </c>
      <c r="CC113">
        <v>19645.742609311383</v>
      </c>
      <c r="CD113">
        <v>24838.659928346031</v>
      </c>
      <c r="CE113" t="s">
        <v>687</v>
      </c>
      <c r="CF113" t="s">
        <v>687</v>
      </c>
      <c r="CG113">
        <v>31954.16057151643</v>
      </c>
      <c r="CH113">
        <v>4</v>
      </c>
      <c r="CI113">
        <v>2</v>
      </c>
      <c r="CJ113">
        <v>1</v>
      </c>
      <c r="CK113">
        <v>0</v>
      </c>
      <c r="CL113">
        <v>0</v>
      </c>
      <c r="CM113">
        <v>1</v>
      </c>
      <c r="CN113">
        <v>6156379.1115682553</v>
      </c>
      <c r="CO113">
        <v>420</v>
      </c>
      <c r="CP113">
        <v>884058.41741901229</v>
      </c>
      <c r="CQ113">
        <v>45</v>
      </c>
      <c r="CR113">
        <v>11078042.32804233</v>
      </c>
      <c r="CS113">
        <v>446</v>
      </c>
      <c r="CT113">
        <v>0</v>
      </c>
      <c r="CU113">
        <v>0</v>
      </c>
      <c r="CV113">
        <v>0</v>
      </c>
      <c r="CW113">
        <v>0</v>
      </c>
      <c r="CX113">
        <v>38344992.685819715</v>
      </c>
      <c r="CY113">
        <v>1200</v>
      </c>
      <c r="CZ113" s="246">
        <v>0.33179064288118476</v>
      </c>
      <c r="DA113" s="246">
        <v>0.21027761370348494</v>
      </c>
      <c r="DB113" s="123">
        <v>58885759.640000001</v>
      </c>
      <c r="DC113" s="174">
        <v>88.7</v>
      </c>
      <c r="DD113" s="174">
        <v>7.8</v>
      </c>
      <c r="DE113" s="174">
        <v>1.4</v>
      </c>
      <c r="DF113" s="174">
        <v>79.900000000000006</v>
      </c>
      <c r="DG113" s="174">
        <v>10.3</v>
      </c>
      <c r="DH113" s="174">
        <v>3.6</v>
      </c>
      <c r="DI113" s="174">
        <v>97.9</v>
      </c>
      <c r="DJ113" s="174">
        <v>93.8</v>
      </c>
    </row>
    <row r="114" spans="1:114" x14ac:dyDescent="0.45">
      <c r="A114">
        <v>873</v>
      </c>
      <c r="B114" s="247">
        <v>6.6043884423202304E-2</v>
      </c>
      <c r="C114" s="169">
        <v>1.7834218790117099E-2</v>
      </c>
      <c r="D114" s="169">
        <v>3.8889452504142601E-2</v>
      </c>
      <c r="E114" s="169">
        <v>1.32562307666295E-2</v>
      </c>
      <c r="F114" s="206">
        <v>13455</v>
      </c>
      <c r="G114" s="206">
        <v>3822</v>
      </c>
      <c r="H114" s="206">
        <v>170</v>
      </c>
      <c r="I114" s="206">
        <v>940</v>
      </c>
      <c r="J114" s="189">
        <v>0.186395014937558</v>
      </c>
      <c r="K114" s="189">
        <v>0.13900106535059301</v>
      </c>
      <c r="L114" s="206">
        <v>2910</v>
      </c>
      <c r="M114" s="206">
        <v>1500</v>
      </c>
      <c r="N114" s="4">
        <v>270</v>
      </c>
      <c r="O114" s="4">
        <v>606</v>
      </c>
      <c r="P114" s="4">
        <v>111</v>
      </c>
      <c r="Q114" s="4">
        <v>120</v>
      </c>
      <c r="R114" s="4">
        <v>240</v>
      </c>
      <c r="S114" s="4">
        <v>4924</v>
      </c>
      <c r="T114" s="4">
        <v>41897</v>
      </c>
      <c r="U114" s="4">
        <v>7413</v>
      </c>
      <c r="V114" s="4">
        <v>989</v>
      </c>
      <c r="W114" s="4">
        <v>1050</v>
      </c>
      <c r="X114" s="4">
        <v>0.79132791327913299</v>
      </c>
      <c r="Y114" s="4">
        <v>103</v>
      </c>
      <c r="Z114" s="4">
        <v>390</v>
      </c>
      <c r="AA114" s="4">
        <v>0</v>
      </c>
      <c r="AB114" s="4">
        <v>0</v>
      </c>
      <c r="AC114" s="4">
        <v>0</v>
      </c>
      <c r="AD114" s="4">
        <v>0</v>
      </c>
      <c r="AE114" s="4">
        <v>8570</v>
      </c>
      <c r="AF114" s="4">
        <v>26665</v>
      </c>
      <c r="AG114" s="4">
        <v>1949</v>
      </c>
      <c r="AH114" s="4">
        <v>0</v>
      </c>
      <c r="AI114" s="4">
        <v>750</v>
      </c>
      <c r="AJ114" s="4">
        <v>1</v>
      </c>
      <c r="AK114" s="4">
        <v>1</v>
      </c>
      <c r="AL114" s="4">
        <v>240</v>
      </c>
      <c r="AM114" s="4">
        <v>150</v>
      </c>
      <c r="AN114" s="4">
        <v>0</v>
      </c>
      <c r="AO114" s="4">
        <v>0</v>
      </c>
      <c r="AP114" s="4">
        <v>0</v>
      </c>
      <c r="AQ114" s="4">
        <v>0</v>
      </c>
      <c r="AR114" s="4">
        <v>1</v>
      </c>
      <c r="AS114" s="4">
        <v>1</v>
      </c>
      <c r="AT114" s="4">
        <v>8072</v>
      </c>
      <c r="AU114" s="4">
        <v>6793</v>
      </c>
      <c r="AV114" s="4">
        <v>17201</v>
      </c>
      <c r="AW114" s="4">
        <v>4448</v>
      </c>
      <c r="AX114" s="4">
        <v>0</v>
      </c>
      <c r="AY114" s="4">
        <v>1420</v>
      </c>
      <c r="AZ114" s="4">
        <v>270</v>
      </c>
      <c r="BA114" s="4">
        <v>0</v>
      </c>
      <c r="BB114" s="4">
        <v>507</v>
      </c>
      <c r="BC114" s="4">
        <v>240</v>
      </c>
      <c r="BD114" s="4">
        <v>0</v>
      </c>
      <c r="BE114" s="4">
        <v>330</v>
      </c>
      <c r="BF114" s="4">
        <v>0.265486725663717</v>
      </c>
      <c r="BG114" s="4">
        <v>44</v>
      </c>
      <c r="BH114" s="4">
        <v>4931</v>
      </c>
      <c r="BI114" s="4">
        <v>4048</v>
      </c>
      <c r="BJ114" s="4">
        <v>28785</v>
      </c>
      <c r="BK114" s="4">
        <v>7207</v>
      </c>
      <c r="BL114" s="4">
        <v>3776</v>
      </c>
      <c r="BM114" s="4">
        <v>7526</v>
      </c>
      <c r="BN114" s="4">
        <v>270</v>
      </c>
      <c r="BO114" s="4">
        <v>0</v>
      </c>
      <c r="BP114" s="4">
        <v>447</v>
      </c>
      <c r="BQ114" s="4">
        <v>150</v>
      </c>
      <c r="BR114" s="4">
        <v>150</v>
      </c>
      <c r="BS114" s="4">
        <v>330</v>
      </c>
      <c r="BT114" s="4">
        <v>0.265486725663717</v>
      </c>
      <c r="BU114" s="4">
        <v>40</v>
      </c>
      <c r="BV114" s="4">
        <v>4897</v>
      </c>
      <c r="BW114" s="4">
        <v>4835</v>
      </c>
      <c r="BX114" s="4">
        <v>31612</v>
      </c>
      <c r="BY114" s="4">
        <v>3800</v>
      </c>
      <c r="BZ114" s="4">
        <v>3963</v>
      </c>
      <c r="CA114" s="4">
        <v>7166</v>
      </c>
      <c r="CB114">
        <v>23945.086863257427</v>
      </c>
      <c r="CC114" t="s">
        <v>687</v>
      </c>
      <c r="CD114">
        <v>24387.368868034209</v>
      </c>
      <c r="CE114">
        <v>27404.840396791889</v>
      </c>
      <c r="CF114" t="s">
        <v>687</v>
      </c>
      <c r="CG114">
        <v>51972.944815713585</v>
      </c>
      <c r="CH114">
        <v>19</v>
      </c>
      <c r="CI114">
        <v>0</v>
      </c>
      <c r="CJ114">
        <v>4</v>
      </c>
      <c r="CK114">
        <v>2</v>
      </c>
      <c r="CL114">
        <v>0</v>
      </c>
      <c r="CM114">
        <v>1</v>
      </c>
      <c r="CN114">
        <v>70973237.462695017</v>
      </c>
      <c r="CO114">
        <v>2964</v>
      </c>
      <c r="CP114">
        <v>0</v>
      </c>
      <c r="CQ114">
        <v>0</v>
      </c>
      <c r="CR114">
        <v>55017904.166285172</v>
      </c>
      <c r="CS114">
        <v>2256</v>
      </c>
      <c r="CT114">
        <v>8221452.1190375667</v>
      </c>
      <c r="CU114">
        <v>300</v>
      </c>
      <c r="CV114">
        <v>0</v>
      </c>
      <c r="CW114">
        <v>0</v>
      </c>
      <c r="CX114">
        <v>31183766.88942815</v>
      </c>
      <c r="CY114">
        <v>600</v>
      </c>
      <c r="CZ114" s="246">
        <v>0.2242269239711695</v>
      </c>
      <c r="DA114" s="246">
        <v>0.12692978923345416</v>
      </c>
      <c r="DB114" s="123">
        <v>165282562.58000001</v>
      </c>
      <c r="DC114" s="174">
        <v>92.8</v>
      </c>
      <c r="DD114" s="174">
        <v>4.3</v>
      </c>
      <c r="DE114" s="174">
        <v>1</v>
      </c>
      <c r="DF114" s="174">
        <v>89.5</v>
      </c>
      <c r="DG114" s="174">
        <v>5.3</v>
      </c>
      <c r="DH114" s="174">
        <v>1.5</v>
      </c>
      <c r="DI114" s="174">
        <v>98</v>
      </c>
      <c r="DJ114" s="174">
        <v>96.3</v>
      </c>
    </row>
    <row r="115" spans="1:114" x14ac:dyDescent="0.45">
      <c r="A115">
        <v>874</v>
      </c>
      <c r="B115" s="247">
        <v>1.65559859804464E-2</v>
      </c>
      <c r="C115" s="169">
        <v>6.9175428887659103E-3</v>
      </c>
      <c r="D115" s="169">
        <v>4.71698113207547E-2</v>
      </c>
      <c r="E115" s="169">
        <v>5.3459119496855299E-3</v>
      </c>
      <c r="F115" s="206">
        <v>5239</v>
      </c>
      <c r="G115" s="206">
        <v>5730</v>
      </c>
      <c r="H115" s="206">
        <v>440</v>
      </c>
      <c r="I115" s="206">
        <v>0</v>
      </c>
      <c r="J115" s="189">
        <v>6.4474286708335493E-2</v>
      </c>
      <c r="K115" s="189">
        <v>0.10074102398546</v>
      </c>
      <c r="L115" s="206">
        <v>150</v>
      </c>
      <c r="M115" s="206">
        <v>0</v>
      </c>
      <c r="N115" s="4">
        <v>0</v>
      </c>
      <c r="O115" s="4">
        <v>345</v>
      </c>
      <c r="P115" s="4">
        <v>0</v>
      </c>
      <c r="Q115" s="4">
        <v>0</v>
      </c>
      <c r="R115" s="4">
        <v>0</v>
      </c>
      <c r="S115" s="4">
        <v>1740</v>
      </c>
      <c r="T115" s="4">
        <v>15035</v>
      </c>
      <c r="U115" s="4">
        <v>1950</v>
      </c>
      <c r="V115" s="4">
        <v>0</v>
      </c>
      <c r="W115" s="4">
        <v>0</v>
      </c>
      <c r="X115" s="4">
        <v>1</v>
      </c>
      <c r="Y115" s="4">
        <v>1</v>
      </c>
      <c r="Z115" s="4">
        <v>0</v>
      </c>
      <c r="AA115" s="4">
        <v>780</v>
      </c>
      <c r="AB115" s="4">
        <v>0</v>
      </c>
      <c r="AC115" s="4">
        <v>0</v>
      </c>
      <c r="AD115" s="4">
        <v>300</v>
      </c>
      <c r="AE115" s="4">
        <v>2810</v>
      </c>
      <c r="AF115" s="4">
        <v>11199</v>
      </c>
      <c r="AG115" s="4">
        <v>1600</v>
      </c>
      <c r="AH115" s="4">
        <v>0</v>
      </c>
      <c r="AI115" s="4">
        <v>1200</v>
      </c>
      <c r="AJ115" s="4">
        <v>1</v>
      </c>
      <c r="AK115" s="4">
        <v>1</v>
      </c>
      <c r="AL115" s="4">
        <v>30</v>
      </c>
      <c r="AM115" s="4">
        <v>0</v>
      </c>
      <c r="AN115" s="4">
        <v>450</v>
      </c>
      <c r="AO115" s="4">
        <v>300</v>
      </c>
      <c r="AP115" s="4">
        <v>0</v>
      </c>
      <c r="AQ115" s="4">
        <v>300</v>
      </c>
      <c r="AR115" s="4">
        <v>3.8461538461538498E-2</v>
      </c>
      <c r="AS115" s="4">
        <v>73</v>
      </c>
      <c r="AT115" s="4">
        <v>1875</v>
      </c>
      <c r="AU115" s="4">
        <v>0</v>
      </c>
      <c r="AV115" s="4">
        <v>7773</v>
      </c>
      <c r="AW115" s="4">
        <v>5461</v>
      </c>
      <c r="AX115" s="4">
        <v>0</v>
      </c>
      <c r="AY115" s="4">
        <v>1700</v>
      </c>
      <c r="AZ115" s="4">
        <v>0</v>
      </c>
      <c r="BA115" s="4">
        <v>0</v>
      </c>
      <c r="BB115" s="4">
        <v>315</v>
      </c>
      <c r="BC115" s="4">
        <v>0</v>
      </c>
      <c r="BD115" s="4">
        <v>0</v>
      </c>
      <c r="BE115" s="4">
        <v>30</v>
      </c>
      <c r="BF115" s="4">
        <v>0</v>
      </c>
      <c r="BG115" s="4">
        <v>68</v>
      </c>
      <c r="BH115" s="4">
        <v>1470</v>
      </c>
      <c r="BI115" s="4">
        <v>2310</v>
      </c>
      <c r="BJ115" s="4">
        <v>8120</v>
      </c>
      <c r="BK115" s="4">
        <v>2940</v>
      </c>
      <c r="BL115" s="4">
        <v>1470</v>
      </c>
      <c r="BM115" s="4">
        <v>2415</v>
      </c>
      <c r="BN115" s="4">
        <v>0</v>
      </c>
      <c r="BO115" s="4">
        <v>0</v>
      </c>
      <c r="BP115" s="4">
        <v>315</v>
      </c>
      <c r="BQ115" s="4">
        <v>0</v>
      </c>
      <c r="BR115" s="4">
        <v>0</v>
      </c>
      <c r="BS115" s="4">
        <v>30</v>
      </c>
      <c r="BT115" s="4">
        <v>0</v>
      </c>
      <c r="BU115" s="4">
        <v>69</v>
      </c>
      <c r="BV115" s="4">
        <v>1470</v>
      </c>
      <c r="BW115" s="4">
        <v>210</v>
      </c>
      <c r="BX115" s="4">
        <v>9920</v>
      </c>
      <c r="BY115" s="4">
        <v>2250</v>
      </c>
      <c r="BZ115" s="4">
        <v>2460</v>
      </c>
      <c r="CA115" s="4">
        <v>2415</v>
      </c>
      <c r="CB115">
        <v>18101.737891653116</v>
      </c>
      <c r="CC115">
        <v>1661.2879226176069</v>
      </c>
      <c r="CD115" t="s">
        <v>687</v>
      </c>
      <c r="CE115" t="s">
        <v>687</v>
      </c>
      <c r="CF115" t="s">
        <v>687</v>
      </c>
      <c r="CG115" t="s">
        <v>687</v>
      </c>
      <c r="CH115">
        <v>5</v>
      </c>
      <c r="CI115">
        <v>3</v>
      </c>
      <c r="CJ115">
        <v>0</v>
      </c>
      <c r="CK115">
        <v>0</v>
      </c>
      <c r="CL115">
        <v>0</v>
      </c>
      <c r="CM115">
        <v>0</v>
      </c>
      <c r="CN115">
        <v>14626204.216455719</v>
      </c>
      <c r="CO115">
        <v>808</v>
      </c>
      <c r="CP115">
        <v>149515.91303558461</v>
      </c>
      <c r="CQ115">
        <v>90</v>
      </c>
      <c r="CR115">
        <v>0</v>
      </c>
      <c r="CS115">
        <v>0</v>
      </c>
      <c r="CT115">
        <v>0</v>
      </c>
      <c r="CU115">
        <v>0</v>
      </c>
      <c r="CV115">
        <v>0</v>
      </c>
      <c r="CW115">
        <v>0</v>
      </c>
      <c r="CX115">
        <v>0</v>
      </c>
      <c r="CY115">
        <v>0</v>
      </c>
      <c r="CZ115" s="246">
        <v>0.43497239697008599</v>
      </c>
      <c r="DA115" s="246">
        <v>0.68702202944869306</v>
      </c>
      <c r="DB115" s="123">
        <v>62670289.299999997</v>
      </c>
      <c r="DC115" s="174">
        <v>90.4</v>
      </c>
      <c r="DD115" s="174">
        <v>5.7</v>
      </c>
      <c r="DE115" s="174">
        <v>1.1000000000000001</v>
      </c>
      <c r="DF115" s="174">
        <v>84.1</v>
      </c>
      <c r="DG115" s="174">
        <v>10.5</v>
      </c>
      <c r="DH115" s="174">
        <v>2.4</v>
      </c>
      <c r="DI115" s="174">
        <v>97.2</v>
      </c>
      <c r="DJ115" s="174">
        <v>97</v>
      </c>
    </row>
    <row r="116" spans="1:114" x14ac:dyDescent="0.45">
      <c r="A116">
        <v>876</v>
      </c>
      <c r="B116" s="247">
        <v>1.5097856477166801E-2</v>
      </c>
      <c r="C116" s="169">
        <v>2.7958993476234902E-4</v>
      </c>
      <c r="D116" s="169">
        <v>4.0716612377850198E-3</v>
      </c>
      <c r="E116" s="169">
        <v>1.43865363735071E-2</v>
      </c>
      <c r="F116" s="206">
        <v>466</v>
      </c>
      <c r="G116" s="206">
        <v>2724</v>
      </c>
      <c r="H116" s="206">
        <v>0</v>
      </c>
      <c r="I116" s="206">
        <v>0</v>
      </c>
      <c r="J116" s="189">
        <v>0.116076609756807</v>
      </c>
      <c r="K116" s="189">
        <v>0.12953317191528399</v>
      </c>
      <c r="L116" s="206">
        <v>10</v>
      </c>
      <c r="M116" s="206">
        <v>0</v>
      </c>
      <c r="N116" s="4">
        <v>70</v>
      </c>
      <c r="O116" s="4">
        <v>90</v>
      </c>
      <c r="P116" s="4">
        <v>0</v>
      </c>
      <c r="Q116" s="4">
        <v>0</v>
      </c>
      <c r="R116" s="4">
        <v>0</v>
      </c>
      <c r="S116" s="4">
        <v>2173</v>
      </c>
      <c r="T116" s="4">
        <v>6708</v>
      </c>
      <c r="U116" s="4">
        <v>1890</v>
      </c>
      <c r="V116" s="4">
        <v>700</v>
      </c>
      <c r="W116" s="4">
        <v>0</v>
      </c>
      <c r="X116" s="4">
        <v>1</v>
      </c>
      <c r="Y116" s="4">
        <v>1</v>
      </c>
      <c r="Z116" s="4">
        <v>50</v>
      </c>
      <c r="AA116" s="4">
        <v>38</v>
      </c>
      <c r="AB116" s="4">
        <v>43</v>
      </c>
      <c r="AC116" s="4">
        <v>0</v>
      </c>
      <c r="AD116" s="4">
        <v>0</v>
      </c>
      <c r="AE116" s="4">
        <v>2476</v>
      </c>
      <c r="AF116" s="4">
        <v>3018</v>
      </c>
      <c r="AG116" s="4">
        <v>2584</v>
      </c>
      <c r="AH116" s="4">
        <v>900</v>
      </c>
      <c r="AI116" s="4">
        <v>0</v>
      </c>
      <c r="AJ116" s="4">
        <v>0.67175572519084004</v>
      </c>
      <c r="AK116" s="4">
        <v>99</v>
      </c>
      <c r="AL116" s="4">
        <v>0</v>
      </c>
      <c r="AM116" s="4">
        <v>50</v>
      </c>
      <c r="AN116" s="4">
        <v>38</v>
      </c>
      <c r="AO116" s="4">
        <v>0</v>
      </c>
      <c r="AP116" s="4">
        <v>43</v>
      </c>
      <c r="AQ116" s="4">
        <v>0</v>
      </c>
      <c r="AR116" s="4">
        <v>0.38167938931297701</v>
      </c>
      <c r="AS116" s="4">
        <v>52</v>
      </c>
      <c r="AT116" s="4">
        <v>976</v>
      </c>
      <c r="AU116" s="4">
        <v>1500</v>
      </c>
      <c r="AV116" s="4">
        <v>5018</v>
      </c>
      <c r="AW116" s="4">
        <v>0</v>
      </c>
      <c r="AX116" s="4">
        <v>1484</v>
      </c>
      <c r="AY116" s="4">
        <v>0</v>
      </c>
      <c r="AZ116" s="4">
        <v>0</v>
      </c>
      <c r="BA116" s="4">
        <v>0</v>
      </c>
      <c r="BB116" s="4">
        <v>90</v>
      </c>
      <c r="BC116" s="4">
        <v>70</v>
      </c>
      <c r="BD116" s="4">
        <v>0</v>
      </c>
      <c r="BE116" s="4">
        <v>0</v>
      </c>
      <c r="BF116" s="4">
        <v>0</v>
      </c>
      <c r="BG116" s="4">
        <v>68</v>
      </c>
      <c r="BH116" s="4">
        <v>787</v>
      </c>
      <c r="BI116" s="4">
        <v>1050</v>
      </c>
      <c r="BJ116" s="4">
        <v>6601</v>
      </c>
      <c r="BK116" s="4">
        <v>1680</v>
      </c>
      <c r="BL116" s="4">
        <v>1120</v>
      </c>
      <c r="BM116" s="4">
        <v>233</v>
      </c>
      <c r="BN116" s="4">
        <v>0</v>
      </c>
      <c r="BO116" s="4">
        <v>0</v>
      </c>
      <c r="BP116" s="4">
        <v>90</v>
      </c>
      <c r="BQ116" s="4">
        <v>0</v>
      </c>
      <c r="BR116" s="4">
        <v>70</v>
      </c>
      <c r="BS116" s="4">
        <v>0</v>
      </c>
      <c r="BT116" s="4">
        <v>0</v>
      </c>
      <c r="BU116" s="4">
        <v>69</v>
      </c>
      <c r="BV116" s="4">
        <v>752</v>
      </c>
      <c r="BW116" s="4">
        <v>1225</v>
      </c>
      <c r="BX116" s="4">
        <v>7056</v>
      </c>
      <c r="BY116" s="4">
        <v>945</v>
      </c>
      <c r="BZ116" s="4">
        <v>1260</v>
      </c>
      <c r="CA116" s="4">
        <v>233</v>
      </c>
      <c r="CB116" t="s">
        <v>687</v>
      </c>
      <c r="CC116" t="s">
        <v>687</v>
      </c>
      <c r="CD116" t="s">
        <v>687</v>
      </c>
      <c r="CE116" t="s">
        <v>687</v>
      </c>
      <c r="CF116" t="s">
        <v>687</v>
      </c>
      <c r="CG116" t="s">
        <v>687</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s="246">
        <v>0.10088806278397357</v>
      </c>
      <c r="DA116" s="246">
        <v>0.10570912626753716</v>
      </c>
      <c r="DB116" s="123">
        <v>6475502.8199999994</v>
      </c>
      <c r="DC116" s="174">
        <v>90.4</v>
      </c>
      <c r="DD116" s="174">
        <v>6.1</v>
      </c>
      <c r="DE116" s="174">
        <v>1</v>
      </c>
      <c r="DF116" s="174">
        <v>84.2</v>
      </c>
      <c r="DG116" s="174">
        <v>7.4</v>
      </c>
      <c r="DH116" s="174">
        <v>1.3</v>
      </c>
      <c r="DI116" s="174">
        <v>97.6</v>
      </c>
      <c r="DJ116" s="174">
        <v>92.9</v>
      </c>
    </row>
    <row r="117" spans="1:114" x14ac:dyDescent="0.45">
      <c r="A117">
        <v>877</v>
      </c>
      <c r="B117" s="247">
        <v>6.1314685314685299E-2</v>
      </c>
      <c r="C117" s="169">
        <v>6.0979020979021002E-3</v>
      </c>
      <c r="D117" s="169">
        <v>4.3656778950896598E-2</v>
      </c>
      <c r="E117" s="169">
        <v>1.00553041729512E-3</v>
      </c>
      <c r="F117" s="206">
        <v>673</v>
      </c>
      <c r="G117" s="206">
        <v>0</v>
      </c>
      <c r="H117" s="206">
        <v>110</v>
      </c>
      <c r="I117" s="206">
        <v>0</v>
      </c>
      <c r="J117" s="189">
        <v>9.4487058895589601E-2</v>
      </c>
      <c r="K117" s="189">
        <v>0.113822177736864</v>
      </c>
      <c r="L117" s="206">
        <v>525</v>
      </c>
      <c r="M117" s="206">
        <v>639</v>
      </c>
      <c r="N117" s="4">
        <v>0</v>
      </c>
      <c r="O117" s="4">
        <v>0</v>
      </c>
      <c r="P117" s="4">
        <v>15</v>
      </c>
      <c r="Q117" s="4">
        <v>0</v>
      </c>
      <c r="R117" s="4">
        <v>0</v>
      </c>
      <c r="S117" s="4">
        <v>4639</v>
      </c>
      <c r="T117" s="4">
        <v>13902</v>
      </c>
      <c r="U117" s="4">
        <v>613</v>
      </c>
      <c r="V117" s="4">
        <v>0</v>
      </c>
      <c r="W117" s="4">
        <v>0</v>
      </c>
      <c r="X117" s="4">
        <v>0</v>
      </c>
      <c r="Y117" s="4">
        <v>118</v>
      </c>
      <c r="Z117" s="4">
        <v>0</v>
      </c>
      <c r="AA117" s="4">
        <v>211</v>
      </c>
      <c r="AB117" s="4">
        <v>163</v>
      </c>
      <c r="AC117" s="4">
        <v>0</v>
      </c>
      <c r="AD117" s="4">
        <v>0</v>
      </c>
      <c r="AE117" s="4">
        <v>2362</v>
      </c>
      <c r="AF117" s="4">
        <v>8690</v>
      </c>
      <c r="AG117" s="4">
        <v>2178</v>
      </c>
      <c r="AH117" s="4">
        <v>0</v>
      </c>
      <c r="AI117" s="4">
        <v>0</v>
      </c>
      <c r="AJ117" s="4">
        <v>0.564171122994652</v>
      </c>
      <c r="AK117" s="4">
        <v>105</v>
      </c>
      <c r="AL117" s="4">
        <v>46</v>
      </c>
      <c r="AM117" s="4">
        <v>0</v>
      </c>
      <c r="AN117" s="4">
        <v>328</v>
      </c>
      <c r="AO117" s="4">
        <v>0</v>
      </c>
      <c r="AP117" s="4">
        <v>0</v>
      </c>
      <c r="AQ117" s="4">
        <v>0</v>
      </c>
      <c r="AR117" s="4">
        <v>0.12299465240641699</v>
      </c>
      <c r="AS117" s="4">
        <v>70</v>
      </c>
      <c r="AT117" s="4">
        <v>2703</v>
      </c>
      <c r="AU117" s="4">
        <v>1936</v>
      </c>
      <c r="AV117" s="4">
        <v>7146</v>
      </c>
      <c r="AW117" s="4">
        <v>825</v>
      </c>
      <c r="AX117" s="4">
        <v>0</v>
      </c>
      <c r="AY117" s="4">
        <v>620</v>
      </c>
      <c r="AZ117" s="4">
        <v>0</v>
      </c>
      <c r="BA117" s="4">
        <v>0</v>
      </c>
      <c r="BB117" s="4">
        <v>15</v>
      </c>
      <c r="BC117" s="4">
        <v>0</v>
      </c>
      <c r="BD117" s="4">
        <v>0</v>
      </c>
      <c r="BE117" s="4">
        <v>0</v>
      </c>
      <c r="BF117" s="4">
        <v>0</v>
      </c>
      <c r="BG117" s="4">
        <v>68</v>
      </c>
      <c r="BH117" s="4">
        <v>2820</v>
      </c>
      <c r="BI117" s="4">
        <v>2898</v>
      </c>
      <c r="BJ117" s="4">
        <v>11907</v>
      </c>
      <c r="BK117" s="4">
        <v>612</v>
      </c>
      <c r="BL117" s="4">
        <v>205</v>
      </c>
      <c r="BM117" s="4">
        <v>712</v>
      </c>
      <c r="BN117" s="4">
        <v>0</v>
      </c>
      <c r="BO117" s="4">
        <v>0</v>
      </c>
      <c r="BP117" s="4">
        <v>15</v>
      </c>
      <c r="BQ117" s="4">
        <v>0</v>
      </c>
      <c r="BR117" s="4">
        <v>0</v>
      </c>
      <c r="BS117" s="4">
        <v>0</v>
      </c>
      <c r="BT117" s="4">
        <v>0</v>
      </c>
      <c r="BU117" s="4">
        <v>69</v>
      </c>
      <c r="BV117" s="4">
        <v>1783</v>
      </c>
      <c r="BW117" s="4">
        <v>2163</v>
      </c>
      <c r="BX117" s="4">
        <v>14053</v>
      </c>
      <c r="BY117" s="4">
        <v>205</v>
      </c>
      <c r="BZ117" s="4">
        <v>238</v>
      </c>
      <c r="CA117" s="4">
        <v>712</v>
      </c>
      <c r="CB117">
        <v>16450.234321647942</v>
      </c>
      <c r="CC117">
        <v>1333.8111164198117</v>
      </c>
      <c r="CD117" t="s">
        <v>687</v>
      </c>
      <c r="CE117" t="s">
        <v>687</v>
      </c>
      <c r="CF117" t="s">
        <v>687</v>
      </c>
      <c r="CG117" t="s">
        <v>687</v>
      </c>
      <c r="CH117">
        <v>4</v>
      </c>
      <c r="CI117">
        <v>1</v>
      </c>
      <c r="CJ117">
        <v>0</v>
      </c>
      <c r="CK117">
        <v>0</v>
      </c>
      <c r="CL117">
        <v>0</v>
      </c>
      <c r="CM117">
        <v>0</v>
      </c>
      <c r="CN117">
        <v>8636373.01886517</v>
      </c>
      <c r="CO117">
        <v>525</v>
      </c>
      <c r="CP117">
        <v>40014.333492594349</v>
      </c>
      <c r="CQ117">
        <v>30</v>
      </c>
      <c r="CR117">
        <v>0</v>
      </c>
      <c r="CS117">
        <v>0</v>
      </c>
      <c r="CT117">
        <v>0</v>
      </c>
      <c r="CU117">
        <v>0</v>
      </c>
      <c r="CV117">
        <v>0</v>
      </c>
      <c r="CW117">
        <v>0</v>
      </c>
      <c r="CX117">
        <v>0</v>
      </c>
      <c r="CY117">
        <v>0</v>
      </c>
      <c r="CZ117" s="246">
        <v>0.10785948015064518</v>
      </c>
      <c r="DA117" s="246">
        <v>6.7933884297520661E-2</v>
      </c>
      <c r="DB117" s="123">
        <v>32212231.130000003</v>
      </c>
      <c r="DC117" s="174">
        <v>90.7</v>
      </c>
      <c r="DD117" s="174">
        <v>5</v>
      </c>
      <c r="DE117" s="174">
        <v>1.9</v>
      </c>
      <c r="DF117" s="174">
        <v>87.4</v>
      </c>
      <c r="DG117" s="174">
        <v>7.5</v>
      </c>
      <c r="DH117" s="174">
        <v>1.5</v>
      </c>
      <c r="DI117" s="174">
        <v>97.6</v>
      </c>
      <c r="DJ117" s="174">
        <v>96.4</v>
      </c>
    </row>
    <row r="118" spans="1:114" x14ac:dyDescent="0.45">
      <c r="A118">
        <v>878</v>
      </c>
      <c r="B118" s="247">
        <v>4.2130109795786998E-2</v>
      </c>
      <c r="C118" s="169">
        <v>2.2513500947748601E-2</v>
      </c>
      <c r="D118" s="169">
        <v>8.9312193452720401E-2</v>
      </c>
      <c r="E118" s="169">
        <v>3.9580244097182603E-2</v>
      </c>
      <c r="F118" s="206">
        <v>8988</v>
      </c>
      <c r="G118" s="206">
        <v>6038</v>
      </c>
      <c r="H118" s="206">
        <v>880</v>
      </c>
      <c r="I118" s="206">
        <v>780</v>
      </c>
      <c r="J118" s="189">
        <v>0.11887931705921501</v>
      </c>
      <c r="K118" s="189">
        <v>0.14795885298153</v>
      </c>
      <c r="L118" s="206">
        <v>517</v>
      </c>
      <c r="M118" s="206">
        <v>290</v>
      </c>
      <c r="N118" s="4">
        <v>0</v>
      </c>
      <c r="O118" s="4">
        <v>498</v>
      </c>
      <c r="P118" s="4">
        <v>25</v>
      </c>
      <c r="Q118" s="4">
        <v>0</v>
      </c>
      <c r="R118" s="4">
        <v>420</v>
      </c>
      <c r="S118" s="4">
        <v>11358</v>
      </c>
      <c r="T118" s="4">
        <v>42326</v>
      </c>
      <c r="U118" s="4">
        <v>7828</v>
      </c>
      <c r="V118" s="4">
        <v>991</v>
      </c>
      <c r="W118" s="4">
        <v>420</v>
      </c>
      <c r="X118" s="4">
        <v>0.95219885277246696</v>
      </c>
      <c r="Y118" s="4">
        <v>88</v>
      </c>
      <c r="Z118" s="4">
        <v>0</v>
      </c>
      <c r="AA118" s="4">
        <v>50</v>
      </c>
      <c r="AB118" s="4">
        <v>0</v>
      </c>
      <c r="AC118" s="4">
        <v>0</v>
      </c>
      <c r="AD118" s="4">
        <v>0</v>
      </c>
      <c r="AE118" s="4">
        <v>8605</v>
      </c>
      <c r="AF118" s="4">
        <v>22002</v>
      </c>
      <c r="AG118" s="4">
        <v>14673</v>
      </c>
      <c r="AH118" s="4">
        <v>1825</v>
      </c>
      <c r="AI118" s="4">
        <v>0</v>
      </c>
      <c r="AJ118" s="4">
        <v>1</v>
      </c>
      <c r="AK118" s="4">
        <v>1</v>
      </c>
      <c r="AL118" s="4">
        <v>0</v>
      </c>
      <c r="AM118" s="4">
        <v>0</v>
      </c>
      <c r="AN118" s="4">
        <v>50</v>
      </c>
      <c r="AO118" s="4">
        <v>0</v>
      </c>
      <c r="AP118" s="4">
        <v>0</v>
      </c>
      <c r="AQ118" s="4">
        <v>0</v>
      </c>
      <c r="AR118" s="4">
        <v>0</v>
      </c>
      <c r="AS118" s="4">
        <v>74</v>
      </c>
      <c r="AT118" s="4">
        <v>2025</v>
      </c>
      <c r="AU118" s="4">
        <v>3003</v>
      </c>
      <c r="AV118" s="4">
        <v>18636</v>
      </c>
      <c r="AW118" s="4">
        <v>18256</v>
      </c>
      <c r="AX118" s="4">
        <v>1610</v>
      </c>
      <c r="AY118" s="4">
        <v>3575</v>
      </c>
      <c r="AZ118" s="4">
        <v>235</v>
      </c>
      <c r="BA118" s="4">
        <v>0</v>
      </c>
      <c r="BB118" s="4">
        <v>119</v>
      </c>
      <c r="BC118" s="4">
        <v>229</v>
      </c>
      <c r="BD118" s="4">
        <v>125</v>
      </c>
      <c r="BE118" s="4">
        <v>235</v>
      </c>
      <c r="BF118" s="4">
        <v>0.331920903954802</v>
      </c>
      <c r="BG118" s="4">
        <v>38</v>
      </c>
      <c r="BH118" s="4">
        <v>3012</v>
      </c>
      <c r="BI118" s="4">
        <v>3107</v>
      </c>
      <c r="BJ118" s="4">
        <v>30357</v>
      </c>
      <c r="BK118" s="4">
        <v>10591</v>
      </c>
      <c r="BL118" s="4">
        <v>8730</v>
      </c>
      <c r="BM118" s="4">
        <v>7126</v>
      </c>
      <c r="BN118" s="4">
        <v>60</v>
      </c>
      <c r="BO118" s="4">
        <v>0</v>
      </c>
      <c r="BP118" s="4">
        <v>593</v>
      </c>
      <c r="BQ118" s="4">
        <v>0</v>
      </c>
      <c r="BR118" s="4">
        <v>55</v>
      </c>
      <c r="BS118" s="4">
        <v>235</v>
      </c>
      <c r="BT118" s="4">
        <v>8.4745762711864403E-2</v>
      </c>
      <c r="BU118" s="4">
        <v>62</v>
      </c>
      <c r="BV118" s="4">
        <v>4923</v>
      </c>
      <c r="BW118" s="4">
        <v>5281</v>
      </c>
      <c r="BX118" s="4">
        <v>35889</v>
      </c>
      <c r="BY118" s="4">
        <v>2985</v>
      </c>
      <c r="BZ118" s="4">
        <v>6719</v>
      </c>
      <c r="CA118" s="4">
        <v>7126</v>
      </c>
      <c r="CB118">
        <v>14070.549833796891</v>
      </c>
      <c r="CC118">
        <v>6285.8955649871996</v>
      </c>
      <c r="CD118">
        <v>13585.313363589641</v>
      </c>
      <c r="CE118">
        <v>16489.572608963324</v>
      </c>
      <c r="CF118" t="s">
        <v>687</v>
      </c>
      <c r="CG118">
        <v>20883.710001833206</v>
      </c>
      <c r="CH118">
        <v>23</v>
      </c>
      <c r="CI118">
        <v>2</v>
      </c>
      <c r="CJ118">
        <v>2</v>
      </c>
      <c r="CK118">
        <v>3</v>
      </c>
      <c r="CL118">
        <v>0</v>
      </c>
      <c r="CM118">
        <v>1</v>
      </c>
      <c r="CN118">
        <v>19079665.574628584</v>
      </c>
      <c r="CO118">
        <v>1356</v>
      </c>
      <c r="CP118">
        <v>282865.300424424</v>
      </c>
      <c r="CQ118">
        <v>45</v>
      </c>
      <c r="CR118">
        <v>7050777.6357030235</v>
      </c>
      <c r="CS118">
        <v>519</v>
      </c>
      <c r="CT118">
        <v>1813852.9869859656</v>
      </c>
      <c r="CU118">
        <v>110</v>
      </c>
      <c r="CV118">
        <v>0</v>
      </c>
      <c r="CW118">
        <v>0</v>
      </c>
      <c r="CX118">
        <v>20027477.891758043</v>
      </c>
      <c r="CY118">
        <v>959</v>
      </c>
      <c r="CZ118" s="246">
        <v>0.16629858657243815</v>
      </c>
      <c r="DA118" s="246">
        <v>4.3737416551870301E-2</v>
      </c>
      <c r="DB118" s="123">
        <v>94608028.480000004</v>
      </c>
      <c r="DC118" s="174">
        <v>96.5</v>
      </c>
      <c r="DD118" s="174">
        <v>2.2999999999999998</v>
      </c>
      <c r="DE118" s="174">
        <v>0.3</v>
      </c>
      <c r="DF118" s="174">
        <v>93.5</v>
      </c>
      <c r="DG118" s="174">
        <v>3.6</v>
      </c>
      <c r="DH118" s="174">
        <v>0.4</v>
      </c>
      <c r="DI118" s="174">
        <v>99.1</v>
      </c>
      <c r="DJ118" s="174">
        <v>97.5</v>
      </c>
    </row>
    <row r="119" spans="1:114" x14ac:dyDescent="0.45">
      <c r="A119">
        <v>879</v>
      </c>
      <c r="B119" s="247">
        <v>3.2345273727913499E-3</v>
      </c>
      <c r="C119" s="169">
        <v>7.6276914164333303E-3</v>
      </c>
      <c r="D119" s="169">
        <v>9.4262599272619298E-3</v>
      </c>
      <c r="E119" s="169">
        <v>1.33600534402138E-2</v>
      </c>
      <c r="F119" s="206">
        <v>4354</v>
      </c>
      <c r="G119" s="206">
        <v>2236</v>
      </c>
      <c r="H119" s="206">
        <v>40</v>
      </c>
      <c r="I119" s="206">
        <v>0</v>
      </c>
      <c r="J119" s="189">
        <v>0.166563086392332</v>
      </c>
      <c r="K119" s="189">
        <v>0.182299553159083</v>
      </c>
      <c r="L119" s="206">
        <v>240</v>
      </c>
      <c r="M119" s="206">
        <v>290</v>
      </c>
      <c r="N119" s="4">
        <v>0</v>
      </c>
      <c r="O119" s="4">
        <v>211</v>
      </c>
      <c r="P119" s="4">
        <v>53</v>
      </c>
      <c r="Q119" s="4">
        <v>0</v>
      </c>
      <c r="R119" s="4">
        <v>0</v>
      </c>
      <c r="S119" s="4">
        <v>3619</v>
      </c>
      <c r="T119" s="4">
        <v>14581</v>
      </c>
      <c r="U119" s="4">
        <v>3561</v>
      </c>
      <c r="V119" s="4">
        <v>630</v>
      </c>
      <c r="W119" s="4">
        <v>0</v>
      </c>
      <c r="X119" s="4">
        <v>0.79924242424242398</v>
      </c>
      <c r="Y119" s="4">
        <v>102</v>
      </c>
      <c r="Z119" s="4">
        <v>30</v>
      </c>
      <c r="AA119" s="4">
        <v>0</v>
      </c>
      <c r="AB119" s="4">
        <v>0</v>
      </c>
      <c r="AC119" s="4">
        <v>0</v>
      </c>
      <c r="AD119" s="4">
        <v>0</v>
      </c>
      <c r="AE119" s="4">
        <v>1160</v>
      </c>
      <c r="AF119" s="4">
        <v>9462</v>
      </c>
      <c r="AG119" s="4">
        <v>5159</v>
      </c>
      <c r="AH119" s="4">
        <v>4521</v>
      </c>
      <c r="AI119" s="4">
        <v>375</v>
      </c>
      <c r="AJ119" s="4">
        <v>1</v>
      </c>
      <c r="AK119" s="4">
        <v>1</v>
      </c>
      <c r="AL119" s="4">
        <v>0</v>
      </c>
      <c r="AM119" s="4">
        <v>0</v>
      </c>
      <c r="AN119" s="4">
        <v>30</v>
      </c>
      <c r="AO119" s="4">
        <v>0</v>
      </c>
      <c r="AP119" s="4">
        <v>0</v>
      </c>
      <c r="AQ119" s="4">
        <v>0</v>
      </c>
      <c r="AR119" s="4">
        <v>0</v>
      </c>
      <c r="AS119" s="4">
        <v>74</v>
      </c>
      <c r="AT119" s="4">
        <v>840</v>
      </c>
      <c r="AU119" s="4">
        <v>0</v>
      </c>
      <c r="AV119" s="4">
        <v>12118</v>
      </c>
      <c r="AW119" s="4">
        <v>2830</v>
      </c>
      <c r="AX119" s="4">
        <v>3864</v>
      </c>
      <c r="AY119" s="4">
        <v>1025</v>
      </c>
      <c r="AZ119" s="4">
        <v>0</v>
      </c>
      <c r="BA119" s="4">
        <v>0</v>
      </c>
      <c r="BB119" s="4">
        <v>211</v>
      </c>
      <c r="BC119" s="4">
        <v>0</v>
      </c>
      <c r="BD119" s="4">
        <v>32</v>
      </c>
      <c r="BE119" s="4">
        <v>21</v>
      </c>
      <c r="BF119" s="4">
        <v>0</v>
      </c>
      <c r="BG119" s="4">
        <v>68</v>
      </c>
      <c r="BH119" s="4">
        <v>4032</v>
      </c>
      <c r="BI119" s="4">
        <v>4867</v>
      </c>
      <c r="BJ119" s="4">
        <v>9455</v>
      </c>
      <c r="BK119" s="4">
        <v>1785</v>
      </c>
      <c r="BL119" s="4">
        <v>1274</v>
      </c>
      <c r="BM119" s="4">
        <v>978</v>
      </c>
      <c r="BN119" s="4">
        <v>0</v>
      </c>
      <c r="BO119" s="4">
        <v>0</v>
      </c>
      <c r="BP119" s="4">
        <v>211</v>
      </c>
      <c r="BQ119" s="4">
        <v>32</v>
      </c>
      <c r="BR119" s="4">
        <v>0</v>
      </c>
      <c r="BS119" s="4">
        <v>21</v>
      </c>
      <c r="BT119" s="4">
        <v>0</v>
      </c>
      <c r="BU119" s="4">
        <v>69</v>
      </c>
      <c r="BV119" s="4">
        <v>2352</v>
      </c>
      <c r="BW119" s="4">
        <v>2835</v>
      </c>
      <c r="BX119" s="4">
        <v>13680</v>
      </c>
      <c r="BY119" s="4">
        <v>858</v>
      </c>
      <c r="BZ119" s="4">
        <v>1688</v>
      </c>
      <c r="CA119" s="4">
        <v>978</v>
      </c>
      <c r="CB119">
        <v>12253.426665853927</v>
      </c>
      <c r="CC119" t="s">
        <v>687</v>
      </c>
      <c r="CD119">
        <v>12798.017492081421</v>
      </c>
      <c r="CE119" t="s">
        <v>687</v>
      </c>
      <c r="CF119" t="s">
        <v>687</v>
      </c>
      <c r="CG119" t="s">
        <v>687</v>
      </c>
      <c r="CH119">
        <v>5</v>
      </c>
      <c r="CI119">
        <v>0</v>
      </c>
      <c r="CJ119">
        <v>1</v>
      </c>
      <c r="CK119">
        <v>0</v>
      </c>
      <c r="CL119">
        <v>0</v>
      </c>
      <c r="CM119">
        <v>0</v>
      </c>
      <c r="CN119">
        <v>6543329.839565997</v>
      </c>
      <c r="CO119">
        <v>534</v>
      </c>
      <c r="CP119">
        <v>0</v>
      </c>
      <c r="CQ119">
        <v>0</v>
      </c>
      <c r="CR119">
        <v>8408297.4922974929</v>
      </c>
      <c r="CS119">
        <v>657</v>
      </c>
      <c r="CT119">
        <v>0</v>
      </c>
      <c r="CU119">
        <v>0</v>
      </c>
      <c r="CV119">
        <v>0</v>
      </c>
      <c r="CW119">
        <v>0</v>
      </c>
      <c r="CX119">
        <v>0</v>
      </c>
      <c r="CY119">
        <v>0</v>
      </c>
      <c r="CZ119" s="246">
        <v>0.12703601420278421</v>
      </c>
      <c r="DA119" s="246">
        <v>1.1522009107216779E-2</v>
      </c>
      <c r="DB119" s="123">
        <v>30115363.390000001</v>
      </c>
      <c r="DC119" s="174">
        <v>94.2</v>
      </c>
      <c r="DD119" s="174">
        <v>3.6</v>
      </c>
      <c r="DE119" s="174">
        <v>0.8</v>
      </c>
      <c r="DF119" s="174">
        <v>88.8</v>
      </c>
      <c r="DG119" s="174">
        <v>7.1</v>
      </c>
      <c r="DH119" s="174">
        <v>2</v>
      </c>
      <c r="DI119" s="174">
        <v>98.7</v>
      </c>
      <c r="DJ119" s="174">
        <v>97.8</v>
      </c>
    </row>
    <row r="120" spans="1:114" x14ac:dyDescent="0.45">
      <c r="A120">
        <v>880</v>
      </c>
      <c r="B120" s="247">
        <v>3.5968339845706798E-2</v>
      </c>
      <c r="C120" s="169">
        <v>4.6087566376114596E-3</v>
      </c>
      <c r="D120" s="169">
        <v>5.2123026673924898E-2</v>
      </c>
      <c r="E120" s="169">
        <v>-3.4022863364180701E-3</v>
      </c>
      <c r="F120" s="206">
        <v>752</v>
      </c>
      <c r="G120" s="206">
        <v>0</v>
      </c>
      <c r="H120" s="206">
        <v>180</v>
      </c>
      <c r="I120" s="206">
        <v>70</v>
      </c>
      <c r="J120" s="189">
        <v>6.3177533097190902E-2</v>
      </c>
      <c r="K120" s="189">
        <v>6.1138949391324901E-2</v>
      </c>
      <c r="L120" s="206">
        <v>60</v>
      </c>
      <c r="M120" s="206">
        <v>170</v>
      </c>
      <c r="N120" s="4">
        <v>0</v>
      </c>
      <c r="O120" s="4">
        <v>0</v>
      </c>
      <c r="P120" s="4">
        <v>0</v>
      </c>
      <c r="Q120" s="4">
        <v>0</v>
      </c>
      <c r="R120" s="4">
        <v>0</v>
      </c>
      <c r="S120" s="4">
        <v>1365</v>
      </c>
      <c r="T120" s="4">
        <v>7385</v>
      </c>
      <c r="U120" s="4">
        <v>1680</v>
      </c>
      <c r="V120" s="4">
        <v>0</v>
      </c>
      <c r="W120" s="4">
        <v>0</v>
      </c>
      <c r="X120" s="4" t="s">
        <v>709</v>
      </c>
      <c r="Y120" s="4" t="s">
        <v>709</v>
      </c>
      <c r="Z120" s="4">
        <v>0</v>
      </c>
      <c r="AA120" s="4">
        <v>200</v>
      </c>
      <c r="AB120" s="4">
        <v>0</v>
      </c>
      <c r="AC120" s="4">
        <v>0</v>
      </c>
      <c r="AD120" s="4">
        <v>0</v>
      </c>
      <c r="AE120" s="4">
        <v>3010</v>
      </c>
      <c r="AF120" s="4">
        <v>6456</v>
      </c>
      <c r="AG120" s="4">
        <v>0</v>
      </c>
      <c r="AH120" s="4">
        <v>0</v>
      </c>
      <c r="AI120" s="4">
        <v>0</v>
      </c>
      <c r="AJ120" s="4">
        <v>1</v>
      </c>
      <c r="AK120" s="4">
        <v>1</v>
      </c>
      <c r="AL120" s="4">
        <v>0</v>
      </c>
      <c r="AM120" s="4">
        <v>200</v>
      </c>
      <c r="AN120" s="4">
        <v>0</v>
      </c>
      <c r="AO120" s="4">
        <v>0</v>
      </c>
      <c r="AP120" s="4">
        <v>0</v>
      </c>
      <c r="AQ120" s="4">
        <v>0</v>
      </c>
      <c r="AR120" s="4">
        <v>1</v>
      </c>
      <c r="AS120" s="4">
        <v>1</v>
      </c>
      <c r="AT120" s="4">
        <v>900</v>
      </c>
      <c r="AU120" s="4">
        <v>3310</v>
      </c>
      <c r="AV120" s="4">
        <v>1300</v>
      </c>
      <c r="AW120" s="4">
        <v>2850</v>
      </c>
      <c r="AX120" s="4">
        <v>1106</v>
      </c>
      <c r="AY120" s="4">
        <v>0</v>
      </c>
      <c r="AZ120" s="4">
        <v>0</v>
      </c>
      <c r="BA120" s="4">
        <v>0</v>
      </c>
      <c r="BB120" s="4">
        <v>0</v>
      </c>
      <c r="BC120" s="4">
        <v>0</v>
      </c>
      <c r="BD120" s="4">
        <v>0</v>
      </c>
      <c r="BE120" s="4">
        <v>0</v>
      </c>
      <c r="BF120" s="4" t="s">
        <v>709</v>
      </c>
      <c r="BG120" s="4" t="s">
        <v>709</v>
      </c>
      <c r="BH120" s="4">
        <v>2275</v>
      </c>
      <c r="BI120" s="4">
        <v>1680</v>
      </c>
      <c r="BJ120" s="4">
        <v>4375</v>
      </c>
      <c r="BK120" s="4">
        <v>1890</v>
      </c>
      <c r="BL120" s="4">
        <v>210</v>
      </c>
      <c r="BM120" s="4">
        <v>0</v>
      </c>
      <c r="BN120" s="4">
        <v>0</v>
      </c>
      <c r="BO120" s="4">
        <v>0</v>
      </c>
      <c r="BP120" s="4">
        <v>0</v>
      </c>
      <c r="BQ120" s="4">
        <v>0</v>
      </c>
      <c r="BR120" s="4">
        <v>0</v>
      </c>
      <c r="BS120" s="4">
        <v>0</v>
      </c>
      <c r="BT120" s="4" t="s">
        <v>709</v>
      </c>
      <c r="BU120" s="4" t="s">
        <v>709</v>
      </c>
      <c r="BV120" s="4">
        <v>1785</v>
      </c>
      <c r="BW120" s="4">
        <v>1680</v>
      </c>
      <c r="BX120" s="4">
        <v>6020</v>
      </c>
      <c r="BY120" s="4">
        <v>735</v>
      </c>
      <c r="BZ120" s="4">
        <v>210</v>
      </c>
      <c r="CA120" s="4">
        <v>0</v>
      </c>
      <c r="CB120">
        <v>16431.961826903458</v>
      </c>
      <c r="CC120" t="s">
        <v>687</v>
      </c>
      <c r="CD120" t="s">
        <v>687</v>
      </c>
      <c r="CE120" t="s">
        <v>687</v>
      </c>
      <c r="CF120" t="s">
        <v>687</v>
      </c>
      <c r="CG120" t="s">
        <v>687</v>
      </c>
      <c r="CH120">
        <v>1</v>
      </c>
      <c r="CI120">
        <v>0</v>
      </c>
      <c r="CJ120">
        <v>0</v>
      </c>
      <c r="CK120">
        <v>0</v>
      </c>
      <c r="CL120">
        <v>0</v>
      </c>
      <c r="CM120">
        <v>0</v>
      </c>
      <c r="CN120">
        <v>3450711.983649726</v>
      </c>
      <c r="CO120">
        <v>210</v>
      </c>
      <c r="CP120">
        <v>0</v>
      </c>
      <c r="CQ120">
        <v>0</v>
      </c>
      <c r="CR120">
        <v>0</v>
      </c>
      <c r="CS120">
        <v>0</v>
      </c>
      <c r="CT120">
        <v>0</v>
      </c>
      <c r="CU120">
        <v>0</v>
      </c>
      <c r="CV120">
        <v>0</v>
      </c>
      <c r="CW120">
        <v>0</v>
      </c>
      <c r="CX120">
        <v>0</v>
      </c>
      <c r="CY120">
        <v>0</v>
      </c>
      <c r="CZ120" s="246">
        <v>0.13966989186112691</v>
      </c>
      <c r="DA120" s="246">
        <v>0.10737333516408074</v>
      </c>
      <c r="DB120" s="123">
        <v>25894926.670000002</v>
      </c>
      <c r="DC120" s="174">
        <v>92.5</v>
      </c>
      <c r="DD120" s="174">
        <v>4.5999999999999996</v>
      </c>
      <c r="DE120" s="174">
        <v>1.2</v>
      </c>
      <c r="DF120" s="174">
        <v>84.1</v>
      </c>
      <c r="DG120" s="174">
        <v>10.199999999999999</v>
      </c>
      <c r="DH120" s="174">
        <v>1.7</v>
      </c>
      <c r="DI120" s="174">
        <v>98.3</v>
      </c>
      <c r="DJ120" s="174">
        <v>95.9</v>
      </c>
    </row>
    <row r="121" spans="1:114" x14ac:dyDescent="0.45">
      <c r="A121">
        <v>881</v>
      </c>
      <c r="B121" s="247">
        <v>2.4683689705344299E-2</v>
      </c>
      <c r="C121" s="169">
        <v>5.5816961208913704E-3</v>
      </c>
      <c r="D121" s="169">
        <v>3.1516027325275899E-2</v>
      </c>
      <c r="E121" s="169">
        <v>1.42143983184446E-2</v>
      </c>
      <c r="F121" s="206">
        <v>12363</v>
      </c>
      <c r="G121" s="206">
        <v>3336</v>
      </c>
      <c r="H121" s="206">
        <v>1220</v>
      </c>
      <c r="I121" s="206">
        <v>360</v>
      </c>
      <c r="J121" s="189">
        <v>8.15386986087452E-2</v>
      </c>
      <c r="K121" s="189">
        <v>8.5850615546626999E-2</v>
      </c>
      <c r="L121" s="206">
        <v>2885</v>
      </c>
      <c r="M121" s="206">
        <v>4390</v>
      </c>
      <c r="N121" s="4">
        <v>354</v>
      </c>
      <c r="O121" s="4">
        <v>1119</v>
      </c>
      <c r="P121" s="4">
        <v>120</v>
      </c>
      <c r="Q121" s="4">
        <v>0</v>
      </c>
      <c r="R121" s="4">
        <v>840</v>
      </c>
      <c r="S121" s="4">
        <v>19723</v>
      </c>
      <c r="T121" s="4">
        <v>87687</v>
      </c>
      <c r="U121" s="4">
        <v>7785</v>
      </c>
      <c r="V121" s="4">
        <v>1225</v>
      </c>
      <c r="W121" s="4">
        <v>420</v>
      </c>
      <c r="X121" s="4">
        <v>0.92467043314500896</v>
      </c>
      <c r="Y121" s="4">
        <v>91</v>
      </c>
      <c r="Z121" s="4">
        <v>373</v>
      </c>
      <c r="AA121" s="4">
        <v>483</v>
      </c>
      <c r="AB121" s="4">
        <v>0</v>
      </c>
      <c r="AC121" s="4">
        <v>200</v>
      </c>
      <c r="AD121" s="4">
        <v>0</v>
      </c>
      <c r="AE121" s="4">
        <v>17488</v>
      </c>
      <c r="AF121" s="4">
        <v>62910</v>
      </c>
      <c r="AG121" s="4">
        <v>6680</v>
      </c>
      <c r="AH121" s="4">
        <v>5090</v>
      </c>
      <c r="AI121" s="4">
        <v>0</v>
      </c>
      <c r="AJ121" s="4">
        <v>0.810606060606061</v>
      </c>
      <c r="AK121" s="4">
        <v>91</v>
      </c>
      <c r="AL121" s="4">
        <v>191</v>
      </c>
      <c r="AM121" s="4">
        <v>78</v>
      </c>
      <c r="AN121" s="4">
        <v>504</v>
      </c>
      <c r="AO121" s="4">
        <v>283</v>
      </c>
      <c r="AP121" s="4">
        <v>0</v>
      </c>
      <c r="AQ121" s="4">
        <v>0</v>
      </c>
      <c r="AR121" s="4">
        <v>0.25473484848484901</v>
      </c>
      <c r="AS121" s="4">
        <v>64</v>
      </c>
      <c r="AT121" s="4">
        <v>6669</v>
      </c>
      <c r="AU121" s="4">
        <v>11756</v>
      </c>
      <c r="AV121" s="4">
        <v>31371</v>
      </c>
      <c r="AW121" s="4">
        <v>24616</v>
      </c>
      <c r="AX121" s="4">
        <v>10616</v>
      </c>
      <c r="AY121" s="4">
        <v>7140</v>
      </c>
      <c r="AZ121" s="4">
        <v>332</v>
      </c>
      <c r="BA121" s="4">
        <v>0</v>
      </c>
      <c r="BB121" s="4">
        <v>804</v>
      </c>
      <c r="BC121" s="4">
        <v>285</v>
      </c>
      <c r="BD121" s="4">
        <v>112</v>
      </c>
      <c r="BE121" s="4">
        <v>900</v>
      </c>
      <c r="BF121" s="4">
        <v>0.21656881930854499</v>
      </c>
      <c r="BG121" s="4">
        <v>50</v>
      </c>
      <c r="BH121" s="4">
        <v>8324</v>
      </c>
      <c r="BI121" s="4">
        <v>14358</v>
      </c>
      <c r="BJ121" s="4">
        <v>58802</v>
      </c>
      <c r="BK121" s="4">
        <v>12336</v>
      </c>
      <c r="BL121" s="4">
        <v>10319</v>
      </c>
      <c r="BM121" s="4">
        <v>12701</v>
      </c>
      <c r="BN121" s="4">
        <v>89</v>
      </c>
      <c r="BO121" s="4">
        <v>267</v>
      </c>
      <c r="BP121" s="4">
        <v>675</v>
      </c>
      <c r="BQ121" s="4">
        <v>390</v>
      </c>
      <c r="BR121" s="4">
        <v>112</v>
      </c>
      <c r="BS121" s="4">
        <v>900</v>
      </c>
      <c r="BT121" s="4">
        <v>0.23222439660795799</v>
      </c>
      <c r="BU121" s="4">
        <v>43</v>
      </c>
      <c r="BV121" s="4">
        <v>7339</v>
      </c>
      <c r="BW121" s="4">
        <v>9320</v>
      </c>
      <c r="BX121" s="4">
        <v>68025</v>
      </c>
      <c r="BY121" s="4">
        <v>11183</v>
      </c>
      <c r="BZ121" s="4">
        <v>8272</v>
      </c>
      <c r="CA121" s="4">
        <v>12701</v>
      </c>
      <c r="CB121">
        <v>14432.560343379006</v>
      </c>
      <c r="CC121">
        <v>6477.9618828352041</v>
      </c>
      <c r="CD121">
        <v>20083.023599679582</v>
      </c>
      <c r="CE121">
        <v>17825.537536044514</v>
      </c>
      <c r="CF121">
        <v>5321.8046477850403</v>
      </c>
      <c r="CG121" t="s">
        <v>687</v>
      </c>
      <c r="CH121">
        <v>36</v>
      </c>
      <c r="CI121">
        <v>23</v>
      </c>
      <c r="CJ121">
        <v>2</v>
      </c>
      <c r="CK121">
        <v>4</v>
      </c>
      <c r="CL121">
        <v>2</v>
      </c>
      <c r="CM121">
        <v>0</v>
      </c>
      <c r="CN121">
        <v>58524032.192401871</v>
      </c>
      <c r="CO121">
        <v>4055</v>
      </c>
      <c r="CP121">
        <v>4664132.5556413466</v>
      </c>
      <c r="CQ121">
        <v>720</v>
      </c>
      <c r="CR121">
        <v>16869739.823730849</v>
      </c>
      <c r="CS121">
        <v>840</v>
      </c>
      <c r="CT121">
        <v>10606194.833946485</v>
      </c>
      <c r="CU121">
        <v>595</v>
      </c>
      <c r="CV121">
        <v>319308.2788671024</v>
      </c>
      <c r="CW121">
        <v>60</v>
      </c>
      <c r="CX121">
        <v>0</v>
      </c>
      <c r="CY121">
        <v>0</v>
      </c>
      <c r="CZ121" s="246">
        <v>0.19083661417322834</v>
      </c>
      <c r="DA121" s="246">
        <v>0.15445659537404433</v>
      </c>
      <c r="DB121" s="123">
        <v>284669714.81999999</v>
      </c>
      <c r="DC121" s="174">
        <v>89.4</v>
      </c>
      <c r="DD121" s="174">
        <v>6.2</v>
      </c>
      <c r="DE121" s="174">
        <v>1.9</v>
      </c>
      <c r="DF121" s="174">
        <v>82.5</v>
      </c>
      <c r="DG121" s="174">
        <v>8.4</v>
      </c>
      <c r="DH121" s="174">
        <v>2.7</v>
      </c>
      <c r="DI121" s="174">
        <v>97.5</v>
      </c>
      <c r="DJ121" s="174">
        <v>93.5</v>
      </c>
    </row>
    <row r="122" spans="1:114" x14ac:dyDescent="0.45">
      <c r="A122">
        <v>882</v>
      </c>
      <c r="B122" s="247">
        <v>-2.5757875965920301E-3</v>
      </c>
      <c r="C122" s="169">
        <v>-8.5859586553067803E-4</v>
      </c>
      <c r="D122" s="169">
        <v>2.6633490000921599E-2</v>
      </c>
      <c r="E122" s="169">
        <v>1.6864805087088701E-2</v>
      </c>
      <c r="F122" s="206">
        <v>2651</v>
      </c>
      <c r="G122" s="206">
        <v>1180</v>
      </c>
      <c r="H122" s="206">
        <v>10</v>
      </c>
      <c r="I122" s="206">
        <v>40</v>
      </c>
      <c r="J122" s="189">
        <v>8.5542525794899696E-2</v>
      </c>
      <c r="K122" s="189">
        <v>2.1869739068178198E-2</v>
      </c>
      <c r="L122" s="206">
        <v>0</v>
      </c>
      <c r="M122" s="206">
        <v>240</v>
      </c>
      <c r="N122" s="4">
        <v>0</v>
      </c>
      <c r="O122" s="4">
        <v>0</v>
      </c>
      <c r="P122" s="4">
        <v>0</v>
      </c>
      <c r="Q122" s="4">
        <v>0</v>
      </c>
      <c r="R122" s="4">
        <v>0</v>
      </c>
      <c r="S122" s="4">
        <v>1176</v>
      </c>
      <c r="T122" s="4">
        <v>14054</v>
      </c>
      <c r="U122" s="4">
        <v>630</v>
      </c>
      <c r="V122" s="4">
        <v>0</v>
      </c>
      <c r="W122" s="4">
        <v>0</v>
      </c>
      <c r="X122" s="4" t="s">
        <v>709</v>
      </c>
      <c r="Y122" s="4" t="s">
        <v>709</v>
      </c>
      <c r="Z122" s="4">
        <v>183</v>
      </c>
      <c r="AA122" s="4">
        <v>60</v>
      </c>
      <c r="AB122" s="4">
        <v>0</v>
      </c>
      <c r="AC122" s="4">
        <v>0</v>
      </c>
      <c r="AD122" s="4">
        <v>0</v>
      </c>
      <c r="AE122" s="4">
        <v>5852</v>
      </c>
      <c r="AF122" s="4">
        <v>5165</v>
      </c>
      <c r="AG122" s="4">
        <v>1156</v>
      </c>
      <c r="AH122" s="4">
        <v>0</v>
      </c>
      <c r="AI122" s="4">
        <v>0</v>
      </c>
      <c r="AJ122" s="4">
        <v>1</v>
      </c>
      <c r="AK122" s="4">
        <v>1</v>
      </c>
      <c r="AL122" s="4">
        <v>153</v>
      </c>
      <c r="AM122" s="4">
        <v>30</v>
      </c>
      <c r="AN122" s="4">
        <v>60</v>
      </c>
      <c r="AO122" s="4">
        <v>0</v>
      </c>
      <c r="AP122" s="4">
        <v>0</v>
      </c>
      <c r="AQ122" s="4">
        <v>0</v>
      </c>
      <c r="AR122" s="4">
        <v>0.75308641975308599</v>
      </c>
      <c r="AS122" s="4">
        <v>35</v>
      </c>
      <c r="AT122" s="4">
        <v>6837</v>
      </c>
      <c r="AU122" s="4">
        <v>970</v>
      </c>
      <c r="AV122" s="4">
        <v>1440</v>
      </c>
      <c r="AW122" s="4">
        <v>1770</v>
      </c>
      <c r="AX122" s="4">
        <v>1156</v>
      </c>
      <c r="AY122" s="4">
        <v>0</v>
      </c>
      <c r="AZ122" s="4">
        <v>0</v>
      </c>
      <c r="BA122" s="4">
        <v>0</v>
      </c>
      <c r="BB122" s="4">
        <v>0</v>
      </c>
      <c r="BC122" s="4">
        <v>0</v>
      </c>
      <c r="BD122" s="4">
        <v>0</v>
      </c>
      <c r="BE122" s="4">
        <v>0</v>
      </c>
      <c r="BF122" s="4" t="s">
        <v>709</v>
      </c>
      <c r="BG122" s="4" t="s">
        <v>709</v>
      </c>
      <c r="BH122" s="4">
        <v>1110</v>
      </c>
      <c r="BI122" s="4">
        <v>4814</v>
      </c>
      <c r="BJ122" s="4">
        <v>4116</v>
      </c>
      <c r="BK122" s="4">
        <v>3780</v>
      </c>
      <c r="BL122" s="4">
        <v>720</v>
      </c>
      <c r="BM122" s="4">
        <v>1320</v>
      </c>
      <c r="BN122" s="4">
        <v>0</v>
      </c>
      <c r="BO122" s="4">
        <v>0</v>
      </c>
      <c r="BP122" s="4">
        <v>0</v>
      </c>
      <c r="BQ122" s="4">
        <v>0</v>
      </c>
      <c r="BR122" s="4">
        <v>0</v>
      </c>
      <c r="BS122" s="4">
        <v>0</v>
      </c>
      <c r="BT122" s="4" t="s">
        <v>709</v>
      </c>
      <c r="BU122" s="4" t="s">
        <v>709</v>
      </c>
      <c r="BV122" s="4">
        <v>210</v>
      </c>
      <c r="BW122" s="4">
        <v>4694</v>
      </c>
      <c r="BX122" s="4">
        <v>7476</v>
      </c>
      <c r="BY122" s="4">
        <v>1440</v>
      </c>
      <c r="BZ122" s="4">
        <v>720</v>
      </c>
      <c r="CA122" s="4">
        <v>1320</v>
      </c>
      <c r="CB122">
        <v>17861.120468207329</v>
      </c>
      <c r="CC122">
        <v>7463.0155812565963</v>
      </c>
      <c r="CD122" t="s">
        <v>687</v>
      </c>
      <c r="CE122" t="s">
        <v>687</v>
      </c>
      <c r="CF122" t="s">
        <v>687</v>
      </c>
      <c r="CG122" t="s">
        <v>687</v>
      </c>
      <c r="CH122">
        <v>5</v>
      </c>
      <c r="CI122">
        <v>3</v>
      </c>
      <c r="CJ122">
        <v>0</v>
      </c>
      <c r="CK122">
        <v>0</v>
      </c>
      <c r="CL122">
        <v>0</v>
      </c>
      <c r="CM122">
        <v>0</v>
      </c>
      <c r="CN122">
        <v>12860006.737109277</v>
      </c>
      <c r="CO122">
        <v>720</v>
      </c>
      <c r="CP122">
        <v>2238904.674376979</v>
      </c>
      <c r="CQ122">
        <v>300</v>
      </c>
      <c r="CR122">
        <v>0</v>
      </c>
      <c r="CS122">
        <v>0</v>
      </c>
      <c r="CT122">
        <v>0</v>
      </c>
      <c r="CU122">
        <v>0</v>
      </c>
      <c r="CV122">
        <v>0</v>
      </c>
      <c r="CW122">
        <v>0</v>
      </c>
      <c r="CX122">
        <v>0</v>
      </c>
      <c r="CY122">
        <v>0</v>
      </c>
      <c r="CZ122" s="246">
        <v>0.1684970191402573</v>
      </c>
      <c r="DA122" s="246">
        <v>0.11607558410127525</v>
      </c>
      <c r="DB122" s="123">
        <v>39765667.660000004</v>
      </c>
      <c r="DC122" s="174">
        <v>88.6</v>
      </c>
      <c r="DD122" s="174">
        <v>7.4</v>
      </c>
      <c r="DE122" s="174">
        <v>1.5</v>
      </c>
      <c r="DF122" s="174">
        <v>78.599999999999994</v>
      </c>
      <c r="DG122" s="174">
        <v>9.6</v>
      </c>
      <c r="DH122" s="174">
        <v>4.2</v>
      </c>
      <c r="DI122" s="174">
        <v>97.4</v>
      </c>
      <c r="DJ122" s="174">
        <v>92.3</v>
      </c>
    </row>
    <row r="123" spans="1:114" x14ac:dyDescent="0.45">
      <c r="A123">
        <v>883</v>
      </c>
      <c r="B123" s="247">
        <v>2.2460080715915098E-2</v>
      </c>
      <c r="C123" s="169">
        <v>4.7376732760133402E-3</v>
      </c>
      <c r="D123" s="169">
        <v>4.0765649249870702E-2</v>
      </c>
      <c r="E123" s="169">
        <v>1.6761510605276801E-2</v>
      </c>
      <c r="F123" s="206">
        <v>4331</v>
      </c>
      <c r="G123" s="206">
        <v>3461</v>
      </c>
      <c r="H123" s="206">
        <v>240</v>
      </c>
      <c r="I123" s="206">
        <v>150</v>
      </c>
      <c r="J123" s="189">
        <v>4.6650540699537502E-2</v>
      </c>
      <c r="K123" s="189">
        <v>8.7973227691664796E-2</v>
      </c>
      <c r="L123" s="206">
        <v>420</v>
      </c>
      <c r="M123" s="206">
        <v>764</v>
      </c>
      <c r="N123" s="4">
        <v>0</v>
      </c>
      <c r="O123" s="4">
        <v>30</v>
      </c>
      <c r="P123" s="4">
        <v>0</v>
      </c>
      <c r="Q123" s="4">
        <v>0</v>
      </c>
      <c r="R123" s="4">
        <v>0</v>
      </c>
      <c r="S123" s="4">
        <v>2580</v>
      </c>
      <c r="T123" s="4">
        <v>14438</v>
      </c>
      <c r="U123" s="4">
        <v>420</v>
      </c>
      <c r="V123" s="4">
        <v>630</v>
      </c>
      <c r="W123" s="4">
        <v>0</v>
      </c>
      <c r="X123" s="4">
        <v>1</v>
      </c>
      <c r="Y123" s="4">
        <v>1</v>
      </c>
      <c r="Z123" s="4">
        <v>0</v>
      </c>
      <c r="AA123" s="4">
        <v>149</v>
      </c>
      <c r="AB123" s="4">
        <v>0</v>
      </c>
      <c r="AC123" s="4">
        <v>30</v>
      </c>
      <c r="AD123" s="4">
        <v>0</v>
      </c>
      <c r="AE123" s="4">
        <v>1330</v>
      </c>
      <c r="AF123" s="4">
        <v>4825</v>
      </c>
      <c r="AG123" s="4">
        <v>3710</v>
      </c>
      <c r="AH123" s="4">
        <v>1230</v>
      </c>
      <c r="AI123" s="4">
        <v>900</v>
      </c>
      <c r="AJ123" s="4">
        <v>0.83240223463687102</v>
      </c>
      <c r="AK123" s="4">
        <v>88</v>
      </c>
      <c r="AL123" s="4">
        <v>0</v>
      </c>
      <c r="AM123" s="4">
        <v>0</v>
      </c>
      <c r="AN123" s="4">
        <v>149</v>
      </c>
      <c r="AO123" s="4">
        <v>30</v>
      </c>
      <c r="AP123" s="4">
        <v>0</v>
      </c>
      <c r="AQ123" s="4">
        <v>0</v>
      </c>
      <c r="AR123" s="4">
        <v>0</v>
      </c>
      <c r="AS123" s="4">
        <v>74</v>
      </c>
      <c r="AT123" s="4">
        <v>1950</v>
      </c>
      <c r="AU123" s="4">
        <v>0</v>
      </c>
      <c r="AV123" s="4">
        <v>4005</v>
      </c>
      <c r="AW123" s="4">
        <v>3380</v>
      </c>
      <c r="AX123" s="4">
        <v>1760</v>
      </c>
      <c r="AY123" s="4">
        <v>900</v>
      </c>
      <c r="AZ123" s="4">
        <v>0</v>
      </c>
      <c r="BA123" s="4">
        <v>0</v>
      </c>
      <c r="BB123" s="4">
        <v>30</v>
      </c>
      <c r="BC123" s="4">
        <v>0</v>
      </c>
      <c r="BD123" s="4">
        <v>0</v>
      </c>
      <c r="BE123" s="4">
        <v>0</v>
      </c>
      <c r="BF123" s="4">
        <v>0</v>
      </c>
      <c r="BG123" s="4">
        <v>68</v>
      </c>
      <c r="BH123" s="4">
        <v>3750</v>
      </c>
      <c r="BI123" s="4">
        <v>2640</v>
      </c>
      <c r="BJ123" s="4">
        <v>6105</v>
      </c>
      <c r="BK123" s="4">
        <v>2580</v>
      </c>
      <c r="BL123" s="4">
        <v>630</v>
      </c>
      <c r="BM123" s="4">
        <v>2363</v>
      </c>
      <c r="BN123" s="4">
        <v>0</v>
      </c>
      <c r="BO123" s="4">
        <v>0</v>
      </c>
      <c r="BP123" s="4">
        <v>30</v>
      </c>
      <c r="BQ123" s="4">
        <v>0</v>
      </c>
      <c r="BR123" s="4">
        <v>0</v>
      </c>
      <c r="BS123" s="4">
        <v>0</v>
      </c>
      <c r="BT123" s="4">
        <v>0</v>
      </c>
      <c r="BU123" s="4">
        <v>69</v>
      </c>
      <c r="BV123" s="4">
        <v>1380</v>
      </c>
      <c r="BW123" s="4">
        <v>2190</v>
      </c>
      <c r="BX123" s="4">
        <v>8085</v>
      </c>
      <c r="BY123" s="4">
        <v>2790</v>
      </c>
      <c r="BZ123" s="4">
        <v>1260</v>
      </c>
      <c r="CA123" s="4">
        <v>2363</v>
      </c>
      <c r="CB123">
        <v>13506.286334519771</v>
      </c>
      <c r="CC123">
        <v>2856.402649115917</v>
      </c>
      <c r="CD123" t="s">
        <v>687</v>
      </c>
      <c r="CE123" t="s">
        <v>687</v>
      </c>
      <c r="CF123" t="s">
        <v>687</v>
      </c>
      <c r="CG123" t="s">
        <v>687</v>
      </c>
      <c r="CH123">
        <v>3</v>
      </c>
      <c r="CI123">
        <v>5</v>
      </c>
      <c r="CJ123">
        <v>0</v>
      </c>
      <c r="CK123">
        <v>0</v>
      </c>
      <c r="CL123">
        <v>0</v>
      </c>
      <c r="CM123">
        <v>0</v>
      </c>
      <c r="CN123">
        <v>5267451.6704627108</v>
      </c>
      <c r="CO123">
        <v>390</v>
      </c>
      <c r="CP123">
        <v>685536.63578782009</v>
      </c>
      <c r="CQ123">
        <v>240</v>
      </c>
      <c r="CR123">
        <v>0</v>
      </c>
      <c r="CS123">
        <v>0</v>
      </c>
      <c r="CT123">
        <v>0</v>
      </c>
      <c r="CU123">
        <v>0</v>
      </c>
      <c r="CV123">
        <v>0</v>
      </c>
      <c r="CW123">
        <v>0</v>
      </c>
      <c r="CX123">
        <v>0</v>
      </c>
      <c r="CY123">
        <v>0</v>
      </c>
      <c r="CZ123" s="246">
        <v>0.40906650302983816</v>
      </c>
      <c r="DA123" s="246">
        <v>0.50918846411804153</v>
      </c>
      <c r="DB123" s="123">
        <v>55445082.679999992</v>
      </c>
      <c r="DC123" s="174">
        <v>87.6</v>
      </c>
      <c r="DD123" s="174">
        <v>6.6</v>
      </c>
      <c r="DE123" s="174">
        <v>1.7</v>
      </c>
      <c r="DF123" s="174">
        <v>71.2</v>
      </c>
      <c r="DG123" s="174">
        <v>11</v>
      </c>
      <c r="DH123" s="174">
        <v>5.8</v>
      </c>
      <c r="DI123" s="174">
        <v>95.8</v>
      </c>
      <c r="DJ123" s="174">
        <v>88</v>
      </c>
    </row>
    <row r="124" spans="1:114" x14ac:dyDescent="0.45">
      <c r="A124">
        <v>884</v>
      </c>
      <c r="B124" s="247">
        <v>5.2009807563712001E-3</v>
      </c>
      <c r="C124" s="169">
        <v>9.5103648116502005E-3</v>
      </c>
      <c r="D124" s="169">
        <v>2.38502795846171E-2</v>
      </c>
      <c r="E124" s="169">
        <v>1.51774506447564E-2</v>
      </c>
      <c r="F124" s="206">
        <v>0</v>
      </c>
      <c r="G124" s="206">
        <v>0</v>
      </c>
      <c r="H124" s="206">
        <v>130</v>
      </c>
      <c r="I124" s="206">
        <v>220</v>
      </c>
      <c r="J124" s="189">
        <v>0.113041678341671</v>
      </c>
      <c r="K124" s="189">
        <v>0.13222798883661599</v>
      </c>
      <c r="L124" s="206">
        <v>240</v>
      </c>
      <c r="M124" s="206">
        <v>0</v>
      </c>
      <c r="N124" s="4">
        <v>30</v>
      </c>
      <c r="O124" s="4">
        <v>19</v>
      </c>
      <c r="P124" s="4">
        <v>0</v>
      </c>
      <c r="Q124" s="4">
        <v>0</v>
      </c>
      <c r="R124" s="4">
        <v>0</v>
      </c>
      <c r="S124" s="4">
        <v>3079</v>
      </c>
      <c r="T124" s="4">
        <v>11110</v>
      </c>
      <c r="U124" s="4">
        <v>210</v>
      </c>
      <c r="V124" s="4">
        <v>270</v>
      </c>
      <c r="W124" s="4">
        <v>0</v>
      </c>
      <c r="X124" s="4">
        <v>1</v>
      </c>
      <c r="Y124" s="4">
        <v>1</v>
      </c>
      <c r="Z124" s="4">
        <v>21</v>
      </c>
      <c r="AA124" s="4">
        <v>59</v>
      </c>
      <c r="AB124" s="4">
        <v>0</v>
      </c>
      <c r="AC124" s="4">
        <v>0</v>
      </c>
      <c r="AD124" s="4">
        <v>0</v>
      </c>
      <c r="AE124" s="4">
        <v>1202</v>
      </c>
      <c r="AF124" s="4">
        <v>6287</v>
      </c>
      <c r="AG124" s="4">
        <v>1808</v>
      </c>
      <c r="AH124" s="4">
        <v>1120</v>
      </c>
      <c r="AI124" s="4">
        <v>0</v>
      </c>
      <c r="AJ124" s="4">
        <v>1</v>
      </c>
      <c r="AK124" s="4">
        <v>1</v>
      </c>
      <c r="AL124" s="4">
        <v>0</v>
      </c>
      <c r="AM124" s="4">
        <v>21</v>
      </c>
      <c r="AN124" s="4">
        <v>59</v>
      </c>
      <c r="AO124" s="4">
        <v>0</v>
      </c>
      <c r="AP124" s="4">
        <v>0</v>
      </c>
      <c r="AQ124" s="4">
        <v>0</v>
      </c>
      <c r="AR124" s="4">
        <v>0.26250000000000001</v>
      </c>
      <c r="AS124" s="4">
        <v>63</v>
      </c>
      <c r="AT124" s="4">
        <v>130</v>
      </c>
      <c r="AU124" s="4">
        <v>1202</v>
      </c>
      <c r="AV124" s="4">
        <v>4846</v>
      </c>
      <c r="AW124" s="4">
        <v>1686</v>
      </c>
      <c r="AX124" s="4">
        <v>2553</v>
      </c>
      <c r="AY124" s="4">
        <v>0</v>
      </c>
      <c r="AZ124" s="4">
        <v>30</v>
      </c>
      <c r="BA124" s="4">
        <v>0</v>
      </c>
      <c r="BB124" s="4">
        <v>19</v>
      </c>
      <c r="BC124" s="4">
        <v>0</v>
      </c>
      <c r="BD124" s="4">
        <v>0</v>
      </c>
      <c r="BE124" s="4">
        <v>0</v>
      </c>
      <c r="BF124" s="4">
        <v>0.61224489795918402</v>
      </c>
      <c r="BG124" s="4">
        <v>23</v>
      </c>
      <c r="BH124" s="4">
        <v>3682</v>
      </c>
      <c r="BI124" s="4">
        <v>540</v>
      </c>
      <c r="BJ124" s="4">
        <v>8369</v>
      </c>
      <c r="BK124" s="4">
        <v>690</v>
      </c>
      <c r="BL124" s="4">
        <v>679</v>
      </c>
      <c r="BM124" s="4">
        <v>709</v>
      </c>
      <c r="BN124" s="4">
        <v>49</v>
      </c>
      <c r="BO124" s="4">
        <v>0</v>
      </c>
      <c r="BP124" s="4">
        <v>0</v>
      </c>
      <c r="BQ124" s="4">
        <v>0</v>
      </c>
      <c r="BR124" s="4">
        <v>0</v>
      </c>
      <c r="BS124" s="4">
        <v>0</v>
      </c>
      <c r="BT124" s="4">
        <v>1</v>
      </c>
      <c r="BU124" s="4">
        <v>1</v>
      </c>
      <c r="BV124" s="4">
        <v>4362</v>
      </c>
      <c r="BW124" s="4">
        <v>807</v>
      </c>
      <c r="BX124" s="4">
        <v>8266</v>
      </c>
      <c r="BY124" s="4">
        <v>0</v>
      </c>
      <c r="BZ124" s="4">
        <v>525</v>
      </c>
      <c r="CA124" s="4">
        <v>709</v>
      </c>
      <c r="CB124">
        <v>10143.895547044822</v>
      </c>
      <c r="CC124">
        <v>4328.6448051473426</v>
      </c>
      <c r="CD124" t="s">
        <v>687</v>
      </c>
      <c r="CE124" t="s">
        <v>687</v>
      </c>
      <c r="CF124" t="s">
        <v>687</v>
      </c>
      <c r="CG124" t="s">
        <v>687</v>
      </c>
      <c r="CH124">
        <v>3</v>
      </c>
      <c r="CI124">
        <v>1</v>
      </c>
      <c r="CJ124">
        <v>0</v>
      </c>
      <c r="CK124">
        <v>0</v>
      </c>
      <c r="CL124">
        <v>0</v>
      </c>
      <c r="CM124">
        <v>0</v>
      </c>
      <c r="CN124">
        <v>994101.76361039246</v>
      </c>
      <c r="CO124">
        <v>98</v>
      </c>
      <c r="CP124">
        <v>129859.34415442028</v>
      </c>
      <c r="CQ124">
        <v>30</v>
      </c>
      <c r="CR124">
        <v>0</v>
      </c>
      <c r="CS124">
        <v>0</v>
      </c>
      <c r="CT124">
        <v>0</v>
      </c>
      <c r="CU124">
        <v>0</v>
      </c>
      <c r="CV124">
        <v>0</v>
      </c>
      <c r="CW124">
        <v>0</v>
      </c>
      <c r="CX124">
        <v>0</v>
      </c>
      <c r="CY124">
        <v>0</v>
      </c>
      <c r="CZ124" s="246">
        <v>0.11577544561052806</v>
      </c>
      <c r="DA124" s="246">
        <v>4.3057176196032672E-2</v>
      </c>
      <c r="DB124" s="123">
        <v>14755303.989999998</v>
      </c>
      <c r="DC124" s="174">
        <v>96.1</v>
      </c>
      <c r="DD124" s="174">
        <v>2.5</v>
      </c>
      <c r="DE124" s="174">
        <v>0.5</v>
      </c>
      <c r="DF124" s="174">
        <v>91.7</v>
      </c>
      <c r="DG124" s="174">
        <v>5.2</v>
      </c>
      <c r="DH124" s="174">
        <v>0.4</v>
      </c>
      <c r="DI124" s="174">
        <v>99.1</v>
      </c>
      <c r="DJ124" s="174">
        <v>97.3</v>
      </c>
    </row>
    <row r="125" spans="1:114" x14ac:dyDescent="0.45">
      <c r="A125">
        <v>885</v>
      </c>
      <c r="B125" s="247">
        <v>2.4809896720009099E-2</v>
      </c>
      <c r="C125" s="169">
        <v>6.9004653274316197E-3</v>
      </c>
      <c r="D125" s="169">
        <v>4.2325646206368001E-2</v>
      </c>
      <c r="E125" s="169">
        <v>2.0274507071692299E-2</v>
      </c>
      <c r="F125" s="206">
        <v>4533</v>
      </c>
      <c r="G125" s="206">
        <v>3150</v>
      </c>
      <c r="H125" s="206">
        <v>520</v>
      </c>
      <c r="I125" s="206">
        <v>260</v>
      </c>
      <c r="J125" s="189">
        <v>9.14545145131649E-2</v>
      </c>
      <c r="K125" s="189">
        <v>0.13742065733679801</v>
      </c>
      <c r="L125" s="206">
        <v>1245</v>
      </c>
      <c r="M125" s="206">
        <v>760</v>
      </c>
      <c r="N125" s="4">
        <v>266</v>
      </c>
      <c r="O125" s="4">
        <v>272</v>
      </c>
      <c r="P125" s="4">
        <v>0</v>
      </c>
      <c r="Q125" s="4">
        <v>0</v>
      </c>
      <c r="R125" s="4">
        <v>0</v>
      </c>
      <c r="S125" s="4">
        <v>7113</v>
      </c>
      <c r="T125" s="4">
        <v>33720</v>
      </c>
      <c r="U125" s="4">
        <v>3608</v>
      </c>
      <c r="V125" s="4">
        <v>1515</v>
      </c>
      <c r="W125" s="4">
        <v>0</v>
      </c>
      <c r="X125" s="4">
        <v>1</v>
      </c>
      <c r="Y125" s="4">
        <v>1</v>
      </c>
      <c r="Z125" s="4">
        <v>252</v>
      </c>
      <c r="AA125" s="4">
        <v>320</v>
      </c>
      <c r="AB125" s="4">
        <v>370</v>
      </c>
      <c r="AC125" s="4">
        <v>0</v>
      </c>
      <c r="AD125" s="4">
        <v>0</v>
      </c>
      <c r="AE125" s="4">
        <v>8466</v>
      </c>
      <c r="AF125" s="4">
        <v>22277</v>
      </c>
      <c r="AG125" s="4">
        <v>6296</v>
      </c>
      <c r="AH125" s="4">
        <v>1349</v>
      </c>
      <c r="AI125" s="4">
        <v>0</v>
      </c>
      <c r="AJ125" s="4">
        <v>0.60721868365180498</v>
      </c>
      <c r="AK125" s="4">
        <v>104</v>
      </c>
      <c r="AL125" s="4">
        <v>144</v>
      </c>
      <c r="AM125" s="4">
        <v>252</v>
      </c>
      <c r="AN125" s="4">
        <v>126</v>
      </c>
      <c r="AO125" s="4">
        <v>130</v>
      </c>
      <c r="AP125" s="4">
        <v>0</v>
      </c>
      <c r="AQ125" s="4">
        <v>290</v>
      </c>
      <c r="AR125" s="4">
        <v>0.60736196319018398</v>
      </c>
      <c r="AS125" s="4">
        <v>40</v>
      </c>
      <c r="AT125" s="4">
        <v>1356</v>
      </c>
      <c r="AU125" s="4">
        <v>5350</v>
      </c>
      <c r="AV125" s="4">
        <v>12307</v>
      </c>
      <c r="AW125" s="4">
        <v>5089</v>
      </c>
      <c r="AX125" s="4">
        <v>0</v>
      </c>
      <c r="AY125" s="4">
        <v>14286</v>
      </c>
      <c r="AZ125" s="4">
        <v>0</v>
      </c>
      <c r="BA125" s="4">
        <v>0</v>
      </c>
      <c r="BB125" s="4">
        <v>301</v>
      </c>
      <c r="BC125" s="4">
        <v>63</v>
      </c>
      <c r="BD125" s="4">
        <v>35</v>
      </c>
      <c r="BE125" s="4">
        <v>139</v>
      </c>
      <c r="BF125" s="4">
        <v>0</v>
      </c>
      <c r="BG125" s="4">
        <v>68</v>
      </c>
      <c r="BH125" s="4">
        <v>2170</v>
      </c>
      <c r="BI125" s="4">
        <v>1611</v>
      </c>
      <c r="BJ125" s="4">
        <v>16296</v>
      </c>
      <c r="BK125" s="4">
        <v>3538</v>
      </c>
      <c r="BL125" s="4">
        <v>1994</v>
      </c>
      <c r="BM125" s="4">
        <v>20347</v>
      </c>
      <c r="BN125" s="4">
        <v>0</v>
      </c>
      <c r="BO125" s="4">
        <v>210</v>
      </c>
      <c r="BP125" s="4">
        <v>154</v>
      </c>
      <c r="BQ125" s="4">
        <v>35</v>
      </c>
      <c r="BR125" s="4">
        <v>0</v>
      </c>
      <c r="BS125" s="4">
        <v>139</v>
      </c>
      <c r="BT125" s="4">
        <v>0.52631578947368396</v>
      </c>
      <c r="BU125" s="4">
        <v>22</v>
      </c>
      <c r="BV125" s="4">
        <v>1608</v>
      </c>
      <c r="BW125" s="4">
        <v>3433</v>
      </c>
      <c r="BX125" s="4">
        <v>16299</v>
      </c>
      <c r="BY125" s="4">
        <v>2170</v>
      </c>
      <c r="BZ125" s="4">
        <v>2099</v>
      </c>
      <c r="CA125" s="4">
        <v>20347</v>
      </c>
      <c r="CB125">
        <v>16047.250160471074</v>
      </c>
      <c r="CC125">
        <v>5526.1527132661349</v>
      </c>
      <c r="CD125" t="s">
        <v>687</v>
      </c>
      <c r="CE125">
        <v>17383.934131322283</v>
      </c>
      <c r="CF125" t="s">
        <v>687</v>
      </c>
      <c r="CG125" t="s">
        <v>687</v>
      </c>
      <c r="CH125">
        <v>7</v>
      </c>
      <c r="CI125">
        <v>1</v>
      </c>
      <c r="CJ125">
        <v>0</v>
      </c>
      <c r="CK125">
        <v>2</v>
      </c>
      <c r="CL125">
        <v>0</v>
      </c>
      <c r="CM125">
        <v>0</v>
      </c>
      <c r="CN125">
        <v>11714492.617143884</v>
      </c>
      <c r="CO125">
        <v>730</v>
      </c>
      <c r="CP125">
        <v>165784.58139798406</v>
      </c>
      <c r="CQ125">
        <v>30</v>
      </c>
      <c r="CR125">
        <v>0</v>
      </c>
      <c r="CS125">
        <v>0</v>
      </c>
      <c r="CT125">
        <v>5215180.2393966848</v>
      </c>
      <c r="CU125">
        <v>300</v>
      </c>
      <c r="CV125">
        <v>0</v>
      </c>
      <c r="CW125">
        <v>0</v>
      </c>
      <c r="CX125">
        <v>0</v>
      </c>
      <c r="CY125">
        <v>0</v>
      </c>
      <c r="CZ125" s="246">
        <v>0.16238297008601224</v>
      </c>
      <c r="DA125" s="246">
        <v>7.0933550754178551E-2</v>
      </c>
      <c r="DB125" s="123">
        <v>74025212.060000002</v>
      </c>
      <c r="DC125" s="174">
        <v>92.6</v>
      </c>
      <c r="DD125" s="174">
        <v>4.8</v>
      </c>
      <c r="DE125" s="174">
        <v>0.8</v>
      </c>
      <c r="DF125" s="174">
        <v>88</v>
      </c>
      <c r="DG125" s="174">
        <v>5</v>
      </c>
      <c r="DH125" s="174">
        <v>1.2</v>
      </c>
      <c r="DI125" s="174">
        <v>98.3</v>
      </c>
      <c r="DJ125" s="174">
        <v>94.1</v>
      </c>
    </row>
    <row r="126" spans="1:114" x14ac:dyDescent="0.45">
      <c r="A126">
        <v>886</v>
      </c>
      <c r="B126" s="247">
        <v>4.3206646688547503E-3</v>
      </c>
      <c r="C126" s="169">
        <v>6.2154148630864598E-3</v>
      </c>
      <c r="D126" s="169">
        <v>1.06774936371349E-2</v>
      </c>
      <c r="E126" s="169">
        <v>2.0918676524057701E-2</v>
      </c>
      <c r="F126" s="206">
        <v>18818</v>
      </c>
      <c r="G126" s="206">
        <v>10104</v>
      </c>
      <c r="H126" s="206">
        <v>1220</v>
      </c>
      <c r="I126" s="206">
        <v>1050</v>
      </c>
      <c r="J126" s="189">
        <v>9.8269767052577506E-2</v>
      </c>
      <c r="K126" s="189">
        <v>9.1775022699624398E-2</v>
      </c>
      <c r="L126" s="206">
        <v>2979</v>
      </c>
      <c r="M126" s="206">
        <v>3885</v>
      </c>
      <c r="N126" s="4">
        <v>90</v>
      </c>
      <c r="O126" s="4">
        <v>687</v>
      </c>
      <c r="P126" s="4">
        <v>0</v>
      </c>
      <c r="Q126" s="4">
        <v>0</v>
      </c>
      <c r="R126" s="4">
        <v>210</v>
      </c>
      <c r="S126" s="4">
        <v>24893</v>
      </c>
      <c r="T126" s="4">
        <v>98887</v>
      </c>
      <c r="U126" s="4">
        <v>6715</v>
      </c>
      <c r="V126" s="4">
        <v>1695</v>
      </c>
      <c r="W126" s="4">
        <v>420</v>
      </c>
      <c r="X126" s="4">
        <v>1</v>
      </c>
      <c r="Y126" s="4">
        <v>1</v>
      </c>
      <c r="Z126" s="4">
        <v>250</v>
      </c>
      <c r="AA126" s="4">
        <v>303</v>
      </c>
      <c r="AB126" s="4">
        <v>0</v>
      </c>
      <c r="AC126" s="4">
        <v>0</v>
      </c>
      <c r="AD126" s="4">
        <v>1260</v>
      </c>
      <c r="AE126" s="4">
        <v>31942</v>
      </c>
      <c r="AF126" s="4">
        <v>62223</v>
      </c>
      <c r="AG126" s="4">
        <v>11354</v>
      </c>
      <c r="AH126" s="4">
        <v>2199</v>
      </c>
      <c r="AI126" s="4">
        <v>0</v>
      </c>
      <c r="AJ126" s="4">
        <v>1</v>
      </c>
      <c r="AK126" s="4">
        <v>1</v>
      </c>
      <c r="AL126" s="4">
        <v>69</v>
      </c>
      <c r="AM126" s="4">
        <v>155</v>
      </c>
      <c r="AN126" s="4">
        <v>209</v>
      </c>
      <c r="AO126" s="4">
        <v>0</v>
      </c>
      <c r="AP126" s="4">
        <v>0</v>
      </c>
      <c r="AQ126" s="4">
        <v>1380</v>
      </c>
      <c r="AR126" s="4">
        <v>0.51732101616628201</v>
      </c>
      <c r="AS126" s="4">
        <v>47</v>
      </c>
      <c r="AT126" s="4">
        <v>17402</v>
      </c>
      <c r="AU126" s="4">
        <v>11978</v>
      </c>
      <c r="AV126" s="4">
        <v>32412</v>
      </c>
      <c r="AW126" s="4">
        <v>24963</v>
      </c>
      <c r="AX126" s="4">
        <v>19163</v>
      </c>
      <c r="AY126" s="4">
        <v>1800</v>
      </c>
      <c r="AZ126" s="4">
        <v>0</v>
      </c>
      <c r="BA126" s="4">
        <v>0</v>
      </c>
      <c r="BB126" s="4">
        <v>442</v>
      </c>
      <c r="BC126" s="4">
        <v>0</v>
      </c>
      <c r="BD126" s="4">
        <v>35</v>
      </c>
      <c r="BE126" s="4">
        <v>510</v>
      </c>
      <c r="BF126" s="4">
        <v>0</v>
      </c>
      <c r="BG126" s="4">
        <v>68</v>
      </c>
      <c r="BH126" s="4">
        <v>7654</v>
      </c>
      <c r="BI126" s="4">
        <v>11886</v>
      </c>
      <c r="BJ126" s="4">
        <v>74747</v>
      </c>
      <c r="BK126" s="4">
        <v>16368</v>
      </c>
      <c r="BL126" s="4">
        <v>11906</v>
      </c>
      <c r="BM126" s="4">
        <v>10049</v>
      </c>
      <c r="BN126" s="4">
        <v>0</v>
      </c>
      <c r="BO126" s="4">
        <v>48</v>
      </c>
      <c r="BP126" s="4">
        <v>199</v>
      </c>
      <c r="BQ126" s="4">
        <v>0</v>
      </c>
      <c r="BR126" s="4">
        <v>230</v>
      </c>
      <c r="BS126" s="4">
        <v>510</v>
      </c>
      <c r="BT126" s="4">
        <v>0.10062893081761</v>
      </c>
      <c r="BU126" s="4">
        <v>61</v>
      </c>
      <c r="BV126" s="4">
        <v>11171</v>
      </c>
      <c r="BW126" s="4">
        <v>10313</v>
      </c>
      <c r="BX126" s="4">
        <v>80868</v>
      </c>
      <c r="BY126" s="4">
        <v>10502</v>
      </c>
      <c r="BZ126" s="4">
        <v>9707</v>
      </c>
      <c r="CA126" s="4">
        <v>10049</v>
      </c>
      <c r="CB126">
        <v>17591.988861560858</v>
      </c>
      <c r="CC126">
        <v>4944.437709618951</v>
      </c>
      <c r="CD126">
        <v>29773.998521240894</v>
      </c>
      <c r="CE126">
        <v>37751.096224065092</v>
      </c>
      <c r="CF126" t="s">
        <v>687</v>
      </c>
      <c r="CG126" t="s">
        <v>687</v>
      </c>
      <c r="CH126">
        <v>45</v>
      </c>
      <c r="CI126">
        <v>13</v>
      </c>
      <c r="CJ126">
        <v>8</v>
      </c>
      <c r="CK126">
        <v>7</v>
      </c>
      <c r="CL126">
        <v>0</v>
      </c>
      <c r="CM126">
        <v>0</v>
      </c>
      <c r="CN126">
        <v>102244639.2633917</v>
      </c>
      <c r="CO126">
        <v>5812</v>
      </c>
      <c r="CP126">
        <v>2185441.4676515763</v>
      </c>
      <c r="CQ126">
        <v>442</v>
      </c>
      <c r="CR126">
        <v>50020317.515684702</v>
      </c>
      <c r="CS126">
        <v>1680</v>
      </c>
      <c r="CT126">
        <v>52096512.789209828</v>
      </c>
      <c r="CU126">
        <v>1380</v>
      </c>
      <c r="CV126">
        <v>0</v>
      </c>
      <c r="CW126">
        <v>0</v>
      </c>
      <c r="CX126">
        <v>0</v>
      </c>
      <c r="CY126">
        <v>0</v>
      </c>
      <c r="CZ126" s="246">
        <v>0.20379357646279742</v>
      </c>
      <c r="DA126" s="246">
        <v>0.23340289997408301</v>
      </c>
      <c r="DB126" s="123">
        <v>351801194.80000001</v>
      </c>
      <c r="DC126" s="174">
        <v>89.4</v>
      </c>
      <c r="DD126" s="174">
        <v>6.1</v>
      </c>
      <c r="DE126" s="174">
        <v>1.9</v>
      </c>
      <c r="DF126" s="174">
        <v>79.099999999999994</v>
      </c>
      <c r="DG126" s="174">
        <v>11.2</v>
      </c>
      <c r="DH126" s="174">
        <v>3.8</v>
      </c>
      <c r="DI126" s="174">
        <v>97.4</v>
      </c>
      <c r="DJ126" s="174">
        <v>94.1</v>
      </c>
    </row>
    <row r="127" spans="1:114" x14ac:dyDescent="0.45">
      <c r="A127">
        <v>887</v>
      </c>
      <c r="B127" s="247">
        <v>3.9174166225516102E-2</v>
      </c>
      <c r="C127" s="169">
        <v>5.1309199006393299E-3</v>
      </c>
      <c r="D127" s="169">
        <v>4.3106141063284798E-3</v>
      </c>
      <c r="E127" s="169">
        <v>1.6242893733991401E-3</v>
      </c>
      <c r="F127" s="206">
        <v>2705</v>
      </c>
      <c r="G127" s="206">
        <v>1545</v>
      </c>
      <c r="H127" s="206">
        <v>140</v>
      </c>
      <c r="I127" s="206">
        <v>0</v>
      </c>
      <c r="J127" s="189">
        <v>5.2625714230419202E-2</v>
      </c>
      <c r="K127" s="189">
        <v>0.13013991375049699</v>
      </c>
      <c r="L127" s="206">
        <v>0</v>
      </c>
      <c r="M127" s="206">
        <v>600</v>
      </c>
      <c r="N127" s="4">
        <v>0</v>
      </c>
      <c r="O127" s="4">
        <v>620</v>
      </c>
      <c r="P127" s="4">
        <v>0</v>
      </c>
      <c r="Q127" s="4">
        <v>0</v>
      </c>
      <c r="R127" s="4">
        <v>0</v>
      </c>
      <c r="S127" s="4">
        <v>2560</v>
      </c>
      <c r="T127" s="4">
        <v>18128</v>
      </c>
      <c r="U127" s="4">
        <v>2790</v>
      </c>
      <c r="V127" s="4">
        <v>1700</v>
      </c>
      <c r="W127" s="4">
        <v>0</v>
      </c>
      <c r="X127" s="4">
        <v>1</v>
      </c>
      <c r="Y127" s="4">
        <v>1</v>
      </c>
      <c r="Z127" s="4">
        <v>186</v>
      </c>
      <c r="AA127" s="4">
        <v>0</v>
      </c>
      <c r="AB127" s="4">
        <v>0</v>
      </c>
      <c r="AC127" s="4">
        <v>0</v>
      </c>
      <c r="AD127" s="4">
        <v>0</v>
      </c>
      <c r="AE127" s="4">
        <v>4861</v>
      </c>
      <c r="AF127" s="4">
        <v>16150</v>
      </c>
      <c r="AG127" s="4">
        <v>949</v>
      </c>
      <c r="AH127" s="4">
        <v>600</v>
      </c>
      <c r="AI127" s="4">
        <v>0</v>
      </c>
      <c r="AJ127" s="4">
        <v>1</v>
      </c>
      <c r="AK127" s="4">
        <v>1</v>
      </c>
      <c r="AL127" s="4">
        <v>0</v>
      </c>
      <c r="AM127" s="4">
        <v>186</v>
      </c>
      <c r="AN127" s="4">
        <v>0</v>
      </c>
      <c r="AO127" s="4">
        <v>0</v>
      </c>
      <c r="AP127" s="4">
        <v>0</v>
      </c>
      <c r="AQ127" s="4">
        <v>0</v>
      </c>
      <c r="AR127" s="4">
        <v>1</v>
      </c>
      <c r="AS127" s="4">
        <v>1</v>
      </c>
      <c r="AT127" s="4">
        <v>3568</v>
      </c>
      <c r="AU127" s="4">
        <v>5006</v>
      </c>
      <c r="AV127" s="4">
        <v>8620</v>
      </c>
      <c r="AW127" s="4">
        <v>3405</v>
      </c>
      <c r="AX127" s="4">
        <v>1361</v>
      </c>
      <c r="AY127" s="4">
        <v>600</v>
      </c>
      <c r="AZ127" s="4">
        <v>0</v>
      </c>
      <c r="BA127" s="4">
        <v>0</v>
      </c>
      <c r="BB127" s="4">
        <v>540</v>
      </c>
      <c r="BC127" s="4">
        <v>0</v>
      </c>
      <c r="BD127" s="4">
        <v>0</v>
      </c>
      <c r="BE127" s="4">
        <v>80</v>
      </c>
      <c r="BF127" s="4">
        <v>0</v>
      </c>
      <c r="BG127" s="4">
        <v>68</v>
      </c>
      <c r="BH127" s="4">
        <v>2729</v>
      </c>
      <c r="BI127" s="4">
        <v>1660</v>
      </c>
      <c r="BJ127" s="4">
        <v>10061</v>
      </c>
      <c r="BK127" s="4">
        <v>3604</v>
      </c>
      <c r="BL127" s="4">
        <v>3379</v>
      </c>
      <c r="BM127" s="4">
        <v>3745</v>
      </c>
      <c r="BN127" s="4">
        <v>0</v>
      </c>
      <c r="BO127" s="4">
        <v>0</v>
      </c>
      <c r="BP127" s="4">
        <v>330</v>
      </c>
      <c r="BQ127" s="4">
        <v>0</v>
      </c>
      <c r="BR127" s="4">
        <v>210</v>
      </c>
      <c r="BS127" s="4">
        <v>80</v>
      </c>
      <c r="BT127" s="4">
        <v>0</v>
      </c>
      <c r="BU127" s="4">
        <v>69</v>
      </c>
      <c r="BV127" s="4">
        <v>2310</v>
      </c>
      <c r="BW127" s="4">
        <v>3024</v>
      </c>
      <c r="BX127" s="4">
        <v>9451</v>
      </c>
      <c r="BY127" s="4">
        <v>1969</v>
      </c>
      <c r="BZ127" s="4">
        <v>4679</v>
      </c>
      <c r="CA127" s="4">
        <v>3745</v>
      </c>
      <c r="CB127">
        <v>18951.99460101972</v>
      </c>
      <c r="CC127">
        <v>9723.6244321049999</v>
      </c>
      <c r="CD127" t="s">
        <v>687</v>
      </c>
      <c r="CE127" t="s">
        <v>687</v>
      </c>
      <c r="CF127" t="s">
        <v>687</v>
      </c>
      <c r="CG127" t="s">
        <v>687</v>
      </c>
      <c r="CH127">
        <v>4</v>
      </c>
      <c r="CI127">
        <v>1</v>
      </c>
      <c r="CJ127">
        <v>0</v>
      </c>
      <c r="CK127">
        <v>0</v>
      </c>
      <c r="CL127">
        <v>0</v>
      </c>
      <c r="CM127">
        <v>0</v>
      </c>
      <c r="CN127">
        <v>8964293.4462823272</v>
      </c>
      <c r="CO127">
        <v>473</v>
      </c>
      <c r="CP127">
        <v>291708.73296315002</v>
      </c>
      <c r="CQ127">
        <v>30</v>
      </c>
      <c r="CR127">
        <v>0</v>
      </c>
      <c r="CS127">
        <v>0</v>
      </c>
      <c r="CT127">
        <v>0</v>
      </c>
      <c r="CU127">
        <v>0</v>
      </c>
      <c r="CV127">
        <v>0</v>
      </c>
      <c r="CW127">
        <v>0</v>
      </c>
      <c r="CX127">
        <v>0</v>
      </c>
      <c r="CY127">
        <v>0</v>
      </c>
      <c r="CZ127" s="246">
        <v>0.22982885085574573</v>
      </c>
      <c r="DA127" s="246">
        <v>0.14303713527851458</v>
      </c>
      <c r="DB127" s="123">
        <v>45512888.160000004</v>
      </c>
      <c r="DC127" s="174">
        <v>89</v>
      </c>
      <c r="DD127" s="174">
        <v>6.8</v>
      </c>
      <c r="DE127" s="174">
        <v>1.7</v>
      </c>
      <c r="DF127" s="174">
        <v>76.3</v>
      </c>
      <c r="DG127" s="174">
        <v>12.7</v>
      </c>
      <c r="DH127" s="174">
        <v>2.9</v>
      </c>
      <c r="DI127" s="174">
        <v>97.6</v>
      </c>
      <c r="DJ127" s="174">
        <v>91.9</v>
      </c>
    </row>
    <row r="128" spans="1:114" x14ac:dyDescent="0.45">
      <c r="A128">
        <v>888</v>
      </c>
      <c r="B128" s="247">
        <v>1.9699917492589598E-2</v>
      </c>
      <c r="C128" s="169">
        <v>1.01249834475874E-2</v>
      </c>
      <c r="D128" s="169">
        <v>2.2858126290756599E-2</v>
      </c>
      <c r="E128" s="169">
        <v>1.63652293635396E-2</v>
      </c>
      <c r="F128" s="206">
        <v>4918</v>
      </c>
      <c r="G128" s="206">
        <v>0</v>
      </c>
      <c r="H128" s="206">
        <v>1520</v>
      </c>
      <c r="I128" s="206">
        <v>250</v>
      </c>
      <c r="J128" s="189">
        <v>7.3679567234784998E-2</v>
      </c>
      <c r="K128" s="189">
        <v>8.3051947027160899E-2</v>
      </c>
      <c r="L128" s="206">
        <v>140</v>
      </c>
      <c r="M128" s="206">
        <v>150</v>
      </c>
      <c r="N128" s="4">
        <v>136</v>
      </c>
      <c r="O128" s="4">
        <v>226</v>
      </c>
      <c r="P128" s="4">
        <v>0</v>
      </c>
      <c r="Q128" s="4">
        <v>0</v>
      </c>
      <c r="R128" s="4">
        <v>0</v>
      </c>
      <c r="S128" s="4">
        <v>20235</v>
      </c>
      <c r="T128" s="4">
        <v>76218</v>
      </c>
      <c r="U128" s="4">
        <v>8230</v>
      </c>
      <c r="V128" s="4">
        <v>210</v>
      </c>
      <c r="W128" s="4">
        <v>0</v>
      </c>
      <c r="X128" s="4">
        <v>1</v>
      </c>
      <c r="Y128" s="4">
        <v>1</v>
      </c>
      <c r="Z128" s="4">
        <v>0</v>
      </c>
      <c r="AA128" s="4">
        <v>311</v>
      </c>
      <c r="AB128" s="4">
        <v>17</v>
      </c>
      <c r="AC128" s="4">
        <v>0</v>
      </c>
      <c r="AD128" s="4">
        <v>0</v>
      </c>
      <c r="AE128" s="4">
        <v>17562</v>
      </c>
      <c r="AF128" s="4">
        <v>38216</v>
      </c>
      <c r="AG128" s="4">
        <v>13694</v>
      </c>
      <c r="AH128" s="4">
        <v>4089</v>
      </c>
      <c r="AI128" s="4">
        <v>0</v>
      </c>
      <c r="AJ128" s="4">
        <v>0.94817073170731703</v>
      </c>
      <c r="AK128" s="4">
        <v>78</v>
      </c>
      <c r="AL128" s="4">
        <v>0</v>
      </c>
      <c r="AM128" s="4">
        <v>0</v>
      </c>
      <c r="AN128" s="4">
        <v>309</v>
      </c>
      <c r="AO128" s="4">
        <v>19</v>
      </c>
      <c r="AP128" s="4">
        <v>0</v>
      </c>
      <c r="AQ128" s="4">
        <v>0</v>
      </c>
      <c r="AR128" s="4">
        <v>0</v>
      </c>
      <c r="AS128" s="4">
        <v>74</v>
      </c>
      <c r="AT128" s="4">
        <v>3102</v>
      </c>
      <c r="AU128" s="4">
        <v>14852</v>
      </c>
      <c r="AV128" s="4">
        <v>31862</v>
      </c>
      <c r="AW128" s="4">
        <v>14257</v>
      </c>
      <c r="AX128" s="4">
        <v>9488</v>
      </c>
      <c r="AY128" s="4">
        <v>0</v>
      </c>
      <c r="AZ128" s="4">
        <v>0</v>
      </c>
      <c r="BA128" s="4">
        <v>35</v>
      </c>
      <c r="BB128" s="4">
        <v>182</v>
      </c>
      <c r="BC128" s="4">
        <v>77</v>
      </c>
      <c r="BD128" s="4">
        <v>35</v>
      </c>
      <c r="BE128" s="4">
        <v>33</v>
      </c>
      <c r="BF128" s="4">
        <v>0.10638297872340401</v>
      </c>
      <c r="BG128" s="4">
        <v>62</v>
      </c>
      <c r="BH128" s="4">
        <v>8950</v>
      </c>
      <c r="BI128" s="4">
        <v>10265</v>
      </c>
      <c r="BJ128" s="4">
        <v>66767</v>
      </c>
      <c r="BK128" s="4">
        <v>9065</v>
      </c>
      <c r="BL128" s="4">
        <v>6968</v>
      </c>
      <c r="BM128" s="4">
        <v>2878</v>
      </c>
      <c r="BN128" s="4">
        <v>0</v>
      </c>
      <c r="BO128" s="4">
        <v>40</v>
      </c>
      <c r="BP128" s="4">
        <v>269</v>
      </c>
      <c r="BQ128" s="4">
        <v>0</v>
      </c>
      <c r="BR128" s="4">
        <v>20</v>
      </c>
      <c r="BS128" s="4">
        <v>33</v>
      </c>
      <c r="BT128" s="4">
        <v>0.121580547112462</v>
      </c>
      <c r="BU128" s="4">
        <v>59</v>
      </c>
      <c r="BV128" s="4">
        <v>3755</v>
      </c>
      <c r="BW128" s="4">
        <v>9340</v>
      </c>
      <c r="BX128" s="4">
        <v>72807</v>
      </c>
      <c r="BY128" s="4">
        <v>6916</v>
      </c>
      <c r="BZ128" s="4">
        <v>9197</v>
      </c>
      <c r="CA128" s="4">
        <v>2878</v>
      </c>
      <c r="CB128">
        <v>22790.197291417637</v>
      </c>
      <c r="CC128">
        <v>9167.7858777707552</v>
      </c>
      <c r="CD128" t="s">
        <v>687</v>
      </c>
      <c r="CE128">
        <v>19025.522485912708</v>
      </c>
      <c r="CF128" t="s">
        <v>687</v>
      </c>
      <c r="CG128" t="s">
        <v>687</v>
      </c>
      <c r="CH128">
        <v>10</v>
      </c>
      <c r="CI128">
        <v>8</v>
      </c>
      <c r="CJ128">
        <v>0</v>
      </c>
      <c r="CK128">
        <v>2</v>
      </c>
      <c r="CL128">
        <v>0</v>
      </c>
      <c r="CM128">
        <v>0</v>
      </c>
      <c r="CN128">
        <v>21605107.03226392</v>
      </c>
      <c r="CO128">
        <v>948</v>
      </c>
      <c r="CP128">
        <v>2475302.1869981037</v>
      </c>
      <c r="CQ128">
        <v>270</v>
      </c>
      <c r="CR128">
        <v>0</v>
      </c>
      <c r="CS128">
        <v>0</v>
      </c>
      <c r="CT128">
        <v>5707656.7457738128</v>
      </c>
      <c r="CU128">
        <v>300</v>
      </c>
      <c r="CV128">
        <v>0</v>
      </c>
      <c r="CW128">
        <v>0</v>
      </c>
      <c r="CX128">
        <v>0</v>
      </c>
      <c r="CY128">
        <v>0</v>
      </c>
      <c r="CZ128" s="246">
        <v>0.14673494045221794</v>
      </c>
      <c r="DA128" s="246">
        <v>8.7649339095068626E-2</v>
      </c>
      <c r="DB128" s="123">
        <v>152553216.94999999</v>
      </c>
      <c r="DC128" s="174">
        <v>90.4</v>
      </c>
      <c r="DD128" s="174">
        <v>5.6</v>
      </c>
      <c r="DE128" s="174">
        <v>1.8</v>
      </c>
      <c r="DF128" s="174">
        <v>83.7</v>
      </c>
      <c r="DG128" s="174">
        <v>8.6999999999999993</v>
      </c>
      <c r="DH128" s="174">
        <v>2.9</v>
      </c>
      <c r="DI128" s="174">
        <v>97.9</v>
      </c>
      <c r="DJ128" s="174">
        <v>95.3</v>
      </c>
    </row>
    <row r="129" spans="1:114" x14ac:dyDescent="0.45">
      <c r="A129">
        <v>889</v>
      </c>
      <c r="B129" s="247">
        <v>-1.7498211149417801E-2</v>
      </c>
      <c r="C129" s="169">
        <v>-9.3670721394652993E-3</v>
      </c>
      <c r="D129" s="169">
        <v>-1.0364258402093001E-2</v>
      </c>
      <c r="E129" s="169">
        <v>-6.6411752867780198E-3</v>
      </c>
      <c r="F129" s="206">
        <v>1957</v>
      </c>
      <c r="G129" s="206">
        <v>2451</v>
      </c>
      <c r="H129" s="206">
        <v>140</v>
      </c>
      <c r="I129" s="206">
        <v>0</v>
      </c>
      <c r="J129" s="189">
        <v>0.104121577181437</v>
      </c>
      <c r="K129" s="189">
        <v>7.4156522367467004E-2</v>
      </c>
      <c r="L129" s="206">
        <v>0</v>
      </c>
      <c r="M129" s="206">
        <v>0</v>
      </c>
      <c r="N129" s="4">
        <v>40</v>
      </c>
      <c r="O129" s="4">
        <v>198</v>
      </c>
      <c r="P129" s="4">
        <v>115</v>
      </c>
      <c r="Q129" s="4">
        <v>0</v>
      </c>
      <c r="R129" s="4">
        <v>0</v>
      </c>
      <c r="S129" s="4">
        <v>2480</v>
      </c>
      <c r="T129" s="4">
        <v>11190</v>
      </c>
      <c r="U129" s="4">
        <v>2310</v>
      </c>
      <c r="V129" s="4">
        <v>0</v>
      </c>
      <c r="W129" s="4">
        <v>0</v>
      </c>
      <c r="X129" s="4">
        <v>0.674220963172805</v>
      </c>
      <c r="Y129" s="4">
        <v>109</v>
      </c>
      <c r="Z129" s="4">
        <v>0</v>
      </c>
      <c r="AA129" s="4">
        <v>50</v>
      </c>
      <c r="AB129" s="4">
        <v>0</v>
      </c>
      <c r="AC129" s="4">
        <v>0</v>
      </c>
      <c r="AD129" s="4">
        <v>0</v>
      </c>
      <c r="AE129" s="4">
        <v>2950</v>
      </c>
      <c r="AF129" s="4">
        <v>6540</v>
      </c>
      <c r="AG129" s="4">
        <v>3025</v>
      </c>
      <c r="AH129" s="4">
        <v>0</v>
      </c>
      <c r="AI129" s="4">
        <v>0</v>
      </c>
      <c r="AJ129" s="4">
        <v>1</v>
      </c>
      <c r="AK129" s="4">
        <v>1</v>
      </c>
      <c r="AL129" s="4">
        <v>0</v>
      </c>
      <c r="AM129" s="4">
        <v>0</v>
      </c>
      <c r="AN129" s="4">
        <v>50</v>
      </c>
      <c r="AO129" s="4">
        <v>0</v>
      </c>
      <c r="AP129" s="4">
        <v>0</v>
      </c>
      <c r="AQ129" s="4">
        <v>0</v>
      </c>
      <c r="AR129" s="4">
        <v>0</v>
      </c>
      <c r="AS129" s="4">
        <v>74</v>
      </c>
      <c r="AT129" s="4">
        <v>3230</v>
      </c>
      <c r="AU129" s="4">
        <v>0</v>
      </c>
      <c r="AV129" s="4">
        <v>5285</v>
      </c>
      <c r="AW129" s="4">
        <v>3700</v>
      </c>
      <c r="AX129" s="4">
        <v>0</v>
      </c>
      <c r="AY129" s="4">
        <v>300</v>
      </c>
      <c r="AZ129" s="4">
        <v>58</v>
      </c>
      <c r="BA129" s="4">
        <v>63</v>
      </c>
      <c r="BB129" s="4">
        <v>169</v>
      </c>
      <c r="BC129" s="4">
        <v>0</v>
      </c>
      <c r="BD129" s="4">
        <v>46</v>
      </c>
      <c r="BE129" s="4">
        <v>17</v>
      </c>
      <c r="BF129" s="4">
        <v>0.360119047619048</v>
      </c>
      <c r="BG129" s="4">
        <v>36</v>
      </c>
      <c r="BH129" s="4">
        <v>2146</v>
      </c>
      <c r="BI129" s="4">
        <v>2222</v>
      </c>
      <c r="BJ129" s="4">
        <v>9641</v>
      </c>
      <c r="BK129" s="4">
        <v>420</v>
      </c>
      <c r="BL129" s="4">
        <v>524</v>
      </c>
      <c r="BM129" s="4">
        <v>1027</v>
      </c>
      <c r="BN129" s="4">
        <v>40</v>
      </c>
      <c r="BO129" s="4">
        <v>18</v>
      </c>
      <c r="BP129" s="4">
        <v>232</v>
      </c>
      <c r="BQ129" s="4">
        <v>46</v>
      </c>
      <c r="BR129" s="4">
        <v>0</v>
      </c>
      <c r="BS129" s="4">
        <v>17</v>
      </c>
      <c r="BT129" s="4">
        <v>0.172619047619048</v>
      </c>
      <c r="BU129" s="4">
        <v>50</v>
      </c>
      <c r="BV129" s="4">
        <v>1495</v>
      </c>
      <c r="BW129" s="4">
        <v>2782</v>
      </c>
      <c r="BX129" s="4">
        <v>8892</v>
      </c>
      <c r="BY129" s="4">
        <v>1154</v>
      </c>
      <c r="BZ129" s="4">
        <v>630</v>
      </c>
      <c r="CA129" s="4">
        <v>1027</v>
      </c>
      <c r="CB129" t="s">
        <v>687</v>
      </c>
      <c r="CC129" t="s">
        <v>687</v>
      </c>
      <c r="CD129" t="s">
        <v>687</v>
      </c>
      <c r="CE129" t="s">
        <v>687</v>
      </c>
      <c r="CF129" t="s">
        <v>687</v>
      </c>
      <c r="CG129" t="s">
        <v>687</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s="246">
        <v>0.10178246635140051</v>
      </c>
      <c r="DA129" s="246">
        <v>0.30274236228049073</v>
      </c>
      <c r="DB129" s="123">
        <v>19797556.990000002</v>
      </c>
      <c r="DC129" s="174">
        <v>89.9</v>
      </c>
      <c r="DD129" s="174">
        <v>6.8</v>
      </c>
      <c r="DE129" s="174">
        <v>1.2</v>
      </c>
      <c r="DF129" s="174">
        <v>79.599999999999994</v>
      </c>
      <c r="DG129" s="174">
        <v>12.7</v>
      </c>
      <c r="DH129" s="174">
        <v>3.1</v>
      </c>
      <c r="DI129" s="174">
        <v>97.9</v>
      </c>
      <c r="DJ129" s="174">
        <v>95.4</v>
      </c>
    </row>
    <row r="130" spans="1:114" x14ac:dyDescent="0.45">
      <c r="A130">
        <v>890</v>
      </c>
      <c r="B130" s="247">
        <v>-6.7952093773889399E-4</v>
      </c>
      <c r="C130" s="169">
        <v>-6.4554489085194896E-3</v>
      </c>
      <c r="D130" s="169">
        <v>9.2197426290926907E-2</v>
      </c>
      <c r="E130" s="169">
        <v>-7.98175598631699E-3</v>
      </c>
      <c r="F130" s="206">
        <v>1043</v>
      </c>
      <c r="G130" s="206">
        <v>315</v>
      </c>
      <c r="H130" s="206">
        <v>0</v>
      </c>
      <c r="I130" s="206">
        <v>10</v>
      </c>
      <c r="J130" s="189">
        <v>8.8296800612375007E-2</v>
      </c>
      <c r="K130" s="189">
        <v>0.17459955956390599</v>
      </c>
      <c r="L130" s="206">
        <v>0</v>
      </c>
      <c r="M130" s="206">
        <v>0</v>
      </c>
      <c r="N130" s="4">
        <v>0</v>
      </c>
      <c r="O130" s="4">
        <v>0</v>
      </c>
      <c r="P130" s="4">
        <v>0</v>
      </c>
      <c r="Q130" s="4">
        <v>0</v>
      </c>
      <c r="R130" s="4">
        <v>420</v>
      </c>
      <c r="S130" s="4">
        <v>1050</v>
      </c>
      <c r="T130" s="4">
        <v>10741</v>
      </c>
      <c r="U130" s="4">
        <v>880</v>
      </c>
      <c r="V130" s="4">
        <v>0</v>
      </c>
      <c r="W130" s="4">
        <v>0</v>
      </c>
      <c r="X130" s="4" t="s">
        <v>709</v>
      </c>
      <c r="Y130" s="4" t="s">
        <v>709</v>
      </c>
      <c r="Z130" s="4">
        <v>0</v>
      </c>
      <c r="AA130" s="4">
        <v>175</v>
      </c>
      <c r="AB130" s="4">
        <v>0</v>
      </c>
      <c r="AC130" s="4">
        <v>0</v>
      </c>
      <c r="AD130" s="4">
        <v>800</v>
      </c>
      <c r="AE130" s="4">
        <v>0</v>
      </c>
      <c r="AF130" s="4">
        <v>3655</v>
      </c>
      <c r="AG130" s="4">
        <v>2352</v>
      </c>
      <c r="AH130" s="4">
        <v>1200</v>
      </c>
      <c r="AI130" s="4">
        <v>0</v>
      </c>
      <c r="AJ130" s="4">
        <v>1</v>
      </c>
      <c r="AK130" s="4">
        <v>1</v>
      </c>
      <c r="AL130" s="4">
        <v>0</v>
      </c>
      <c r="AM130" s="4">
        <v>0</v>
      </c>
      <c r="AN130" s="4">
        <v>0</v>
      </c>
      <c r="AO130" s="4">
        <v>60</v>
      </c>
      <c r="AP130" s="4">
        <v>115</v>
      </c>
      <c r="AQ130" s="4">
        <v>800</v>
      </c>
      <c r="AR130" s="4">
        <v>0</v>
      </c>
      <c r="AS130" s="4">
        <v>74</v>
      </c>
      <c r="AT130" s="4">
        <v>0</v>
      </c>
      <c r="AU130" s="4">
        <v>0</v>
      </c>
      <c r="AV130" s="4">
        <v>1950</v>
      </c>
      <c r="AW130" s="4">
        <v>1220</v>
      </c>
      <c r="AX130" s="4">
        <v>4037</v>
      </c>
      <c r="AY130" s="4">
        <v>0</v>
      </c>
      <c r="AZ130" s="4">
        <v>0</v>
      </c>
      <c r="BA130" s="4">
        <v>0</v>
      </c>
      <c r="BB130" s="4">
        <v>0</v>
      </c>
      <c r="BC130" s="4">
        <v>0</v>
      </c>
      <c r="BD130" s="4">
        <v>0</v>
      </c>
      <c r="BE130" s="4">
        <v>420</v>
      </c>
      <c r="BF130" s="4" t="s">
        <v>709</v>
      </c>
      <c r="BG130" s="4" t="s">
        <v>709</v>
      </c>
      <c r="BH130" s="4">
        <v>3570</v>
      </c>
      <c r="BI130" s="4">
        <v>1718</v>
      </c>
      <c r="BJ130" s="4">
        <v>5297</v>
      </c>
      <c r="BK130" s="4">
        <v>892</v>
      </c>
      <c r="BL130" s="4">
        <v>144</v>
      </c>
      <c r="BM130" s="4">
        <v>1050</v>
      </c>
      <c r="BN130" s="4">
        <v>0</v>
      </c>
      <c r="BO130" s="4">
        <v>0</v>
      </c>
      <c r="BP130" s="4">
        <v>0</v>
      </c>
      <c r="BQ130" s="4">
        <v>0</v>
      </c>
      <c r="BR130" s="4">
        <v>0</v>
      </c>
      <c r="BS130" s="4">
        <v>420</v>
      </c>
      <c r="BT130" s="4" t="s">
        <v>709</v>
      </c>
      <c r="BU130" s="4" t="s">
        <v>709</v>
      </c>
      <c r="BV130" s="4">
        <v>2730</v>
      </c>
      <c r="BW130" s="4">
        <v>1290</v>
      </c>
      <c r="BX130" s="4">
        <v>5881</v>
      </c>
      <c r="BY130" s="4">
        <v>1720</v>
      </c>
      <c r="BZ130" s="4">
        <v>0</v>
      </c>
      <c r="CA130" s="4">
        <v>1050</v>
      </c>
      <c r="CB130" t="s">
        <v>687</v>
      </c>
      <c r="CC130" t="s">
        <v>687</v>
      </c>
      <c r="CD130" t="s">
        <v>687</v>
      </c>
      <c r="CE130" t="s">
        <v>687</v>
      </c>
      <c r="CF130" t="s">
        <v>687</v>
      </c>
      <c r="CG130" t="s">
        <v>687</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s="246">
        <v>9.2841890260885712E-2</v>
      </c>
      <c r="DA130" s="246">
        <v>-0.16525641025641025</v>
      </c>
      <c r="DB130" s="123">
        <v>23671643.190000001</v>
      </c>
      <c r="DC130" s="174">
        <v>92.7</v>
      </c>
      <c r="DD130" s="174">
        <v>4.9000000000000004</v>
      </c>
      <c r="DE130" s="174">
        <v>0.8</v>
      </c>
      <c r="DF130" s="174">
        <v>80.599999999999994</v>
      </c>
      <c r="DG130" s="174">
        <v>11.8</v>
      </c>
      <c r="DH130" s="174">
        <v>2</v>
      </c>
      <c r="DI130" s="174">
        <v>98.4</v>
      </c>
      <c r="DJ130" s="174">
        <v>94.5</v>
      </c>
    </row>
    <row r="131" spans="1:114" x14ac:dyDescent="0.45">
      <c r="A131">
        <v>891</v>
      </c>
      <c r="B131" s="247">
        <v>-5.6495486339451203E-3</v>
      </c>
      <c r="C131" s="169">
        <v>2.7081963292879801E-2</v>
      </c>
      <c r="D131" s="169">
        <v>1.4346032050666899E-2</v>
      </c>
      <c r="E131" s="169">
        <v>3.8240092121677401E-2</v>
      </c>
      <c r="F131" s="206">
        <v>9624</v>
      </c>
      <c r="G131" s="206">
        <v>1848</v>
      </c>
      <c r="H131" s="206">
        <v>650</v>
      </c>
      <c r="I131" s="206">
        <v>890</v>
      </c>
      <c r="J131" s="189">
        <v>9.0180582205309001E-2</v>
      </c>
      <c r="K131" s="189">
        <v>0.136756819437588</v>
      </c>
      <c r="L131" s="206">
        <v>1662</v>
      </c>
      <c r="M131" s="206">
        <v>300</v>
      </c>
      <c r="N131" s="4">
        <v>215</v>
      </c>
      <c r="O131" s="4">
        <v>1421</v>
      </c>
      <c r="P131" s="4">
        <v>85</v>
      </c>
      <c r="Q131" s="4">
        <v>49</v>
      </c>
      <c r="R131" s="4">
        <v>0</v>
      </c>
      <c r="S131" s="4">
        <v>9883</v>
      </c>
      <c r="T131" s="4">
        <v>48306</v>
      </c>
      <c r="U131" s="4">
        <v>8636</v>
      </c>
      <c r="V131" s="4">
        <v>441</v>
      </c>
      <c r="W131" s="4">
        <v>0</v>
      </c>
      <c r="X131" s="4">
        <v>0.92429378531073403</v>
      </c>
      <c r="Y131" s="4">
        <v>92</v>
      </c>
      <c r="Z131" s="4">
        <v>1446</v>
      </c>
      <c r="AA131" s="4">
        <v>2066</v>
      </c>
      <c r="AB131" s="4">
        <v>197</v>
      </c>
      <c r="AC131" s="4">
        <v>186</v>
      </c>
      <c r="AD131" s="4">
        <v>270</v>
      </c>
      <c r="AE131" s="4">
        <v>14023</v>
      </c>
      <c r="AF131" s="4">
        <v>33071</v>
      </c>
      <c r="AG131" s="4">
        <v>4122</v>
      </c>
      <c r="AH131" s="4">
        <v>1615</v>
      </c>
      <c r="AI131" s="4">
        <v>600</v>
      </c>
      <c r="AJ131" s="4">
        <v>0.90166880616174605</v>
      </c>
      <c r="AK131" s="4">
        <v>81</v>
      </c>
      <c r="AL131" s="4">
        <v>961</v>
      </c>
      <c r="AM131" s="4">
        <v>1012</v>
      </c>
      <c r="AN131" s="4">
        <v>1107</v>
      </c>
      <c r="AO131" s="4">
        <v>411</v>
      </c>
      <c r="AP131" s="4">
        <v>243</v>
      </c>
      <c r="AQ131" s="4">
        <v>431</v>
      </c>
      <c r="AR131" s="4">
        <v>0.52838778789501895</v>
      </c>
      <c r="AS131" s="4">
        <v>46</v>
      </c>
      <c r="AT131" s="4">
        <v>6072</v>
      </c>
      <c r="AU131" s="4">
        <v>13418</v>
      </c>
      <c r="AV131" s="4">
        <v>18676</v>
      </c>
      <c r="AW131" s="4">
        <v>6071</v>
      </c>
      <c r="AX131" s="4">
        <v>5442</v>
      </c>
      <c r="AY131" s="4">
        <v>3752</v>
      </c>
      <c r="AZ131" s="4">
        <v>215</v>
      </c>
      <c r="BA131" s="4">
        <v>155</v>
      </c>
      <c r="BB131" s="4">
        <v>1092</v>
      </c>
      <c r="BC131" s="4">
        <v>42</v>
      </c>
      <c r="BD131" s="4">
        <v>199</v>
      </c>
      <c r="BE131" s="4">
        <v>67</v>
      </c>
      <c r="BF131" s="4">
        <v>0.21726365237815601</v>
      </c>
      <c r="BG131" s="4">
        <v>49</v>
      </c>
      <c r="BH131" s="4">
        <v>7941</v>
      </c>
      <c r="BI131" s="4">
        <v>7037</v>
      </c>
      <c r="BJ131" s="4">
        <v>35927</v>
      </c>
      <c r="BK131" s="4">
        <v>4776</v>
      </c>
      <c r="BL131" s="4">
        <v>5057</v>
      </c>
      <c r="BM131" s="4">
        <v>6528</v>
      </c>
      <c r="BN131" s="4">
        <v>431</v>
      </c>
      <c r="BO131" s="4">
        <v>42</v>
      </c>
      <c r="BP131" s="4">
        <v>828</v>
      </c>
      <c r="BQ131" s="4">
        <v>185</v>
      </c>
      <c r="BR131" s="4">
        <v>217</v>
      </c>
      <c r="BS131" s="4">
        <v>67</v>
      </c>
      <c r="BT131" s="4">
        <v>0.27774515560775098</v>
      </c>
      <c r="BU131" s="4">
        <v>39</v>
      </c>
      <c r="BV131" s="4">
        <v>5983</v>
      </c>
      <c r="BW131" s="4">
        <v>5290</v>
      </c>
      <c r="BX131" s="4">
        <v>36653</v>
      </c>
      <c r="BY131" s="4">
        <v>6900</v>
      </c>
      <c r="BZ131" s="4">
        <v>5829</v>
      </c>
      <c r="CA131" s="4">
        <v>6611</v>
      </c>
      <c r="CB131">
        <v>11337.070645990963</v>
      </c>
      <c r="CC131" t="s">
        <v>687</v>
      </c>
      <c r="CD131" t="s">
        <v>687</v>
      </c>
      <c r="CE131">
        <v>16907.44439474235</v>
      </c>
      <c r="CF131" t="s">
        <v>687</v>
      </c>
      <c r="CG131" t="s">
        <v>687</v>
      </c>
      <c r="CH131">
        <v>34</v>
      </c>
      <c r="CI131">
        <v>0</v>
      </c>
      <c r="CJ131">
        <v>0</v>
      </c>
      <c r="CK131">
        <v>2</v>
      </c>
      <c r="CL131">
        <v>0</v>
      </c>
      <c r="CM131">
        <v>0</v>
      </c>
      <c r="CN131">
        <v>28093261.060765609</v>
      </c>
      <c r="CO131">
        <v>2478</v>
      </c>
      <c r="CP131">
        <v>0</v>
      </c>
      <c r="CQ131">
        <v>0</v>
      </c>
      <c r="CR131">
        <v>0</v>
      </c>
      <c r="CS131">
        <v>0</v>
      </c>
      <c r="CT131">
        <v>1420225.3291583573</v>
      </c>
      <c r="CU131">
        <v>84</v>
      </c>
      <c r="CV131">
        <v>0</v>
      </c>
      <c r="CW131">
        <v>0</v>
      </c>
      <c r="CX131">
        <v>0</v>
      </c>
      <c r="CY131">
        <v>0</v>
      </c>
      <c r="CZ131" s="246">
        <v>0.20913068691022194</v>
      </c>
      <c r="DA131" s="246">
        <v>7.7109882739320484E-2</v>
      </c>
      <c r="DB131" s="123">
        <v>102343680.46000001</v>
      </c>
      <c r="DC131" s="174">
        <v>94.1</v>
      </c>
      <c r="DD131" s="174">
        <v>3.8</v>
      </c>
      <c r="DE131" s="174">
        <v>0.8</v>
      </c>
      <c r="DF131" s="174">
        <v>92.2</v>
      </c>
      <c r="DG131" s="174">
        <v>4.5</v>
      </c>
      <c r="DH131" s="174">
        <v>0.8</v>
      </c>
      <c r="DI131" s="174">
        <v>98.6</v>
      </c>
      <c r="DJ131" s="174">
        <v>97.5</v>
      </c>
    </row>
    <row r="132" spans="1:114" x14ac:dyDescent="0.45">
      <c r="A132">
        <v>892</v>
      </c>
      <c r="B132" s="247">
        <v>-2.8817365269461102E-3</v>
      </c>
      <c r="C132" s="169">
        <v>1.4820359281437099E-2</v>
      </c>
      <c r="D132" s="169">
        <v>9.4780219780219808E-3</v>
      </c>
      <c r="E132" s="169">
        <v>1.4010989010988999E-2</v>
      </c>
      <c r="F132" s="206">
        <v>4971</v>
      </c>
      <c r="G132" s="206">
        <v>2624</v>
      </c>
      <c r="H132" s="206">
        <v>10</v>
      </c>
      <c r="I132" s="206">
        <v>160</v>
      </c>
      <c r="J132" s="189">
        <v>9.4788266038890095E-2</v>
      </c>
      <c r="K132" s="189">
        <v>8.1821912258601304E-2</v>
      </c>
      <c r="L132" s="206">
        <v>210</v>
      </c>
      <c r="M132" s="206">
        <v>568</v>
      </c>
      <c r="N132" s="4">
        <v>0</v>
      </c>
      <c r="O132" s="4">
        <v>405</v>
      </c>
      <c r="P132" s="4">
        <v>0</v>
      </c>
      <c r="Q132" s="4">
        <v>0</v>
      </c>
      <c r="R132" s="4">
        <v>0</v>
      </c>
      <c r="S132" s="4">
        <v>3885</v>
      </c>
      <c r="T132" s="4">
        <v>21483</v>
      </c>
      <c r="U132" s="4">
        <v>1260</v>
      </c>
      <c r="V132" s="4">
        <v>420</v>
      </c>
      <c r="W132" s="4">
        <v>420</v>
      </c>
      <c r="X132" s="4">
        <v>1</v>
      </c>
      <c r="Y132" s="4">
        <v>1</v>
      </c>
      <c r="Z132" s="4">
        <v>0</v>
      </c>
      <c r="AA132" s="4">
        <v>387</v>
      </c>
      <c r="AB132" s="4">
        <v>0</v>
      </c>
      <c r="AC132" s="4">
        <v>0</v>
      </c>
      <c r="AD132" s="4">
        <v>0</v>
      </c>
      <c r="AE132" s="4">
        <v>1800</v>
      </c>
      <c r="AF132" s="4">
        <v>11260</v>
      </c>
      <c r="AG132" s="4">
        <v>750</v>
      </c>
      <c r="AH132" s="4">
        <v>0</v>
      </c>
      <c r="AI132" s="4">
        <v>0</v>
      </c>
      <c r="AJ132" s="4">
        <v>1</v>
      </c>
      <c r="AK132" s="4">
        <v>1</v>
      </c>
      <c r="AL132" s="4">
        <v>230</v>
      </c>
      <c r="AM132" s="4">
        <v>157</v>
      </c>
      <c r="AN132" s="4">
        <v>0</v>
      </c>
      <c r="AO132" s="4">
        <v>0</v>
      </c>
      <c r="AP132" s="4">
        <v>0</v>
      </c>
      <c r="AQ132" s="4">
        <v>0</v>
      </c>
      <c r="AR132" s="4">
        <v>1</v>
      </c>
      <c r="AS132" s="4">
        <v>1</v>
      </c>
      <c r="AT132" s="4">
        <v>790</v>
      </c>
      <c r="AU132" s="4">
        <v>6970</v>
      </c>
      <c r="AV132" s="4">
        <v>0</v>
      </c>
      <c r="AW132" s="4">
        <v>4350</v>
      </c>
      <c r="AX132" s="4">
        <v>900</v>
      </c>
      <c r="AY132" s="4">
        <v>800</v>
      </c>
      <c r="AZ132" s="4">
        <v>210</v>
      </c>
      <c r="BA132" s="4">
        <v>0</v>
      </c>
      <c r="BB132" s="4">
        <v>195</v>
      </c>
      <c r="BC132" s="4">
        <v>0</v>
      </c>
      <c r="BD132" s="4">
        <v>0</v>
      </c>
      <c r="BE132" s="4">
        <v>0</v>
      </c>
      <c r="BF132" s="4">
        <v>0.51851851851851805</v>
      </c>
      <c r="BG132" s="4">
        <v>25</v>
      </c>
      <c r="BH132" s="4">
        <v>7105</v>
      </c>
      <c r="BI132" s="4">
        <v>6262</v>
      </c>
      <c r="BJ132" s="4">
        <v>10321</v>
      </c>
      <c r="BK132" s="4">
        <v>2310</v>
      </c>
      <c r="BL132" s="4">
        <v>1050</v>
      </c>
      <c r="BM132" s="4">
        <v>420</v>
      </c>
      <c r="BN132" s="4">
        <v>0</v>
      </c>
      <c r="BO132" s="4">
        <v>210</v>
      </c>
      <c r="BP132" s="4">
        <v>45</v>
      </c>
      <c r="BQ132" s="4">
        <v>150</v>
      </c>
      <c r="BR132" s="4">
        <v>0</v>
      </c>
      <c r="BS132" s="4">
        <v>0</v>
      </c>
      <c r="BT132" s="4">
        <v>0.51851851851851805</v>
      </c>
      <c r="BU132" s="4">
        <v>23</v>
      </c>
      <c r="BV132" s="4">
        <v>4165</v>
      </c>
      <c r="BW132" s="4">
        <v>6727</v>
      </c>
      <c r="BX132" s="4">
        <v>12106</v>
      </c>
      <c r="BY132" s="4">
        <v>1740</v>
      </c>
      <c r="BZ132" s="4">
        <v>2310</v>
      </c>
      <c r="CA132" s="4">
        <v>420</v>
      </c>
      <c r="CB132">
        <v>13939.987964589178</v>
      </c>
      <c r="CC132">
        <v>1557.5208728728765</v>
      </c>
      <c r="CD132" t="s">
        <v>687</v>
      </c>
      <c r="CE132" t="s">
        <v>687</v>
      </c>
      <c r="CF132" t="s">
        <v>687</v>
      </c>
      <c r="CG132" t="s">
        <v>687</v>
      </c>
      <c r="CH132">
        <v>9</v>
      </c>
      <c r="CI132">
        <v>4</v>
      </c>
      <c r="CJ132">
        <v>0</v>
      </c>
      <c r="CK132">
        <v>0</v>
      </c>
      <c r="CL132">
        <v>0</v>
      </c>
      <c r="CM132">
        <v>0</v>
      </c>
      <c r="CN132">
        <v>25579877.91502114</v>
      </c>
      <c r="CO132">
        <v>1835</v>
      </c>
      <c r="CP132">
        <v>233628.13093093145</v>
      </c>
      <c r="CQ132">
        <v>150</v>
      </c>
      <c r="CR132">
        <v>0</v>
      </c>
      <c r="CS132">
        <v>0</v>
      </c>
      <c r="CT132">
        <v>0</v>
      </c>
      <c r="CU132">
        <v>0</v>
      </c>
      <c r="CV132">
        <v>0</v>
      </c>
      <c r="CW132">
        <v>0</v>
      </c>
      <c r="CX132">
        <v>0</v>
      </c>
      <c r="CY132">
        <v>0</v>
      </c>
      <c r="CZ132" s="246">
        <v>0.33378514056224901</v>
      </c>
      <c r="DA132" s="246">
        <v>0.80734954340411491</v>
      </c>
      <c r="DB132" s="123">
        <v>59129957.469999999</v>
      </c>
      <c r="DC132" s="174">
        <v>89.6</v>
      </c>
      <c r="DD132" s="174">
        <v>5.7</v>
      </c>
      <c r="DE132" s="174">
        <v>1.2</v>
      </c>
      <c r="DF132" s="174">
        <v>75.8</v>
      </c>
      <c r="DG132" s="174">
        <v>10</v>
      </c>
      <c r="DH132" s="174">
        <v>4.7</v>
      </c>
      <c r="DI132" s="174">
        <v>96.5</v>
      </c>
      <c r="DJ132" s="174">
        <v>90.5</v>
      </c>
    </row>
    <row r="133" spans="1:114" x14ac:dyDescent="0.45">
      <c r="A133">
        <v>893</v>
      </c>
      <c r="B133" s="247">
        <v>1.0987442922374401E-2</v>
      </c>
      <c r="C133" s="169">
        <v>-8.56164383561644E-4</v>
      </c>
      <c r="D133" s="169">
        <v>1.5869800108049701E-2</v>
      </c>
      <c r="E133" s="169">
        <v>1.1480280929227401E-2</v>
      </c>
      <c r="F133" s="206">
        <v>0</v>
      </c>
      <c r="G133" s="206">
        <v>0</v>
      </c>
      <c r="H133" s="206">
        <v>40</v>
      </c>
      <c r="I133" s="206">
        <v>250</v>
      </c>
      <c r="J133" s="189">
        <v>0.101679698423066</v>
      </c>
      <c r="K133" s="189">
        <v>0.11518430232683601</v>
      </c>
      <c r="L133" s="206">
        <v>873</v>
      </c>
      <c r="M133" s="206">
        <v>150</v>
      </c>
      <c r="N133" s="4">
        <v>0</v>
      </c>
      <c r="O133" s="4">
        <v>98</v>
      </c>
      <c r="P133" s="4">
        <v>0</v>
      </c>
      <c r="Q133" s="4">
        <v>0</v>
      </c>
      <c r="R133" s="4">
        <v>0</v>
      </c>
      <c r="S133" s="4">
        <v>2649</v>
      </c>
      <c r="T133" s="4">
        <v>17963</v>
      </c>
      <c r="U133" s="4">
        <v>1800</v>
      </c>
      <c r="V133" s="4">
        <v>210</v>
      </c>
      <c r="W133" s="4">
        <v>0</v>
      </c>
      <c r="X133" s="4">
        <v>1</v>
      </c>
      <c r="Y133" s="4">
        <v>1</v>
      </c>
      <c r="Z133" s="4">
        <v>0</v>
      </c>
      <c r="AA133" s="4">
        <v>0</v>
      </c>
      <c r="AB133" s="4">
        <v>0</v>
      </c>
      <c r="AC133" s="4">
        <v>0</v>
      </c>
      <c r="AD133" s="4">
        <v>0</v>
      </c>
      <c r="AE133" s="4">
        <v>1680</v>
      </c>
      <c r="AF133" s="4">
        <v>13695</v>
      </c>
      <c r="AG133" s="4">
        <v>1656</v>
      </c>
      <c r="AH133" s="4">
        <v>1185</v>
      </c>
      <c r="AI133" s="4">
        <v>0</v>
      </c>
      <c r="AJ133" s="4" t="s">
        <v>709</v>
      </c>
      <c r="AK133" s="4" t="s">
        <v>709</v>
      </c>
      <c r="AL133" s="4">
        <v>0</v>
      </c>
      <c r="AM133" s="4">
        <v>0</v>
      </c>
      <c r="AN133" s="4">
        <v>0</v>
      </c>
      <c r="AO133" s="4">
        <v>0</v>
      </c>
      <c r="AP133" s="4">
        <v>0</v>
      </c>
      <c r="AQ133" s="4">
        <v>0</v>
      </c>
      <c r="AR133" s="4" t="s">
        <v>709</v>
      </c>
      <c r="AS133" s="4" t="s">
        <v>709</v>
      </c>
      <c r="AT133" s="4">
        <v>771</v>
      </c>
      <c r="AU133" s="4">
        <v>3829</v>
      </c>
      <c r="AV133" s="4">
        <v>6196</v>
      </c>
      <c r="AW133" s="4">
        <v>2370</v>
      </c>
      <c r="AX133" s="4">
        <v>1185</v>
      </c>
      <c r="AY133" s="4">
        <v>3865</v>
      </c>
      <c r="AZ133" s="4">
        <v>0</v>
      </c>
      <c r="BA133" s="4">
        <v>0</v>
      </c>
      <c r="BB133" s="4">
        <v>56</v>
      </c>
      <c r="BC133" s="4">
        <v>0</v>
      </c>
      <c r="BD133" s="4">
        <v>42</v>
      </c>
      <c r="BE133" s="4">
        <v>0</v>
      </c>
      <c r="BF133" s="4">
        <v>0</v>
      </c>
      <c r="BG133" s="4">
        <v>68</v>
      </c>
      <c r="BH133" s="4">
        <v>581</v>
      </c>
      <c r="BI133" s="4">
        <v>2029</v>
      </c>
      <c r="BJ133" s="4">
        <v>13276</v>
      </c>
      <c r="BK133" s="4">
        <v>1455</v>
      </c>
      <c r="BL133" s="4">
        <v>3196</v>
      </c>
      <c r="BM133" s="4">
        <v>2085</v>
      </c>
      <c r="BN133" s="4">
        <v>0</v>
      </c>
      <c r="BO133" s="4">
        <v>56</v>
      </c>
      <c r="BP133" s="4">
        <v>0</v>
      </c>
      <c r="BQ133" s="4">
        <v>0</v>
      </c>
      <c r="BR133" s="4">
        <v>42</v>
      </c>
      <c r="BS133" s="4">
        <v>0</v>
      </c>
      <c r="BT133" s="4">
        <v>0.57142857142857095</v>
      </c>
      <c r="BU133" s="4">
        <v>19</v>
      </c>
      <c r="BV133" s="4">
        <v>1169</v>
      </c>
      <c r="BW133" s="4">
        <v>2359</v>
      </c>
      <c r="BX133" s="4">
        <v>12684</v>
      </c>
      <c r="BY133" s="4">
        <v>1179</v>
      </c>
      <c r="BZ133" s="4">
        <v>3146</v>
      </c>
      <c r="CA133" s="4">
        <v>2085</v>
      </c>
      <c r="CB133">
        <v>19884.411121524594</v>
      </c>
      <c r="CC133" t="s">
        <v>687</v>
      </c>
      <c r="CD133" t="s">
        <v>687</v>
      </c>
      <c r="CE133" t="s">
        <v>687</v>
      </c>
      <c r="CF133" t="s">
        <v>687</v>
      </c>
      <c r="CG133" t="s">
        <v>687</v>
      </c>
      <c r="CH133">
        <v>2</v>
      </c>
      <c r="CI133">
        <v>0</v>
      </c>
      <c r="CJ133">
        <v>0</v>
      </c>
      <c r="CK133">
        <v>0</v>
      </c>
      <c r="CL133">
        <v>0</v>
      </c>
      <c r="CM133">
        <v>0</v>
      </c>
      <c r="CN133">
        <v>1193064.6672914757</v>
      </c>
      <c r="CO133">
        <v>60</v>
      </c>
      <c r="CP133">
        <v>0</v>
      </c>
      <c r="CQ133">
        <v>0</v>
      </c>
      <c r="CR133">
        <v>0</v>
      </c>
      <c r="CS133">
        <v>0</v>
      </c>
      <c r="CT133">
        <v>0</v>
      </c>
      <c r="CU133">
        <v>0</v>
      </c>
      <c r="CV133">
        <v>0</v>
      </c>
      <c r="CW133">
        <v>0</v>
      </c>
      <c r="CX133">
        <v>0</v>
      </c>
      <c r="CY133">
        <v>0</v>
      </c>
      <c r="CZ133" s="246">
        <v>0.10648571719020027</v>
      </c>
      <c r="DA133" s="246">
        <v>-2.3321245467050142E-2</v>
      </c>
      <c r="DB133" s="123">
        <v>19171734.800000001</v>
      </c>
      <c r="DC133" s="174">
        <v>94.2</v>
      </c>
      <c r="DD133" s="174">
        <v>3.2</v>
      </c>
      <c r="DE133" s="174">
        <v>0.7</v>
      </c>
      <c r="DF133" s="174">
        <v>90.3</v>
      </c>
      <c r="DG133" s="174">
        <v>5.3</v>
      </c>
      <c r="DH133" s="174">
        <v>1.1000000000000001</v>
      </c>
      <c r="DI133" s="174">
        <v>98.1</v>
      </c>
      <c r="DJ133" s="174">
        <v>96.6</v>
      </c>
    </row>
    <row r="134" spans="1:114" x14ac:dyDescent="0.45">
      <c r="A134">
        <v>894</v>
      </c>
      <c r="B134" s="247">
        <v>2.739386427022E-2</v>
      </c>
      <c r="C134" s="169">
        <v>1.48744964363186E-2</v>
      </c>
      <c r="D134" s="169">
        <v>3.5642425984478303E-2</v>
      </c>
      <c r="E134" s="169">
        <v>3.1426655169109897E-2</v>
      </c>
      <c r="F134" s="206">
        <v>2063</v>
      </c>
      <c r="G134" s="206">
        <v>1174</v>
      </c>
      <c r="H134" s="206">
        <v>110</v>
      </c>
      <c r="I134" s="206">
        <v>450</v>
      </c>
      <c r="J134" s="189">
        <v>6.4897114593193098E-2</v>
      </c>
      <c r="K134" s="189">
        <v>5.6526803427673598E-2</v>
      </c>
      <c r="L134" s="206">
        <v>215</v>
      </c>
      <c r="M134" s="206">
        <v>505</v>
      </c>
      <c r="N134" s="4">
        <v>0</v>
      </c>
      <c r="O134" s="4">
        <v>0</v>
      </c>
      <c r="P134" s="4">
        <v>0</v>
      </c>
      <c r="Q134" s="4">
        <v>0</v>
      </c>
      <c r="R134" s="4">
        <v>0</v>
      </c>
      <c r="S134" s="4">
        <v>3277</v>
      </c>
      <c r="T134" s="4">
        <v>11849</v>
      </c>
      <c r="U134" s="4">
        <v>1455</v>
      </c>
      <c r="V134" s="4">
        <v>0</v>
      </c>
      <c r="W134" s="4">
        <v>0</v>
      </c>
      <c r="X134" s="4" t="s">
        <v>709</v>
      </c>
      <c r="Y134" s="4" t="s">
        <v>709</v>
      </c>
      <c r="Z134" s="4">
        <v>0</v>
      </c>
      <c r="AA134" s="4">
        <v>0</v>
      </c>
      <c r="AB134" s="4">
        <v>0</v>
      </c>
      <c r="AC134" s="4">
        <v>0</v>
      </c>
      <c r="AD134" s="4">
        <v>0</v>
      </c>
      <c r="AE134" s="4">
        <v>2575</v>
      </c>
      <c r="AF134" s="4">
        <v>4901</v>
      </c>
      <c r="AG134" s="4">
        <v>3780</v>
      </c>
      <c r="AH134" s="4">
        <v>0</v>
      </c>
      <c r="AI134" s="4">
        <v>0</v>
      </c>
      <c r="AJ134" s="4" t="s">
        <v>709</v>
      </c>
      <c r="AK134" s="4" t="s">
        <v>709</v>
      </c>
      <c r="AL134" s="4">
        <v>0</v>
      </c>
      <c r="AM134" s="4">
        <v>0</v>
      </c>
      <c r="AN134" s="4">
        <v>0</v>
      </c>
      <c r="AO134" s="4">
        <v>0</v>
      </c>
      <c r="AP134" s="4">
        <v>0</v>
      </c>
      <c r="AQ134" s="4">
        <v>0</v>
      </c>
      <c r="AR134" s="4" t="s">
        <v>709</v>
      </c>
      <c r="AS134" s="4" t="s">
        <v>709</v>
      </c>
      <c r="AT134" s="4">
        <v>380</v>
      </c>
      <c r="AU134" s="4">
        <v>2301</v>
      </c>
      <c r="AV134" s="4">
        <v>2795</v>
      </c>
      <c r="AW134" s="4">
        <v>3980</v>
      </c>
      <c r="AX134" s="4">
        <v>1800</v>
      </c>
      <c r="AY134" s="4">
        <v>0</v>
      </c>
      <c r="AZ134" s="4">
        <v>0</v>
      </c>
      <c r="BA134" s="4">
        <v>0</v>
      </c>
      <c r="BB134" s="4">
        <v>0</v>
      </c>
      <c r="BC134" s="4">
        <v>0</v>
      </c>
      <c r="BD134" s="4">
        <v>0</v>
      </c>
      <c r="BE134" s="4">
        <v>0</v>
      </c>
      <c r="BF134" s="4" t="s">
        <v>709</v>
      </c>
      <c r="BG134" s="4" t="s">
        <v>709</v>
      </c>
      <c r="BH134" s="4">
        <v>550</v>
      </c>
      <c r="BI134" s="4">
        <v>2308</v>
      </c>
      <c r="BJ134" s="4">
        <v>8244</v>
      </c>
      <c r="BK134" s="4">
        <v>3419</v>
      </c>
      <c r="BL134" s="4">
        <v>1134</v>
      </c>
      <c r="BM134" s="4">
        <v>926</v>
      </c>
      <c r="BN134" s="4">
        <v>0</v>
      </c>
      <c r="BO134" s="4">
        <v>0</v>
      </c>
      <c r="BP134" s="4">
        <v>0</v>
      </c>
      <c r="BQ134" s="4">
        <v>0</v>
      </c>
      <c r="BR134" s="4">
        <v>0</v>
      </c>
      <c r="BS134" s="4">
        <v>0</v>
      </c>
      <c r="BT134" s="4" t="s">
        <v>709</v>
      </c>
      <c r="BU134" s="4" t="s">
        <v>709</v>
      </c>
      <c r="BV134" s="4">
        <v>840</v>
      </c>
      <c r="BW134" s="4">
        <v>2382</v>
      </c>
      <c r="BX134" s="4">
        <v>9713</v>
      </c>
      <c r="BY134" s="4">
        <v>1683</v>
      </c>
      <c r="BZ134" s="4">
        <v>1037</v>
      </c>
      <c r="CA134" s="4">
        <v>926</v>
      </c>
      <c r="CB134">
        <v>15010.030525700135</v>
      </c>
      <c r="CC134" t="s">
        <v>687</v>
      </c>
      <c r="CD134">
        <v>27409.589265259467</v>
      </c>
      <c r="CE134" t="s">
        <v>687</v>
      </c>
      <c r="CF134" t="s">
        <v>687</v>
      </c>
      <c r="CG134" t="s">
        <v>687</v>
      </c>
      <c r="CH134">
        <v>2</v>
      </c>
      <c r="CI134">
        <v>0</v>
      </c>
      <c r="CJ134">
        <v>1</v>
      </c>
      <c r="CK134">
        <v>0</v>
      </c>
      <c r="CL134">
        <v>0</v>
      </c>
      <c r="CM134">
        <v>0</v>
      </c>
      <c r="CN134">
        <v>3602407.3261680324</v>
      </c>
      <c r="CO134">
        <v>240</v>
      </c>
      <c r="CP134">
        <v>0</v>
      </c>
      <c r="CQ134">
        <v>0</v>
      </c>
      <c r="CR134">
        <v>5756013.7457044879</v>
      </c>
      <c r="CS134">
        <v>210</v>
      </c>
      <c r="CT134">
        <v>0</v>
      </c>
      <c r="CU134">
        <v>0</v>
      </c>
      <c r="CV134">
        <v>0</v>
      </c>
      <c r="CW134">
        <v>0</v>
      </c>
      <c r="CX134">
        <v>0</v>
      </c>
      <c r="CY134">
        <v>0</v>
      </c>
      <c r="CZ134" s="246">
        <v>0.20310411406505272</v>
      </c>
      <c r="DA134" s="246">
        <v>0.4234547941798284</v>
      </c>
      <c r="DB134" s="123">
        <v>33350987.439999998</v>
      </c>
      <c r="DC134" s="174">
        <v>94.3</v>
      </c>
      <c r="DD134" s="174">
        <v>3.3</v>
      </c>
      <c r="DE134" s="174">
        <v>0.4</v>
      </c>
      <c r="DF134" s="174">
        <v>82.3</v>
      </c>
      <c r="DG134" s="174">
        <v>8.5</v>
      </c>
      <c r="DH134" s="174">
        <v>3.3</v>
      </c>
      <c r="DI134" s="174">
        <v>98</v>
      </c>
      <c r="DJ134" s="174">
        <v>94.1</v>
      </c>
    </row>
    <row r="135" spans="1:114" x14ac:dyDescent="0.45">
      <c r="A135">
        <v>895</v>
      </c>
      <c r="B135" s="247">
        <v>1.8281473411860798E-2</v>
      </c>
      <c r="C135" s="169">
        <v>2.34901613671955E-3</v>
      </c>
      <c r="D135" s="169">
        <v>2.7603577670401998E-2</v>
      </c>
      <c r="E135" s="169">
        <v>1.8710804975840399E-2</v>
      </c>
      <c r="F135" s="206">
        <v>2987</v>
      </c>
      <c r="G135" s="206">
        <v>2736</v>
      </c>
      <c r="H135" s="206">
        <v>290</v>
      </c>
      <c r="I135" s="206">
        <v>1190</v>
      </c>
      <c r="J135" s="189">
        <v>7.0808878953408594E-2</v>
      </c>
      <c r="K135" s="189">
        <v>6.3878572139738493E-2</v>
      </c>
      <c r="L135" s="206">
        <v>140</v>
      </c>
      <c r="M135" s="206">
        <v>350</v>
      </c>
      <c r="N135" s="4">
        <v>0</v>
      </c>
      <c r="O135" s="4">
        <v>449</v>
      </c>
      <c r="P135" s="4">
        <v>0</v>
      </c>
      <c r="Q135" s="4">
        <v>0</v>
      </c>
      <c r="R135" s="4">
        <v>0</v>
      </c>
      <c r="S135" s="4">
        <v>7632</v>
      </c>
      <c r="T135" s="4">
        <v>19875</v>
      </c>
      <c r="U135" s="4">
        <v>3057</v>
      </c>
      <c r="V135" s="4">
        <v>840</v>
      </c>
      <c r="W135" s="4">
        <v>0</v>
      </c>
      <c r="X135" s="4">
        <v>1</v>
      </c>
      <c r="Y135" s="4">
        <v>1</v>
      </c>
      <c r="Z135" s="4">
        <v>0</v>
      </c>
      <c r="AA135" s="4">
        <v>86</v>
      </c>
      <c r="AB135" s="4">
        <v>0</v>
      </c>
      <c r="AC135" s="4">
        <v>0</v>
      </c>
      <c r="AD135" s="4">
        <v>0</v>
      </c>
      <c r="AE135" s="4">
        <v>6659</v>
      </c>
      <c r="AF135" s="4">
        <v>15155</v>
      </c>
      <c r="AG135" s="4">
        <v>2976</v>
      </c>
      <c r="AH135" s="4">
        <v>780</v>
      </c>
      <c r="AI135" s="4">
        <v>0</v>
      </c>
      <c r="AJ135" s="4">
        <v>1</v>
      </c>
      <c r="AK135" s="4">
        <v>1</v>
      </c>
      <c r="AL135" s="4">
        <v>0</v>
      </c>
      <c r="AM135" s="4">
        <v>86</v>
      </c>
      <c r="AN135" s="4">
        <v>0</v>
      </c>
      <c r="AO135" s="4">
        <v>0</v>
      </c>
      <c r="AP135" s="4">
        <v>0</v>
      </c>
      <c r="AQ135" s="4">
        <v>0</v>
      </c>
      <c r="AR135" s="4">
        <v>1</v>
      </c>
      <c r="AS135" s="4">
        <v>1</v>
      </c>
      <c r="AT135" s="4">
        <v>0</v>
      </c>
      <c r="AU135" s="4">
        <v>10665</v>
      </c>
      <c r="AV135" s="4">
        <v>8509</v>
      </c>
      <c r="AW135" s="4">
        <v>1914</v>
      </c>
      <c r="AX135" s="4">
        <v>1830</v>
      </c>
      <c r="AY135" s="4">
        <v>2652</v>
      </c>
      <c r="AZ135" s="4">
        <v>0</v>
      </c>
      <c r="BA135" s="4">
        <v>0</v>
      </c>
      <c r="BB135" s="4">
        <v>239</v>
      </c>
      <c r="BC135" s="4">
        <v>90</v>
      </c>
      <c r="BD135" s="4">
        <v>120</v>
      </c>
      <c r="BE135" s="4">
        <v>0</v>
      </c>
      <c r="BF135" s="4">
        <v>0</v>
      </c>
      <c r="BG135" s="4">
        <v>68</v>
      </c>
      <c r="BH135" s="4">
        <v>1890</v>
      </c>
      <c r="BI135" s="4">
        <v>2414</v>
      </c>
      <c r="BJ135" s="4">
        <v>18487</v>
      </c>
      <c r="BK135" s="4">
        <v>5017</v>
      </c>
      <c r="BL135" s="4">
        <v>2865</v>
      </c>
      <c r="BM135" s="4">
        <v>731</v>
      </c>
      <c r="BN135" s="4">
        <v>0</v>
      </c>
      <c r="BO135" s="4">
        <v>21</v>
      </c>
      <c r="BP135" s="4">
        <v>203</v>
      </c>
      <c r="BQ135" s="4">
        <v>105</v>
      </c>
      <c r="BR135" s="4">
        <v>120</v>
      </c>
      <c r="BS135" s="4">
        <v>0</v>
      </c>
      <c r="BT135" s="4">
        <v>4.6770601336302897E-2</v>
      </c>
      <c r="BU135" s="4">
        <v>66</v>
      </c>
      <c r="BV135" s="4">
        <v>2093</v>
      </c>
      <c r="BW135" s="4">
        <v>2653</v>
      </c>
      <c r="BX135" s="4">
        <v>20413</v>
      </c>
      <c r="BY135" s="4">
        <v>1635</v>
      </c>
      <c r="BZ135" s="4">
        <v>3879</v>
      </c>
      <c r="CA135" s="4">
        <v>731</v>
      </c>
      <c r="CB135">
        <v>14385.58301664488</v>
      </c>
      <c r="CC135">
        <v>3025.7752178042019</v>
      </c>
      <c r="CD135" t="s">
        <v>687</v>
      </c>
      <c r="CE135" t="s">
        <v>687</v>
      </c>
      <c r="CF135" t="s">
        <v>687</v>
      </c>
      <c r="CG135" t="s">
        <v>687</v>
      </c>
      <c r="CH135">
        <v>9</v>
      </c>
      <c r="CI135">
        <v>1</v>
      </c>
      <c r="CJ135">
        <v>0</v>
      </c>
      <c r="CK135">
        <v>0</v>
      </c>
      <c r="CL135">
        <v>0</v>
      </c>
      <c r="CM135">
        <v>0</v>
      </c>
      <c r="CN135">
        <v>12270902.313198082</v>
      </c>
      <c r="CO135">
        <v>853</v>
      </c>
      <c r="CP135">
        <v>78670.155662909252</v>
      </c>
      <c r="CQ135">
        <v>26</v>
      </c>
      <c r="CR135">
        <v>0</v>
      </c>
      <c r="CS135">
        <v>0</v>
      </c>
      <c r="CT135">
        <v>0</v>
      </c>
      <c r="CU135">
        <v>0</v>
      </c>
      <c r="CV135">
        <v>0</v>
      </c>
      <c r="CW135">
        <v>0</v>
      </c>
      <c r="CX135">
        <v>0</v>
      </c>
      <c r="CY135">
        <v>0</v>
      </c>
      <c r="CZ135" s="246">
        <v>0.1600846805234796</v>
      </c>
      <c r="DA135" s="246">
        <v>0.15461045105667123</v>
      </c>
      <c r="DB135" s="123">
        <v>52593024.719999999</v>
      </c>
      <c r="DC135" s="174">
        <v>93</v>
      </c>
      <c r="DD135" s="174">
        <v>4.4000000000000004</v>
      </c>
      <c r="DE135" s="174">
        <v>1</v>
      </c>
      <c r="DF135" s="174">
        <v>90.3</v>
      </c>
      <c r="DG135" s="174">
        <v>5.2</v>
      </c>
      <c r="DH135" s="174">
        <v>0.9</v>
      </c>
      <c r="DI135" s="174">
        <v>98.4</v>
      </c>
      <c r="DJ135" s="174">
        <v>96.4</v>
      </c>
    </row>
    <row r="136" spans="1:114" x14ac:dyDescent="0.45">
      <c r="A136">
        <v>896</v>
      </c>
      <c r="B136" s="247">
        <v>2.5112825738826598E-3</v>
      </c>
      <c r="C136" s="169">
        <v>2.2674333964186898E-2</v>
      </c>
      <c r="D136" s="169">
        <v>3.5270991294580202E-2</v>
      </c>
      <c r="E136" s="169">
        <v>2.84189834316203E-2</v>
      </c>
      <c r="F136" s="206">
        <v>4115</v>
      </c>
      <c r="G136" s="206">
        <v>966</v>
      </c>
      <c r="H136" s="206">
        <v>590</v>
      </c>
      <c r="I136" s="206">
        <v>220</v>
      </c>
      <c r="J136" s="189">
        <v>8.6458672594629402E-2</v>
      </c>
      <c r="K136" s="189">
        <v>0.127885537599395</v>
      </c>
      <c r="L136" s="206">
        <v>75</v>
      </c>
      <c r="M136" s="206">
        <v>625</v>
      </c>
      <c r="N136" s="4">
        <v>0</v>
      </c>
      <c r="O136" s="4">
        <v>595</v>
      </c>
      <c r="P136" s="4">
        <v>0</v>
      </c>
      <c r="Q136" s="4">
        <v>0</v>
      </c>
      <c r="R136" s="4">
        <v>0</v>
      </c>
      <c r="S136" s="4">
        <v>6552</v>
      </c>
      <c r="T136" s="4">
        <v>21679</v>
      </c>
      <c r="U136" s="4">
        <v>1463</v>
      </c>
      <c r="V136" s="4">
        <v>210</v>
      </c>
      <c r="W136" s="4">
        <v>0</v>
      </c>
      <c r="X136" s="4">
        <v>1</v>
      </c>
      <c r="Y136" s="4">
        <v>1</v>
      </c>
      <c r="Z136" s="4">
        <v>0</v>
      </c>
      <c r="AA136" s="4">
        <v>0</v>
      </c>
      <c r="AB136" s="4">
        <v>150</v>
      </c>
      <c r="AC136" s="4">
        <v>0</v>
      </c>
      <c r="AD136" s="4">
        <v>155</v>
      </c>
      <c r="AE136" s="4">
        <v>4794</v>
      </c>
      <c r="AF136" s="4">
        <v>13514</v>
      </c>
      <c r="AG136" s="4">
        <v>1674</v>
      </c>
      <c r="AH136" s="4">
        <v>1055</v>
      </c>
      <c r="AI136" s="4">
        <v>165</v>
      </c>
      <c r="AJ136" s="4">
        <v>0</v>
      </c>
      <c r="AK136" s="4">
        <v>111</v>
      </c>
      <c r="AL136" s="4">
        <v>0</v>
      </c>
      <c r="AM136" s="4">
        <v>0</v>
      </c>
      <c r="AN136" s="4">
        <v>0</v>
      </c>
      <c r="AO136" s="4">
        <v>150</v>
      </c>
      <c r="AP136" s="4">
        <v>0</v>
      </c>
      <c r="AQ136" s="4">
        <v>155</v>
      </c>
      <c r="AR136" s="4">
        <v>0</v>
      </c>
      <c r="AS136" s="4">
        <v>74</v>
      </c>
      <c r="AT136" s="4">
        <v>975</v>
      </c>
      <c r="AU136" s="4">
        <v>3819</v>
      </c>
      <c r="AV136" s="4">
        <v>7605</v>
      </c>
      <c r="AW136" s="4">
        <v>8038</v>
      </c>
      <c r="AX136" s="4">
        <v>600</v>
      </c>
      <c r="AY136" s="4">
        <v>165</v>
      </c>
      <c r="AZ136" s="4">
        <v>0</v>
      </c>
      <c r="BA136" s="4">
        <v>0</v>
      </c>
      <c r="BB136" s="4">
        <v>490</v>
      </c>
      <c r="BC136" s="4">
        <v>0</v>
      </c>
      <c r="BD136" s="4">
        <v>105</v>
      </c>
      <c r="BE136" s="4">
        <v>0</v>
      </c>
      <c r="BF136" s="4">
        <v>0</v>
      </c>
      <c r="BG136" s="4">
        <v>68</v>
      </c>
      <c r="BH136" s="4">
        <v>1837</v>
      </c>
      <c r="BI136" s="4">
        <v>2335</v>
      </c>
      <c r="BJ136" s="4">
        <v>18057</v>
      </c>
      <c r="BK136" s="4">
        <v>2947</v>
      </c>
      <c r="BL136" s="4">
        <v>4260</v>
      </c>
      <c r="BM136" s="4">
        <v>468</v>
      </c>
      <c r="BN136" s="4">
        <v>0</v>
      </c>
      <c r="BO136" s="4">
        <v>105</v>
      </c>
      <c r="BP136" s="4">
        <v>490</v>
      </c>
      <c r="BQ136" s="4">
        <v>0</v>
      </c>
      <c r="BR136" s="4">
        <v>0</v>
      </c>
      <c r="BS136" s="4">
        <v>0</v>
      </c>
      <c r="BT136" s="4">
        <v>0.17647058823529399</v>
      </c>
      <c r="BU136" s="4">
        <v>49</v>
      </c>
      <c r="BV136" s="4">
        <v>2576</v>
      </c>
      <c r="BW136" s="4">
        <v>2182</v>
      </c>
      <c r="BX136" s="4">
        <v>19532</v>
      </c>
      <c r="BY136" s="4">
        <v>2801</v>
      </c>
      <c r="BZ136" s="4">
        <v>2345</v>
      </c>
      <c r="CA136" s="4">
        <v>468</v>
      </c>
      <c r="CB136">
        <v>14100.701311125033</v>
      </c>
      <c r="CC136">
        <v>3895.7170360106429</v>
      </c>
      <c r="CD136">
        <v>25216.008809320818</v>
      </c>
      <c r="CE136">
        <v>19126.970080635012</v>
      </c>
      <c r="CF136" t="s">
        <v>687</v>
      </c>
      <c r="CG136" t="s">
        <v>687</v>
      </c>
      <c r="CH136">
        <v>19</v>
      </c>
      <c r="CI136">
        <v>4</v>
      </c>
      <c r="CJ136">
        <v>1</v>
      </c>
      <c r="CK136">
        <v>2</v>
      </c>
      <c r="CL136">
        <v>0</v>
      </c>
      <c r="CM136">
        <v>0</v>
      </c>
      <c r="CN136">
        <v>20065297.96573092</v>
      </c>
      <c r="CO136">
        <v>1423</v>
      </c>
      <c r="CP136">
        <v>1036260.731578831</v>
      </c>
      <c r="CQ136">
        <v>266</v>
      </c>
      <c r="CR136">
        <v>2647680.924978686</v>
      </c>
      <c r="CS136">
        <v>105</v>
      </c>
      <c r="CT136">
        <v>5738091.0241905041</v>
      </c>
      <c r="CU136">
        <v>300</v>
      </c>
      <c r="CV136">
        <v>0</v>
      </c>
      <c r="CW136">
        <v>0</v>
      </c>
      <c r="CX136">
        <v>0</v>
      </c>
      <c r="CY136">
        <v>0</v>
      </c>
      <c r="CZ136" s="246">
        <v>0.21355391333557272</v>
      </c>
      <c r="DA136" s="246">
        <v>9.237784282819185E-2</v>
      </c>
      <c r="DB136" s="123">
        <v>78659194.219999999</v>
      </c>
      <c r="DC136" s="174">
        <v>90.7</v>
      </c>
      <c r="DD136" s="174">
        <v>5.6</v>
      </c>
      <c r="DE136" s="174">
        <v>1.5</v>
      </c>
      <c r="DF136" s="174">
        <v>90.3</v>
      </c>
      <c r="DG136" s="174">
        <v>6.2</v>
      </c>
      <c r="DH136" s="174">
        <v>1.1000000000000001</v>
      </c>
      <c r="DI136" s="174">
        <v>97.8</v>
      </c>
      <c r="DJ136" s="174">
        <v>97.6</v>
      </c>
    </row>
    <row r="137" spans="1:114" x14ac:dyDescent="0.45">
      <c r="A137">
        <v>908</v>
      </c>
      <c r="B137" s="247">
        <v>3.8160610569769101E-3</v>
      </c>
      <c r="C137" s="169">
        <v>8.0641290260644195E-3</v>
      </c>
      <c r="D137" s="169">
        <v>1.6345549350985498E-2</v>
      </c>
      <c r="E137" s="169">
        <v>1.3535002403757299E-2</v>
      </c>
      <c r="F137" s="206">
        <v>5369</v>
      </c>
      <c r="G137" s="206">
        <v>210</v>
      </c>
      <c r="H137" s="206">
        <v>620</v>
      </c>
      <c r="I137" s="206">
        <v>320</v>
      </c>
      <c r="J137" s="189">
        <v>0.10342846622940501</v>
      </c>
      <c r="K137" s="189">
        <v>0.114077462948023</v>
      </c>
      <c r="L137" s="206">
        <v>383</v>
      </c>
      <c r="M137" s="206">
        <v>0</v>
      </c>
      <c r="N137" s="4">
        <v>273</v>
      </c>
      <c r="O137" s="4">
        <v>340</v>
      </c>
      <c r="P137" s="4">
        <v>0</v>
      </c>
      <c r="Q137" s="4">
        <v>61</v>
      </c>
      <c r="R137" s="4">
        <v>0</v>
      </c>
      <c r="S137" s="4">
        <v>7322</v>
      </c>
      <c r="T137" s="4">
        <v>32130</v>
      </c>
      <c r="U137" s="4">
        <v>4680</v>
      </c>
      <c r="V137" s="4">
        <v>959</v>
      </c>
      <c r="W137" s="4">
        <v>0</v>
      </c>
      <c r="X137" s="4">
        <v>0.90949554896142404</v>
      </c>
      <c r="Y137" s="4">
        <v>94</v>
      </c>
      <c r="Z137" s="4">
        <v>75</v>
      </c>
      <c r="AA137" s="4">
        <v>0</v>
      </c>
      <c r="AB137" s="4">
        <v>0</v>
      </c>
      <c r="AC137" s="4">
        <v>0</v>
      </c>
      <c r="AD137" s="4">
        <v>0</v>
      </c>
      <c r="AE137" s="4">
        <v>3505</v>
      </c>
      <c r="AF137" s="4">
        <v>21224</v>
      </c>
      <c r="AG137" s="4">
        <v>4874</v>
      </c>
      <c r="AH137" s="4">
        <v>2789</v>
      </c>
      <c r="AI137" s="4">
        <v>0</v>
      </c>
      <c r="AJ137" s="4">
        <v>1</v>
      </c>
      <c r="AK137" s="4">
        <v>1</v>
      </c>
      <c r="AL137" s="4">
        <v>0</v>
      </c>
      <c r="AM137" s="4">
        <v>0</v>
      </c>
      <c r="AN137" s="4">
        <v>75</v>
      </c>
      <c r="AO137" s="4">
        <v>0</v>
      </c>
      <c r="AP137" s="4">
        <v>0</v>
      </c>
      <c r="AQ137" s="4">
        <v>0</v>
      </c>
      <c r="AR137" s="4">
        <v>0</v>
      </c>
      <c r="AS137" s="4">
        <v>74</v>
      </c>
      <c r="AT137" s="4">
        <v>1705</v>
      </c>
      <c r="AU137" s="4">
        <v>7435</v>
      </c>
      <c r="AV137" s="4">
        <v>9602</v>
      </c>
      <c r="AW137" s="4">
        <v>12954</v>
      </c>
      <c r="AX137" s="4">
        <v>0</v>
      </c>
      <c r="AY137" s="4">
        <v>696</v>
      </c>
      <c r="AZ137" s="4">
        <v>40</v>
      </c>
      <c r="BA137" s="4">
        <v>156</v>
      </c>
      <c r="BB137" s="4">
        <v>180</v>
      </c>
      <c r="BC137" s="4">
        <v>221</v>
      </c>
      <c r="BD137" s="4">
        <v>0</v>
      </c>
      <c r="BE137" s="4">
        <v>77</v>
      </c>
      <c r="BF137" s="4">
        <v>0.32830820770519298</v>
      </c>
      <c r="BG137" s="4">
        <v>39</v>
      </c>
      <c r="BH137" s="4">
        <v>3483</v>
      </c>
      <c r="BI137" s="4">
        <v>3534</v>
      </c>
      <c r="BJ137" s="4">
        <v>20713</v>
      </c>
      <c r="BK137" s="4">
        <v>8112</v>
      </c>
      <c r="BL137" s="4">
        <v>5955</v>
      </c>
      <c r="BM137" s="4">
        <v>3294</v>
      </c>
      <c r="BN137" s="4">
        <v>231</v>
      </c>
      <c r="BO137" s="4">
        <v>56</v>
      </c>
      <c r="BP137" s="4">
        <v>195</v>
      </c>
      <c r="BQ137" s="4">
        <v>75</v>
      </c>
      <c r="BR137" s="4">
        <v>40</v>
      </c>
      <c r="BS137" s="4">
        <v>77</v>
      </c>
      <c r="BT137" s="4">
        <v>0.48073701842546102</v>
      </c>
      <c r="BU137" s="4">
        <v>24</v>
      </c>
      <c r="BV137" s="4">
        <v>4327</v>
      </c>
      <c r="BW137" s="4">
        <v>2990</v>
      </c>
      <c r="BX137" s="4">
        <v>24814</v>
      </c>
      <c r="BY137" s="4">
        <v>4460</v>
      </c>
      <c r="BZ137" s="4">
        <v>5206</v>
      </c>
      <c r="CA137" s="4">
        <v>3294</v>
      </c>
      <c r="CB137">
        <v>17110.765614560569</v>
      </c>
      <c r="CC137">
        <v>9568.4607355849184</v>
      </c>
      <c r="CD137" t="s">
        <v>687</v>
      </c>
      <c r="CE137" t="s">
        <v>687</v>
      </c>
      <c r="CF137" t="s">
        <v>687</v>
      </c>
      <c r="CG137" t="s">
        <v>687</v>
      </c>
      <c r="CH137">
        <v>23</v>
      </c>
      <c r="CI137">
        <v>3</v>
      </c>
      <c r="CJ137">
        <v>0</v>
      </c>
      <c r="CK137">
        <v>0</v>
      </c>
      <c r="CL137">
        <v>0</v>
      </c>
      <c r="CM137">
        <v>0</v>
      </c>
      <c r="CN137">
        <v>30320276.669001326</v>
      </c>
      <c r="CO137">
        <v>1772</v>
      </c>
      <c r="CP137">
        <v>717634.55516886886</v>
      </c>
      <c r="CQ137">
        <v>75</v>
      </c>
      <c r="CR137">
        <v>0</v>
      </c>
      <c r="CS137">
        <v>0</v>
      </c>
      <c r="CT137">
        <v>0</v>
      </c>
      <c r="CU137">
        <v>0</v>
      </c>
      <c r="CV137">
        <v>0</v>
      </c>
      <c r="CW137">
        <v>0</v>
      </c>
      <c r="CX137">
        <v>0</v>
      </c>
      <c r="CY137">
        <v>0</v>
      </c>
      <c r="CZ137" s="246">
        <v>0.17498272287491362</v>
      </c>
      <c r="DA137" s="246">
        <v>2.1656006674082313E-2</v>
      </c>
      <c r="DB137" s="123">
        <v>73509190.739999995</v>
      </c>
      <c r="DC137" s="174">
        <v>94.8</v>
      </c>
      <c r="DD137" s="174">
        <v>3.3</v>
      </c>
      <c r="DE137" s="174">
        <v>0.5</v>
      </c>
      <c r="DF137" s="174">
        <v>96</v>
      </c>
      <c r="DG137" s="174">
        <v>2.7</v>
      </c>
      <c r="DH137" s="174">
        <v>0.2</v>
      </c>
      <c r="DI137" s="174">
        <v>98.6</v>
      </c>
      <c r="DJ137" s="174">
        <v>98.9</v>
      </c>
    </row>
    <row r="138" spans="1:114" x14ac:dyDescent="0.45">
      <c r="A138">
        <v>909</v>
      </c>
      <c r="B138" s="247">
        <v>-1.0462293892810301E-2</v>
      </c>
      <c r="C138" s="169">
        <v>1.06017911447144E-3</v>
      </c>
      <c r="D138" s="169">
        <v>6.6201954904786002E-3</v>
      </c>
      <c r="E138" s="169">
        <v>1.0008177888547101E-2</v>
      </c>
      <c r="F138" s="206">
        <v>3537</v>
      </c>
      <c r="G138" s="206">
        <v>2097</v>
      </c>
      <c r="H138" s="206">
        <v>20</v>
      </c>
      <c r="I138" s="206">
        <v>140</v>
      </c>
      <c r="J138" s="189">
        <v>0.17089965969402801</v>
      </c>
      <c r="K138" s="189">
        <v>0.20419764867228701</v>
      </c>
      <c r="L138" s="206">
        <v>150</v>
      </c>
      <c r="M138" s="206">
        <v>0</v>
      </c>
      <c r="N138" s="4">
        <v>0</v>
      </c>
      <c r="O138" s="4">
        <v>140</v>
      </c>
      <c r="P138" s="4">
        <v>0</v>
      </c>
      <c r="Q138" s="4">
        <v>0</v>
      </c>
      <c r="R138" s="4">
        <v>0</v>
      </c>
      <c r="S138" s="4">
        <v>4371</v>
      </c>
      <c r="T138" s="4">
        <v>33030</v>
      </c>
      <c r="U138" s="4">
        <v>3338</v>
      </c>
      <c r="V138" s="4">
        <v>582</v>
      </c>
      <c r="W138" s="4">
        <v>0</v>
      </c>
      <c r="X138" s="4">
        <v>1</v>
      </c>
      <c r="Y138" s="4">
        <v>1</v>
      </c>
      <c r="Z138" s="4">
        <v>0</v>
      </c>
      <c r="AA138" s="4">
        <v>250</v>
      </c>
      <c r="AB138" s="4">
        <v>0</v>
      </c>
      <c r="AC138" s="4">
        <v>0</v>
      </c>
      <c r="AD138" s="4">
        <v>0</v>
      </c>
      <c r="AE138" s="4">
        <v>6656</v>
      </c>
      <c r="AF138" s="4">
        <v>18671</v>
      </c>
      <c r="AG138" s="4">
        <v>9923</v>
      </c>
      <c r="AH138" s="4">
        <v>0</v>
      </c>
      <c r="AI138" s="4">
        <v>300</v>
      </c>
      <c r="AJ138" s="4">
        <v>1</v>
      </c>
      <c r="AK138" s="4">
        <v>1</v>
      </c>
      <c r="AL138" s="4">
        <v>0</v>
      </c>
      <c r="AM138" s="4">
        <v>0</v>
      </c>
      <c r="AN138" s="4">
        <v>0</v>
      </c>
      <c r="AO138" s="4">
        <v>200</v>
      </c>
      <c r="AP138" s="4">
        <v>50</v>
      </c>
      <c r="AQ138" s="4">
        <v>0</v>
      </c>
      <c r="AR138" s="4">
        <v>0</v>
      </c>
      <c r="AS138" s="4">
        <v>74</v>
      </c>
      <c r="AT138" s="4">
        <v>1803</v>
      </c>
      <c r="AU138" s="4">
        <v>4715</v>
      </c>
      <c r="AV138" s="4">
        <v>12644</v>
      </c>
      <c r="AW138" s="4">
        <v>9191</v>
      </c>
      <c r="AX138" s="4">
        <v>6337</v>
      </c>
      <c r="AY138" s="4">
        <v>860</v>
      </c>
      <c r="AZ138" s="4">
        <v>28</v>
      </c>
      <c r="BA138" s="4">
        <v>70</v>
      </c>
      <c r="BB138" s="4">
        <v>42</v>
      </c>
      <c r="BC138" s="4">
        <v>0</v>
      </c>
      <c r="BD138" s="4">
        <v>0</v>
      </c>
      <c r="BE138" s="4">
        <v>0</v>
      </c>
      <c r="BF138" s="4">
        <v>0.7</v>
      </c>
      <c r="BG138" s="4">
        <v>18</v>
      </c>
      <c r="BH138" s="4">
        <v>2736</v>
      </c>
      <c r="BI138" s="4">
        <v>3583</v>
      </c>
      <c r="BJ138" s="4">
        <v>21098</v>
      </c>
      <c r="BK138" s="4">
        <v>3049</v>
      </c>
      <c r="BL138" s="4">
        <v>5370</v>
      </c>
      <c r="BM138" s="4">
        <v>5485</v>
      </c>
      <c r="BN138" s="4">
        <v>28</v>
      </c>
      <c r="BO138" s="4">
        <v>0</v>
      </c>
      <c r="BP138" s="4">
        <v>112</v>
      </c>
      <c r="BQ138" s="4">
        <v>0</v>
      </c>
      <c r="BR138" s="4">
        <v>0</v>
      </c>
      <c r="BS138" s="4">
        <v>0</v>
      </c>
      <c r="BT138" s="4">
        <v>0.2</v>
      </c>
      <c r="BU138" s="4">
        <v>45</v>
      </c>
      <c r="BV138" s="4">
        <v>4808</v>
      </c>
      <c r="BW138" s="4">
        <v>1869</v>
      </c>
      <c r="BX138" s="4">
        <v>24589</v>
      </c>
      <c r="BY138" s="4">
        <v>717</v>
      </c>
      <c r="BZ138" s="4">
        <v>3923</v>
      </c>
      <c r="CA138" s="4">
        <v>5415</v>
      </c>
      <c r="CB138">
        <v>25897.546647068448</v>
      </c>
      <c r="CC138" t="s">
        <v>687</v>
      </c>
      <c r="CD138" t="s">
        <v>687</v>
      </c>
      <c r="CE138" t="s">
        <v>687</v>
      </c>
      <c r="CF138" t="s">
        <v>687</v>
      </c>
      <c r="CG138" t="s">
        <v>687</v>
      </c>
      <c r="CH138">
        <v>4</v>
      </c>
      <c r="CI138">
        <v>0</v>
      </c>
      <c r="CJ138">
        <v>0</v>
      </c>
      <c r="CK138">
        <v>0</v>
      </c>
      <c r="CL138">
        <v>0</v>
      </c>
      <c r="CM138">
        <v>0</v>
      </c>
      <c r="CN138">
        <v>7380800.7944145072</v>
      </c>
      <c r="CO138">
        <v>285</v>
      </c>
      <c r="CP138">
        <v>0</v>
      </c>
      <c r="CQ138">
        <v>0</v>
      </c>
      <c r="CR138">
        <v>0</v>
      </c>
      <c r="CS138">
        <v>0</v>
      </c>
      <c r="CT138">
        <v>0</v>
      </c>
      <c r="CU138">
        <v>0</v>
      </c>
      <c r="CV138">
        <v>0</v>
      </c>
      <c r="CW138">
        <v>0</v>
      </c>
      <c r="CX138">
        <v>0</v>
      </c>
      <c r="CY138">
        <v>0</v>
      </c>
      <c r="CZ138" s="246">
        <v>1.1955543948231334E-2</v>
      </c>
      <c r="DA138" s="246">
        <v>8.7850008187326023E-2</v>
      </c>
      <c r="DB138" s="123">
        <v>24488209.920000002</v>
      </c>
      <c r="DC138" s="174">
        <v>96.8</v>
      </c>
      <c r="DD138" s="174">
        <v>1.8</v>
      </c>
      <c r="DE138" s="174">
        <v>0.3</v>
      </c>
      <c r="DF138" s="174">
        <v>94.3</v>
      </c>
      <c r="DG138" s="174">
        <v>4.0999999999999996</v>
      </c>
      <c r="DH138" s="174">
        <v>0.4</v>
      </c>
      <c r="DI138" s="174">
        <v>98.9</v>
      </c>
      <c r="DJ138" s="174">
        <v>98.7</v>
      </c>
    </row>
    <row r="139" spans="1:114" x14ac:dyDescent="0.45">
      <c r="A139">
        <v>916</v>
      </c>
      <c r="B139" s="247">
        <v>1.3868428805926199E-2</v>
      </c>
      <c r="C139" s="169">
        <v>2.5464034681594301E-3</v>
      </c>
      <c r="D139" s="169">
        <v>2.1267414622118098E-2</v>
      </c>
      <c r="E139" s="169">
        <v>1.09419307113796E-2</v>
      </c>
      <c r="F139" s="206">
        <v>5395</v>
      </c>
      <c r="G139" s="206">
        <v>2497</v>
      </c>
      <c r="H139" s="206">
        <v>500</v>
      </c>
      <c r="I139" s="206">
        <v>410</v>
      </c>
      <c r="J139" s="189">
        <v>9.2396096536365893E-2</v>
      </c>
      <c r="K139" s="189">
        <v>9.1391982836749597E-2</v>
      </c>
      <c r="L139" s="206">
        <v>2434</v>
      </c>
      <c r="M139" s="206">
        <v>1665</v>
      </c>
      <c r="N139" s="4">
        <v>111</v>
      </c>
      <c r="O139" s="4">
        <v>231</v>
      </c>
      <c r="P139" s="4">
        <v>81</v>
      </c>
      <c r="Q139" s="4">
        <v>0</v>
      </c>
      <c r="R139" s="4">
        <v>0</v>
      </c>
      <c r="S139" s="4">
        <v>10697</v>
      </c>
      <c r="T139" s="4">
        <v>32199</v>
      </c>
      <c r="U139" s="4">
        <v>5624</v>
      </c>
      <c r="V139" s="4">
        <v>1310</v>
      </c>
      <c r="W139" s="4">
        <v>630</v>
      </c>
      <c r="X139" s="4">
        <v>0.80851063829787195</v>
      </c>
      <c r="Y139" s="4">
        <v>101</v>
      </c>
      <c r="Z139" s="4">
        <v>69</v>
      </c>
      <c r="AA139" s="4">
        <v>500</v>
      </c>
      <c r="AB139" s="4">
        <v>90</v>
      </c>
      <c r="AC139" s="4">
        <v>150</v>
      </c>
      <c r="AD139" s="4">
        <v>0</v>
      </c>
      <c r="AE139" s="4">
        <v>10415</v>
      </c>
      <c r="AF139" s="4">
        <v>21094</v>
      </c>
      <c r="AG139" s="4">
        <v>7166</v>
      </c>
      <c r="AH139" s="4">
        <v>2458</v>
      </c>
      <c r="AI139" s="4">
        <v>660</v>
      </c>
      <c r="AJ139" s="4">
        <v>0.70333745364647704</v>
      </c>
      <c r="AK139" s="4">
        <v>97</v>
      </c>
      <c r="AL139" s="4">
        <v>0</v>
      </c>
      <c r="AM139" s="4">
        <v>69</v>
      </c>
      <c r="AN139" s="4">
        <v>321</v>
      </c>
      <c r="AO139" s="4">
        <v>269</v>
      </c>
      <c r="AP139" s="4">
        <v>150</v>
      </c>
      <c r="AQ139" s="4">
        <v>0</v>
      </c>
      <c r="AR139" s="4">
        <v>8.5290482076637794E-2</v>
      </c>
      <c r="AS139" s="4">
        <v>71</v>
      </c>
      <c r="AT139" s="4">
        <v>6153</v>
      </c>
      <c r="AU139" s="4">
        <v>6242</v>
      </c>
      <c r="AV139" s="4">
        <v>15830</v>
      </c>
      <c r="AW139" s="4">
        <v>10000</v>
      </c>
      <c r="AX139" s="4">
        <v>2908</v>
      </c>
      <c r="AY139" s="4">
        <v>660</v>
      </c>
      <c r="AZ139" s="4">
        <v>15</v>
      </c>
      <c r="BA139" s="4">
        <v>30</v>
      </c>
      <c r="BB139" s="4">
        <v>206</v>
      </c>
      <c r="BC139" s="4">
        <v>57</v>
      </c>
      <c r="BD139" s="4">
        <v>60</v>
      </c>
      <c r="BE139" s="4">
        <v>55</v>
      </c>
      <c r="BF139" s="4">
        <v>0.122282608695652</v>
      </c>
      <c r="BG139" s="4">
        <v>61</v>
      </c>
      <c r="BH139" s="4">
        <v>3842</v>
      </c>
      <c r="BI139" s="4">
        <v>6595</v>
      </c>
      <c r="BJ139" s="4">
        <v>27096</v>
      </c>
      <c r="BK139" s="4">
        <v>2833</v>
      </c>
      <c r="BL139" s="4">
        <v>4817</v>
      </c>
      <c r="BM139" s="4">
        <v>5277</v>
      </c>
      <c r="BN139" s="4">
        <v>36</v>
      </c>
      <c r="BO139" s="4">
        <v>30</v>
      </c>
      <c r="BP139" s="4">
        <v>302</v>
      </c>
      <c r="BQ139" s="4">
        <v>0</v>
      </c>
      <c r="BR139" s="4">
        <v>0</v>
      </c>
      <c r="BS139" s="4">
        <v>55</v>
      </c>
      <c r="BT139" s="4">
        <v>0.17934782608695701</v>
      </c>
      <c r="BU139" s="4">
        <v>48</v>
      </c>
      <c r="BV139" s="4">
        <v>4283</v>
      </c>
      <c r="BW139" s="4">
        <v>6882</v>
      </c>
      <c r="BX139" s="4">
        <v>28248</v>
      </c>
      <c r="BY139" s="4">
        <v>2855</v>
      </c>
      <c r="BZ139" s="4">
        <v>2915</v>
      </c>
      <c r="CA139" s="4">
        <v>5277</v>
      </c>
      <c r="CB139">
        <v>18132.864171328496</v>
      </c>
      <c r="CC139">
        <v>10281.741043839167</v>
      </c>
      <c r="CD139" t="s">
        <v>687</v>
      </c>
      <c r="CE139" t="s">
        <v>687</v>
      </c>
      <c r="CF139">
        <v>12461.055726187866</v>
      </c>
      <c r="CG139" t="s">
        <v>687</v>
      </c>
      <c r="CH139">
        <v>8</v>
      </c>
      <c r="CI139">
        <v>23</v>
      </c>
      <c r="CJ139">
        <v>0</v>
      </c>
      <c r="CK139">
        <v>0</v>
      </c>
      <c r="CL139">
        <v>2</v>
      </c>
      <c r="CM139">
        <v>0</v>
      </c>
      <c r="CN139">
        <v>13400186.622611757</v>
      </c>
      <c r="CO139">
        <v>739</v>
      </c>
      <c r="CP139">
        <v>4729600.8801660165</v>
      </c>
      <c r="CQ139">
        <v>460</v>
      </c>
      <c r="CR139">
        <v>0</v>
      </c>
      <c r="CS139">
        <v>0</v>
      </c>
      <c r="CT139">
        <v>0</v>
      </c>
      <c r="CU139">
        <v>0</v>
      </c>
      <c r="CV139">
        <v>2866042.8170232093</v>
      </c>
      <c r="CW139">
        <v>230</v>
      </c>
      <c r="CX139">
        <v>0</v>
      </c>
      <c r="CY139">
        <v>0</v>
      </c>
      <c r="CZ139" s="246">
        <v>0.19633583381419503</v>
      </c>
      <c r="DA139" s="246">
        <v>0.32178343949044586</v>
      </c>
      <c r="DB139" s="123">
        <v>120948065.31999999</v>
      </c>
      <c r="DC139" s="174">
        <v>91.3</v>
      </c>
      <c r="DD139" s="174">
        <v>5.0999999999999996</v>
      </c>
      <c r="DE139" s="174">
        <v>1.3</v>
      </c>
      <c r="DF139" s="174">
        <v>84.2</v>
      </c>
      <c r="DG139" s="174">
        <v>8.1</v>
      </c>
      <c r="DH139" s="174">
        <v>2</v>
      </c>
      <c r="DI139" s="174">
        <v>97.7</v>
      </c>
      <c r="DJ139" s="174">
        <v>94.3</v>
      </c>
    </row>
    <row r="140" spans="1:114" x14ac:dyDescent="0.45">
      <c r="A140">
        <v>919</v>
      </c>
      <c r="B140" s="247">
        <v>3.4707310008689297E-2</v>
      </c>
      <c r="C140" s="169">
        <v>5.3933661596236599E-3</v>
      </c>
      <c r="D140" s="169">
        <v>3.1176269828315398E-2</v>
      </c>
      <c r="E140" s="169">
        <v>1.0268433470344699E-2</v>
      </c>
      <c r="F140" s="206">
        <v>16018</v>
      </c>
      <c r="G140" s="206">
        <v>10668</v>
      </c>
      <c r="H140" s="206">
        <v>1120</v>
      </c>
      <c r="I140" s="206">
        <v>1090</v>
      </c>
      <c r="J140" s="189">
        <v>0.100109153175893</v>
      </c>
      <c r="K140" s="189">
        <v>0.117314858992388</v>
      </c>
      <c r="L140" s="206">
        <v>1323</v>
      </c>
      <c r="M140" s="206">
        <v>2679</v>
      </c>
      <c r="N140" s="4">
        <v>195</v>
      </c>
      <c r="O140" s="4">
        <v>354</v>
      </c>
      <c r="P140" s="4">
        <v>18</v>
      </c>
      <c r="Q140" s="4">
        <v>0</v>
      </c>
      <c r="R140" s="4">
        <v>0</v>
      </c>
      <c r="S140" s="4">
        <v>23819</v>
      </c>
      <c r="T140" s="4">
        <v>73999</v>
      </c>
      <c r="U140" s="4">
        <v>8780</v>
      </c>
      <c r="V140" s="4">
        <v>900</v>
      </c>
      <c r="W140" s="4">
        <v>0</v>
      </c>
      <c r="X140" s="4">
        <v>0.96825396825396803</v>
      </c>
      <c r="Y140" s="4">
        <v>86</v>
      </c>
      <c r="Z140" s="4">
        <v>1202</v>
      </c>
      <c r="AA140" s="4">
        <v>1735</v>
      </c>
      <c r="AB140" s="4">
        <v>30</v>
      </c>
      <c r="AC140" s="4">
        <v>0</v>
      </c>
      <c r="AD140" s="4">
        <v>0</v>
      </c>
      <c r="AE140" s="4">
        <v>30145</v>
      </c>
      <c r="AF140" s="4">
        <v>43937</v>
      </c>
      <c r="AG140" s="4">
        <v>12124</v>
      </c>
      <c r="AH140" s="4">
        <v>2962</v>
      </c>
      <c r="AI140" s="4">
        <v>1206</v>
      </c>
      <c r="AJ140" s="4">
        <v>0.98988877654196195</v>
      </c>
      <c r="AK140" s="4">
        <v>77</v>
      </c>
      <c r="AL140" s="4">
        <v>641</v>
      </c>
      <c r="AM140" s="4">
        <v>1115</v>
      </c>
      <c r="AN140" s="4">
        <v>251</v>
      </c>
      <c r="AO140" s="4">
        <v>560</v>
      </c>
      <c r="AP140" s="4">
        <v>400</v>
      </c>
      <c r="AQ140" s="4">
        <v>0</v>
      </c>
      <c r="AR140" s="4">
        <v>0.59184361307718203</v>
      </c>
      <c r="AS140" s="4">
        <v>43</v>
      </c>
      <c r="AT140" s="4">
        <v>18482</v>
      </c>
      <c r="AU140" s="4">
        <v>24741</v>
      </c>
      <c r="AV140" s="4">
        <v>23558</v>
      </c>
      <c r="AW140" s="4">
        <v>11946</v>
      </c>
      <c r="AX140" s="4">
        <v>6621</v>
      </c>
      <c r="AY140" s="4">
        <v>5026</v>
      </c>
      <c r="AZ140" s="4">
        <v>0</v>
      </c>
      <c r="BA140" s="4">
        <v>30</v>
      </c>
      <c r="BB140" s="4">
        <v>343</v>
      </c>
      <c r="BC140" s="4">
        <v>68</v>
      </c>
      <c r="BD140" s="4">
        <v>0</v>
      </c>
      <c r="BE140" s="4">
        <v>126</v>
      </c>
      <c r="BF140" s="4">
        <v>6.8027210884353706E-2</v>
      </c>
      <c r="BG140" s="4">
        <v>66</v>
      </c>
      <c r="BH140" s="4">
        <v>6562</v>
      </c>
      <c r="BI140" s="4">
        <v>9466</v>
      </c>
      <c r="BJ140" s="4">
        <v>53625</v>
      </c>
      <c r="BK140" s="4">
        <v>13707</v>
      </c>
      <c r="BL140" s="4">
        <v>9289</v>
      </c>
      <c r="BM140" s="4">
        <v>14849</v>
      </c>
      <c r="BN140" s="4">
        <v>148</v>
      </c>
      <c r="BO140" s="4">
        <v>0</v>
      </c>
      <c r="BP140" s="4">
        <v>260</v>
      </c>
      <c r="BQ140" s="4">
        <v>33</v>
      </c>
      <c r="BR140" s="4">
        <v>0</v>
      </c>
      <c r="BS140" s="4">
        <v>126</v>
      </c>
      <c r="BT140" s="4">
        <v>0.33560090702947798</v>
      </c>
      <c r="BU140" s="4">
        <v>34</v>
      </c>
      <c r="BV140" s="4">
        <v>7952</v>
      </c>
      <c r="BW140" s="4">
        <v>8717</v>
      </c>
      <c r="BX140" s="4">
        <v>59001</v>
      </c>
      <c r="BY140" s="4">
        <v>9938</v>
      </c>
      <c r="BZ140" s="4">
        <v>7041</v>
      </c>
      <c r="CA140" s="4">
        <v>14849</v>
      </c>
      <c r="CB140">
        <v>22375.096967243648</v>
      </c>
      <c r="CC140">
        <v>6588.3865600549525</v>
      </c>
      <c r="CD140" t="s">
        <v>687</v>
      </c>
      <c r="CE140">
        <v>24906.690733518524</v>
      </c>
      <c r="CF140">
        <v>12784.843693740622</v>
      </c>
      <c r="CG140" t="s">
        <v>687</v>
      </c>
      <c r="CH140">
        <v>16</v>
      </c>
      <c r="CI140">
        <v>30</v>
      </c>
      <c r="CJ140">
        <v>0</v>
      </c>
      <c r="CK140">
        <v>4</v>
      </c>
      <c r="CL140">
        <v>5</v>
      </c>
      <c r="CM140">
        <v>0</v>
      </c>
      <c r="CN140">
        <v>45175320.776864924</v>
      </c>
      <c r="CO140">
        <v>2019</v>
      </c>
      <c r="CP140">
        <v>5185060.2227632478</v>
      </c>
      <c r="CQ140">
        <v>787</v>
      </c>
      <c r="CR140">
        <v>0</v>
      </c>
      <c r="CS140">
        <v>0</v>
      </c>
      <c r="CT140">
        <v>16438415.884122226</v>
      </c>
      <c r="CU140">
        <v>660</v>
      </c>
      <c r="CV140">
        <v>1623675.149105059</v>
      </c>
      <c r="CW140">
        <v>127</v>
      </c>
      <c r="CX140">
        <v>0</v>
      </c>
      <c r="CY140">
        <v>0</v>
      </c>
      <c r="CZ140" s="246">
        <v>0.18778222013170273</v>
      </c>
      <c r="DA140" s="246">
        <v>0.18961212448911435</v>
      </c>
      <c r="DB140" s="123">
        <v>283979768.29999995</v>
      </c>
      <c r="DC140" s="174">
        <v>86.6</v>
      </c>
      <c r="DD140" s="174">
        <v>7.4</v>
      </c>
      <c r="DE140" s="174">
        <v>2.7</v>
      </c>
      <c r="DF140" s="174">
        <v>74.599999999999994</v>
      </c>
      <c r="DG140" s="174">
        <v>11</v>
      </c>
      <c r="DH140" s="174">
        <v>4.5</v>
      </c>
      <c r="DI140" s="174">
        <v>96.7</v>
      </c>
      <c r="DJ140" s="174">
        <v>90.1</v>
      </c>
    </row>
    <row r="141" spans="1:114" x14ac:dyDescent="0.45">
      <c r="A141">
        <v>921</v>
      </c>
      <c r="B141" s="247">
        <v>1.2977181788688199E-3</v>
      </c>
      <c r="C141" s="169">
        <v>2.0547204498756401E-3</v>
      </c>
      <c r="D141" s="169">
        <v>4.2667974497302599E-2</v>
      </c>
      <c r="E141" s="169">
        <v>1.0135687428478E-2</v>
      </c>
      <c r="F141" s="206">
        <v>2162</v>
      </c>
      <c r="G141" s="206">
        <v>0</v>
      </c>
      <c r="H141" s="206">
        <v>60</v>
      </c>
      <c r="I141" s="206">
        <v>0</v>
      </c>
      <c r="J141" s="189">
        <v>0.16541539989106999</v>
      </c>
      <c r="K141" s="189">
        <v>0.20316824654552099</v>
      </c>
      <c r="L141" s="206">
        <v>0</v>
      </c>
      <c r="M141" s="206">
        <v>0</v>
      </c>
      <c r="N141" s="4">
        <v>0</v>
      </c>
      <c r="O141" s="4">
        <v>0</v>
      </c>
      <c r="P141" s="4">
        <v>0</v>
      </c>
      <c r="Q141" s="4">
        <v>0</v>
      </c>
      <c r="R141" s="4">
        <v>0</v>
      </c>
      <c r="S141" s="4">
        <v>210</v>
      </c>
      <c r="T141" s="4">
        <v>7745</v>
      </c>
      <c r="U141" s="4">
        <v>2312</v>
      </c>
      <c r="V141" s="4">
        <v>0</v>
      </c>
      <c r="W141" s="4">
        <v>0</v>
      </c>
      <c r="X141" s="4" t="s">
        <v>709</v>
      </c>
      <c r="Y141" s="4" t="s">
        <v>709</v>
      </c>
      <c r="Z141" s="4">
        <v>0</v>
      </c>
      <c r="AA141" s="4">
        <v>1294</v>
      </c>
      <c r="AB141" s="4">
        <v>0</v>
      </c>
      <c r="AC141" s="4">
        <v>0</v>
      </c>
      <c r="AD141" s="4">
        <v>0</v>
      </c>
      <c r="AE141" s="4">
        <v>0</v>
      </c>
      <c r="AF141" s="4">
        <v>3760</v>
      </c>
      <c r="AG141" s="4">
        <v>2457</v>
      </c>
      <c r="AH141" s="4">
        <v>1437</v>
      </c>
      <c r="AI141" s="4">
        <v>0</v>
      </c>
      <c r="AJ141" s="4">
        <v>1</v>
      </c>
      <c r="AK141" s="4">
        <v>1</v>
      </c>
      <c r="AL141" s="4">
        <v>0</v>
      </c>
      <c r="AM141" s="4">
        <v>0</v>
      </c>
      <c r="AN141" s="4">
        <v>0</v>
      </c>
      <c r="AO141" s="4">
        <v>1294</v>
      </c>
      <c r="AP141" s="4">
        <v>0</v>
      </c>
      <c r="AQ141" s="4">
        <v>0</v>
      </c>
      <c r="AR141" s="4">
        <v>0</v>
      </c>
      <c r="AS141" s="4">
        <v>74</v>
      </c>
      <c r="AT141" s="4">
        <v>0</v>
      </c>
      <c r="AU141" s="4">
        <v>0</v>
      </c>
      <c r="AV141" s="4">
        <v>1585</v>
      </c>
      <c r="AW141" s="4">
        <v>3612</v>
      </c>
      <c r="AX141" s="4">
        <v>2082</v>
      </c>
      <c r="AY141" s="4">
        <v>375</v>
      </c>
      <c r="AZ141" s="4">
        <v>0</v>
      </c>
      <c r="BA141" s="4">
        <v>0</v>
      </c>
      <c r="BB141" s="4">
        <v>0</v>
      </c>
      <c r="BC141" s="4">
        <v>0</v>
      </c>
      <c r="BD141" s="4">
        <v>0</v>
      </c>
      <c r="BE141" s="4">
        <v>0</v>
      </c>
      <c r="BF141" s="4" t="s">
        <v>709</v>
      </c>
      <c r="BG141" s="4" t="s">
        <v>709</v>
      </c>
      <c r="BH141" s="4">
        <v>0</v>
      </c>
      <c r="BI141" s="4">
        <v>420</v>
      </c>
      <c r="BJ141" s="4">
        <v>6892</v>
      </c>
      <c r="BK141" s="4">
        <v>2457</v>
      </c>
      <c r="BL141" s="4">
        <v>420</v>
      </c>
      <c r="BM141" s="4">
        <v>78</v>
      </c>
      <c r="BN141" s="4">
        <v>0</v>
      </c>
      <c r="BO141" s="4">
        <v>0</v>
      </c>
      <c r="BP141" s="4">
        <v>0</v>
      </c>
      <c r="BQ141" s="4">
        <v>0</v>
      </c>
      <c r="BR141" s="4">
        <v>0</v>
      </c>
      <c r="BS141" s="4">
        <v>0</v>
      </c>
      <c r="BT141" s="4" t="s">
        <v>709</v>
      </c>
      <c r="BU141" s="4" t="s">
        <v>709</v>
      </c>
      <c r="BV141" s="4">
        <v>210</v>
      </c>
      <c r="BW141" s="4">
        <v>420</v>
      </c>
      <c r="BX141" s="4">
        <v>8734</v>
      </c>
      <c r="BY141" s="4">
        <v>615</v>
      </c>
      <c r="BZ141" s="4">
        <v>210</v>
      </c>
      <c r="CA141" s="4">
        <v>78</v>
      </c>
      <c r="CB141">
        <v>20257.55090021875</v>
      </c>
      <c r="CC141" t="s">
        <v>687</v>
      </c>
      <c r="CD141" t="s">
        <v>687</v>
      </c>
      <c r="CE141" t="s">
        <v>687</v>
      </c>
      <c r="CF141" t="s">
        <v>687</v>
      </c>
      <c r="CG141" t="s">
        <v>687</v>
      </c>
      <c r="CH141">
        <v>1</v>
      </c>
      <c r="CI141">
        <v>0</v>
      </c>
      <c r="CJ141">
        <v>0</v>
      </c>
      <c r="CK141">
        <v>0</v>
      </c>
      <c r="CL141">
        <v>0</v>
      </c>
      <c r="CM141">
        <v>0</v>
      </c>
      <c r="CN141">
        <v>2430906.1080262498</v>
      </c>
      <c r="CO141">
        <v>120</v>
      </c>
      <c r="CP141">
        <v>0</v>
      </c>
      <c r="CQ141">
        <v>0</v>
      </c>
      <c r="CR141">
        <v>0</v>
      </c>
      <c r="CS141">
        <v>0</v>
      </c>
      <c r="CT141">
        <v>0</v>
      </c>
      <c r="CU141">
        <v>0</v>
      </c>
      <c r="CV141">
        <v>0</v>
      </c>
      <c r="CW141">
        <v>0</v>
      </c>
      <c r="CX141">
        <v>0</v>
      </c>
      <c r="CY141">
        <v>0</v>
      </c>
      <c r="CZ141" s="246">
        <v>1.3416815742397137E-3</v>
      </c>
      <c r="DA141" s="246">
        <v>-0.16355579427957567</v>
      </c>
      <c r="DB141" s="123">
        <v>5743425.3399999999</v>
      </c>
      <c r="DC141" s="174">
        <v>94.8</v>
      </c>
      <c r="DD141" s="174">
        <v>3.2</v>
      </c>
      <c r="DE141" s="174">
        <v>0.5</v>
      </c>
      <c r="DF141" s="174">
        <v>91.7</v>
      </c>
      <c r="DG141" s="174">
        <v>5.9</v>
      </c>
      <c r="DH141" s="174">
        <v>0.1</v>
      </c>
      <c r="DI141" s="174">
        <v>98.4</v>
      </c>
      <c r="DJ141" s="174">
        <v>97.7</v>
      </c>
    </row>
    <row r="142" spans="1:114" x14ac:dyDescent="0.45">
      <c r="A142">
        <v>925</v>
      </c>
      <c r="B142" s="247">
        <v>1.7053906637387501E-2</v>
      </c>
      <c r="C142" s="169">
        <v>7.1367854359991496E-3</v>
      </c>
      <c r="D142" s="169">
        <v>2.5901706345151699E-2</v>
      </c>
      <c r="E142" s="169">
        <v>1.31041177071626E-2</v>
      </c>
      <c r="F142" s="206">
        <v>6755</v>
      </c>
      <c r="G142" s="206">
        <v>1656</v>
      </c>
      <c r="H142" s="206">
        <v>430</v>
      </c>
      <c r="I142" s="206">
        <v>900</v>
      </c>
      <c r="J142" s="189">
        <v>0.13065680360026799</v>
      </c>
      <c r="K142" s="189">
        <v>0.10761031885583</v>
      </c>
      <c r="L142" s="206">
        <v>923</v>
      </c>
      <c r="M142" s="206">
        <v>1290</v>
      </c>
      <c r="N142" s="4">
        <v>60</v>
      </c>
      <c r="O142" s="4">
        <v>322</v>
      </c>
      <c r="P142" s="4">
        <v>132</v>
      </c>
      <c r="Q142" s="4">
        <v>0</v>
      </c>
      <c r="R142" s="4">
        <v>420</v>
      </c>
      <c r="S142" s="4">
        <v>9346</v>
      </c>
      <c r="T142" s="4">
        <v>41948</v>
      </c>
      <c r="U142" s="4">
        <v>7313</v>
      </c>
      <c r="V142" s="4">
        <v>2274</v>
      </c>
      <c r="W142" s="4">
        <v>0</v>
      </c>
      <c r="X142" s="4">
        <v>0.74319066147859902</v>
      </c>
      <c r="Y142" s="4">
        <v>106</v>
      </c>
      <c r="Z142" s="4">
        <v>289</v>
      </c>
      <c r="AA142" s="4">
        <v>470</v>
      </c>
      <c r="AB142" s="4">
        <v>250</v>
      </c>
      <c r="AC142" s="4">
        <v>0</v>
      </c>
      <c r="AD142" s="4">
        <v>0</v>
      </c>
      <c r="AE142" s="4">
        <v>14659</v>
      </c>
      <c r="AF142" s="4">
        <v>24084</v>
      </c>
      <c r="AG142" s="4">
        <v>7235</v>
      </c>
      <c r="AH142" s="4">
        <v>3205</v>
      </c>
      <c r="AI142" s="4">
        <v>0</v>
      </c>
      <c r="AJ142" s="4">
        <v>0.75222993062438104</v>
      </c>
      <c r="AK142" s="4">
        <v>95</v>
      </c>
      <c r="AL142" s="4">
        <v>237</v>
      </c>
      <c r="AM142" s="4">
        <v>116</v>
      </c>
      <c r="AN142" s="4">
        <v>375</v>
      </c>
      <c r="AO142" s="4">
        <v>201</v>
      </c>
      <c r="AP142" s="4">
        <v>80</v>
      </c>
      <c r="AQ142" s="4">
        <v>0</v>
      </c>
      <c r="AR142" s="4">
        <v>0.34985133795837497</v>
      </c>
      <c r="AS142" s="4">
        <v>56</v>
      </c>
      <c r="AT142" s="4">
        <v>5432</v>
      </c>
      <c r="AU142" s="4">
        <v>6626</v>
      </c>
      <c r="AV142" s="4">
        <v>21972</v>
      </c>
      <c r="AW142" s="4">
        <v>10177</v>
      </c>
      <c r="AX142" s="4">
        <v>4336</v>
      </c>
      <c r="AY142" s="4">
        <v>640</v>
      </c>
      <c r="AZ142" s="4">
        <v>0</v>
      </c>
      <c r="BA142" s="4">
        <v>240</v>
      </c>
      <c r="BB142" s="4">
        <v>154</v>
      </c>
      <c r="BC142" s="4">
        <v>70</v>
      </c>
      <c r="BD142" s="4">
        <v>30</v>
      </c>
      <c r="BE142" s="4">
        <v>440</v>
      </c>
      <c r="BF142" s="4">
        <v>0.48582995951417002</v>
      </c>
      <c r="BG142" s="4">
        <v>26</v>
      </c>
      <c r="BH142" s="4">
        <v>2623</v>
      </c>
      <c r="BI142" s="4">
        <v>5633</v>
      </c>
      <c r="BJ142" s="4">
        <v>33276</v>
      </c>
      <c r="BK142" s="4">
        <v>7030</v>
      </c>
      <c r="BL142" s="4">
        <v>6306</v>
      </c>
      <c r="BM142" s="4">
        <v>6013</v>
      </c>
      <c r="BN142" s="4">
        <v>35</v>
      </c>
      <c r="BO142" s="4">
        <v>120</v>
      </c>
      <c r="BP142" s="4">
        <v>239</v>
      </c>
      <c r="BQ142" s="4">
        <v>70</v>
      </c>
      <c r="BR142" s="4">
        <v>30</v>
      </c>
      <c r="BS142" s="4">
        <v>440</v>
      </c>
      <c r="BT142" s="4">
        <v>0.313765182186235</v>
      </c>
      <c r="BU142" s="4">
        <v>37</v>
      </c>
      <c r="BV142" s="4">
        <v>2336</v>
      </c>
      <c r="BW142" s="4">
        <v>2515</v>
      </c>
      <c r="BX142" s="4">
        <v>34659</v>
      </c>
      <c r="BY142" s="4">
        <v>8589</v>
      </c>
      <c r="BZ142" s="4">
        <v>6769</v>
      </c>
      <c r="CA142" s="4">
        <v>6013</v>
      </c>
      <c r="CB142">
        <v>13604.728315736373</v>
      </c>
      <c r="CC142">
        <v>5708.187837762488</v>
      </c>
      <c r="CD142">
        <v>22064.580360039781</v>
      </c>
      <c r="CE142" t="s">
        <v>687</v>
      </c>
      <c r="CF142" t="s">
        <v>687</v>
      </c>
      <c r="CG142" t="s">
        <v>687</v>
      </c>
      <c r="CH142">
        <v>20</v>
      </c>
      <c r="CI142">
        <v>8</v>
      </c>
      <c r="CJ142">
        <v>2</v>
      </c>
      <c r="CK142">
        <v>0</v>
      </c>
      <c r="CL142">
        <v>0</v>
      </c>
      <c r="CM142">
        <v>0</v>
      </c>
      <c r="CN142">
        <v>23196061.778330516</v>
      </c>
      <c r="CO142">
        <v>1705</v>
      </c>
      <c r="CP142">
        <v>958975.55674409796</v>
      </c>
      <c r="CQ142">
        <v>168</v>
      </c>
      <c r="CR142">
        <v>9267123.7512167078</v>
      </c>
      <c r="CS142">
        <v>420</v>
      </c>
      <c r="CT142">
        <v>0</v>
      </c>
      <c r="CU142">
        <v>0</v>
      </c>
      <c r="CV142">
        <v>0</v>
      </c>
      <c r="CW142">
        <v>0</v>
      </c>
      <c r="CX142">
        <v>0</v>
      </c>
      <c r="CY142">
        <v>0</v>
      </c>
      <c r="CZ142" s="246">
        <v>0.14470273690225932</v>
      </c>
      <c r="DA142" s="246">
        <v>0.19145970956322991</v>
      </c>
      <c r="DB142" s="123">
        <v>117739181.55000001</v>
      </c>
      <c r="DC142" s="174">
        <v>94</v>
      </c>
      <c r="DD142" s="174">
        <v>4</v>
      </c>
      <c r="DE142" s="174">
        <v>0.7</v>
      </c>
      <c r="DF142" s="174">
        <v>88.8</v>
      </c>
      <c r="DG142" s="174">
        <v>7.6</v>
      </c>
      <c r="DH142" s="174">
        <v>1.2</v>
      </c>
      <c r="DI142" s="174">
        <v>98.7</v>
      </c>
      <c r="DJ142" s="174">
        <v>97.6</v>
      </c>
    </row>
    <row r="143" spans="1:114" x14ac:dyDescent="0.45">
      <c r="A143">
        <v>926</v>
      </c>
      <c r="B143" s="247">
        <v>6.4892906512588694E-2</v>
      </c>
      <c r="C143" s="169">
        <v>2.0875075718745601E-2</v>
      </c>
      <c r="D143" s="169">
        <v>0.106418086887991</v>
      </c>
      <c r="E143" s="169">
        <v>3.42084523692247E-2</v>
      </c>
      <c r="F143" s="206">
        <v>8123</v>
      </c>
      <c r="G143" s="206">
        <v>3640</v>
      </c>
      <c r="H143" s="206">
        <v>240</v>
      </c>
      <c r="I143" s="206">
        <v>770</v>
      </c>
      <c r="J143" s="189">
        <v>0.13942766134941001</v>
      </c>
      <c r="K143" s="189">
        <v>0.13562016032656701</v>
      </c>
      <c r="L143" s="206">
        <v>2131</v>
      </c>
      <c r="M143" s="206">
        <v>510</v>
      </c>
      <c r="N143" s="4">
        <v>220</v>
      </c>
      <c r="O143" s="4">
        <v>734</v>
      </c>
      <c r="P143" s="4">
        <v>15</v>
      </c>
      <c r="Q143" s="4">
        <v>0</v>
      </c>
      <c r="R143" s="4">
        <v>420</v>
      </c>
      <c r="S143" s="4">
        <v>8885</v>
      </c>
      <c r="T143" s="4">
        <v>50014</v>
      </c>
      <c r="U143" s="4">
        <v>5033</v>
      </c>
      <c r="V143" s="4">
        <v>525</v>
      </c>
      <c r="W143" s="4">
        <v>0</v>
      </c>
      <c r="X143" s="4">
        <v>0.984520123839009</v>
      </c>
      <c r="Y143" s="4">
        <v>85</v>
      </c>
      <c r="Z143" s="4">
        <v>0</v>
      </c>
      <c r="AA143" s="4">
        <v>236</v>
      </c>
      <c r="AB143" s="4">
        <v>150</v>
      </c>
      <c r="AC143" s="4">
        <v>0</v>
      </c>
      <c r="AD143" s="4">
        <v>0</v>
      </c>
      <c r="AE143" s="4">
        <v>7465</v>
      </c>
      <c r="AF143" s="4">
        <v>34528</v>
      </c>
      <c r="AG143" s="4">
        <v>9172</v>
      </c>
      <c r="AH143" s="4">
        <v>0</v>
      </c>
      <c r="AI143" s="4">
        <v>0</v>
      </c>
      <c r="AJ143" s="4">
        <v>0.61139896373057001</v>
      </c>
      <c r="AK143" s="4">
        <v>103</v>
      </c>
      <c r="AL143" s="4">
        <v>0</v>
      </c>
      <c r="AM143" s="4">
        <v>60</v>
      </c>
      <c r="AN143" s="4">
        <v>176</v>
      </c>
      <c r="AO143" s="4">
        <v>150</v>
      </c>
      <c r="AP143" s="4">
        <v>0</v>
      </c>
      <c r="AQ143" s="4">
        <v>0</v>
      </c>
      <c r="AR143" s="4">
        <v>0.15544041450777199</v>
      </c>
      <c r="AS143" s="4">
        <v>69</v>
      </c>
      <c r="AT143" s="4">
        <v>2278</v>
      </c>
      <c r="AU143" s="4">
        <v>11411</v>
      </c>
      <c r="AV143" s="4">
        <v>28127</v>
      </c>
      <c r="AW143" s="4">
        <v>5378</v>
      </c>
      <c r="AX143" s="4">
        <v>3371</v>
      </c>
      <c r="AY143" s="4">
        <v>600</v>
      </c>
      <c r="AZ143" s="4">
        <v>0</v>
      </c>
      <c r="BA143" s="4">
        <v>119</v>
      </c>
      <c r="BB143" s="4">
        <v>319</v>
      </c>
      <c r="BC143" s="4">
        <v>177</v>
      </c>
      <c r="BD143" s="4">
        <v>105</v>
      </c>
      <c r="BE143" s="4">
        <v>669</v>
      </c>
      <c r="BF143" s="4">
        <v>0.165277777777778</v>
      </c>
      <c r="BG143" s="4">
        <v>56</v>
      </c>
      <c r="BH143" s="4">
        <v>1642</v>
      </c>
      <c r="BI143" s="4">
        <v>4564</v>
      </c>
      <c r="BJ143" s="4">
        <v>27361</v>
      </c>
      <c r="BK143" s="4">
        <v>12503</v>
      </c>
      <c r="BL143" s="4">
        <v>6740</v>
      </c>
      <c r="BM143" s="4">
        <v>11647</v>
      </c>
      <c r="BN143" s="4">
        <v>0</v>
      </c>
      <c r="BO143" s="4">
        <v>53</v>
      </c>
      <c r="BP143" s="4">
        <v>453</v>
      </c>
      <c r="BQ143" s="4">
        <v>109</v>
      </c>
      <c r="BR143" s="4">
        <v>105</v>
      </c>
      <c r="BS143" s="4">
        <v>669</v>
      </c>
      <c r="BT143" s="4">
        <v>7.3611111111111099E-2</v>
      </c>
      <c r="BU143" s="4">
        <v>65</v>
      </c>
      <c r="BV143" s="4">
        <v>1480</v>
      </c>
      <c r="BW143" s="4">
        <v>2073</v>
      </c>
      <c r="BX143" s="4">
        <v>33595</v>
      </c>
      <c r="BY143" s="4">
        <v>8475</v>
      </c>
      <c r="BZ143" s="4">
        <v>7187</v>
      </c>
      <c r="CA143" s="4">
        <v>11647</v>
      </c>
      <c r="CB143">
        <v>13334.943541823985</v>
      </c>
      <c r="CC143">
        <v>5634.2267657992552</v>
      </c>
      <c r="CD143" t="s">
        <v>687</v>
      </c>
      <c r="CE143">
        <v>7539.4799054373525</v>
      </c>
      <c r="CF143" t="s">
        <v>687</v>
      </c>
      <c r="CG143" t="s">
        <v>687</v>
      </c>
      <c r="CH143">
        <v>27</v>
      </c>
      <c r="CI143">
        <v>4</v>
      </c>
      <c r="CJ143">
        <v>0</v>
      </c>
      <c r="CK143">
        <v>1</v>
      </c>
      <c r="CL143">
        <v>0</v>
      </c>
      <c r="CM143">
        <v>0</v>
      </c>
      <c r="CN143">
        <v>25856455.527596705</v>
      </c>
      <c r="CO143">
        <v>1939</v>
      </c>
      <c r="CP143">
        <v>845134.01486988831</v>
      </c>
      <c r="CQ143">
        <v>150</v>
      </c>
      <c r="CR143">
        <v>0</v>
      </c>
      <c r="CS143">
        <v>0</v>
      </c>
      <c r="CT143">
        <v>1130921.9858156028</v>
      </c>
      <c r="CU143">
        <v>150</v>
      </c>
      <c r="CV143">
        <v>0</v>
      </c>
      <c r="CW143">
        <v>0</v>
      </c>
      <c r="CX143">
        <v>0</v>
      </c>
      <c r="CY143">
        <v>0</v>
      </c>
      <c r="CZ143" s="246">
        <v>0.16042866855118618</v>
      </c>
      <c r="DA143" s="246">
        <v>4.6629603891591383E-2</v>
      </c>
      <c r="DB143" s="123">
        <v>145422781.15000001</v>
      </c>
      <c r="DC143" s="174">
        <v>93</v>
      </c>
      <c r="DD143" s="174">
        <v>4</v>
      </c>
      <c r="DE143" s="174">
        <v>0.9</v>
      </c>
      <c r="DF143" s="174">
        <v>90.7</v>
      </c>
      <c r="DG143" s="174">
        <v>4.9000000000000004</v>
      </c>
      <c r="DH143" s="174">
        <v>0.8</v>
      </c>
      <c r="DI143" s="174">
        <v>97.9</v>
      </c>
      <c r="DJ143" s="174">
        <v>96.4</v>
      </c>
    </row>
    <row r="144" spans="1:114" x14ac:dyDescent="0.45">
      <c r="A144">
        <v>928</v>
      </c>
      <c r="B144" s="247">
        <v>4.2908673800504102E-2</v>
      </c>
      <c r="C144" s="169">
        <v>4.0146701480598297E-3</v>
      </c>
      <c r="D144" s="169">
        <v>3.66280231860883E-2</v>
      </c>
      <c r="E144" s="169">
        <v>1.5990405756546099E-2</v>
      </c>
      <c r="F144" s="206">
        <v>12283</v>
      </c>
      <c r="G144" s="206">
        <v>5233</v>
      </c>
      <c r="H144" s="206">
        <v>220</v>
      </c>
      <c r="I144" s="206">
        <v>140</v>
      </c>
      <c r="J144" s="189">
        <v>0.11821490230248</v>
      </c>
      <c r="K144" s="189">
        <v>0.102378260278575</v>
      </c>
      <c r="L144" s="206">
        <v>65</v>
      </c>
      <c r="M144" s="206">
        <v>1085</v>
      </c>
      <c r="N144" s="4">
        <v>0</v>
      </c>
      <c r="O144" s="4">
        <v>109</v>
      </c>
      <c r="P144" s="4">
        <v>0</v>
      </c>
      <c r="Q144" s="4">
        <v>0</v>
      </c>
      <c r="R144" s="4">
        <v>630</v>
      </c>
      <c r="S144" s="4">
        <v>5998</v>
      </c>
      <c r="T144" s="4">
        <v>49680</v>
      </c>
      <c r="U144" s="4">
        <v>14038</v>
      </c>
      <c r="V144" s="4">
        <v>194</v>
      </c>
      <c r="W144" s="4">
        <v>420</v>
      </c>
      <c r="X144" s="4">
        <v>1</v>
      </c>
      <c r="Y144" s="4">
        <v>1</v>
      </c>
      <c r="Z144" s="4">
        <v>94</v>
      </c>
      <c r="AA144" s="4">
        <v>0</v>
      </c>
      <c r="AB144" s="4">
        <v>0</v>
      </c>
      <c r="AC144" s="4">
        <v>0</v>
      </c>
      <c r="AD144" s="4">
        <v>0</v>
      </c>
      <c r="AE144" s="4">
        <v>10323</v>
      </c>
      <c r="AF144" s="4">
        <v>26125</v>
      </c>
      <c r="AG144" s="4">
        <v>16137</v>
      </c>
      <c r="AH144" s="4">
        <v>2430</v>
      </c>
      <c r="AI144" s="4">
        <v>0</v>
      </c>
      <c r="AJ144" s="4">
        <v>1</v>
      </c>
      <c r="AK144" s="4">
        <v>1</v>
      </c>
      <c r="AL144" s="4">
        <v>94</v>
      </c>
      <c r="AM144" s="4">
        <v>0</v>
      </c>
      <c r="AN144" s="4">
        <v>0</v>
      </c>
      <c r="AO144" s="4">
        <v>0</v>
      </c>
      <c r="AP144" s="4">
        <v>0</v>
      </c>
      <c r="AQ144" s="4">
        <v>0</v>
      </c>
      <c r="AR144" s="4">
        <v>1</v>
      </c>
      <c r="AS144" s="4">
        <v>1</v>
      </c>
      <c r="AT144" s="4">
        <v>9099</v>
      </c>
      <c r="AU144" s="4">
        <v>7078</v>
      </c>
      <c r="AV144" s="4">
        <v>22470</v>
      </c>
      <c r="AW144" s="4">
        <v>10451</v>
      </c>
      <c r="AX144" s="4">
        <v>1230</v>
      </c>
      <c r="AY144" s="4">
        <v>4687</v>
      </c>
      <c r="AZ144" s="4">
        <v>0</v>
      </c>
      <c r="BA144" s="4">
        <v>0</v>
      </c>
      <c r="BB144" s="4">
        <v>0</v>
      </c>
      <c r="BC144" s="4">
        <v>109</v>
      </c>
      <c r="BD144" s="4">
        <v>0</v>
      </c>
      <c r="BE144" s="4">
        <v>630</v>
      </c>
      <c r="BF144" s="4">
        <v>0</v>
      </c>
      <c r="BG144" s="4">
        <v>68</v>
      </c>
      <c r="BH144" s="4">
        <v>2933</v>
      </c>
      <c r="BI144" s="4">
        <v>4927</v>
      </c>
      <c r="BJ144" s="4">
        <v>34153</v>
      </c>
      <c r="BK144" s="4">
        <v>9919</v>
      </c>
      <c r="BL144" s="4">
        <v>6595</v>
      </c>
      <c r="BM144" s="4">
        <v>11803</v>
      </c>
      <c r="BN144" s="4">
        <v>0</v>
      </c>
      <c r="BO144" s="4">
        <v>0</v>
      </c>
      <c r="BP144" s="4">
        <v>0</v>
      </c>
      <c r="BQ144" s="4">
        <v>0</v>
      </c>
      <c r="BR144" s="4">
        <v>109</v>
      </c>
      <c r="BS144" s="4">
        <v>630</v>
      </c>
      <c r="BT144" s="4">
        <v>0</v>
      </c>
      <c r="BU144" s="4">
        <v>69</v>
      </c>
      <c r="BV144" s="4">
        <v>2672</v>
      </c>
      <c r="BW144" s="4">
        <v>2480</v>
      </c>
      <c r="BX144" s="4">
        <v>39183</v>
      </c>
      <c r="BY144" s="4">
        <v>8184</v>
      </c>
      <c r="BZ144" s="4">
        <v>6008</v>
      </c>
      <c r="CA144" s="4">
        <v>11803</v>
      </c>
      <c r="CB144">
        <v>16488.727452571798</v>
      </c>
      <c r="CC144">
        <v>3470.8302035960137</v>
      </c>
      <c r="CD144">
        <v>19051.282560162628</v>
      </c>
      <c r="CE144" t="s">
        <v>687</v>
      </c>
      <c r="CF144" t="s">
        <v>687</v>
      </c>
      <c r="CG144" t="s">
        <v>687</v>
      </c>
      <c r="CH144">
        <v>16</v>
      </c>
      <c r="CI144">
        <v>4</v>
      </c>
      <c r="CJ144">
        <v>2</v>
      </c>
      <c r="CK144">
        <v>0</v>
      </c>
      <c r="CL144">
        <v>0</v>
      </c>
      <c r="CM144">
        <v>0</v>
      </c>
      <c r="CN144">
        <v>35830004.754438519</v>
      </c>
      <c r="CO144">
        <v>2173</v>
      </c>
      <c r="CP144">
        <v>728874.34275516286</v>
      </c>
      <c r="CQ144">
        <v>210</v>
      </c>
      <c r="CR144">
        <v>12002308.012902455</v>
      </c>
      <c r="CS144">
        <v>630</v>
      </c>
      <c r="CT144">
        <v>0</v>
      </c>
      <c r="CU144">
        <v>0</v>
      </c>
      <c r="CV144">
        <v>0</v>
      </c>
      <c r="CW144">
        <v>0</v>
      </c>
      <c r="CX144">
        <v>0</v>
      </c>
      <c r="CY144">
        <v>0</v>
      </c>
      <c r="CZ144" s="246">
        <v>0.22921191151028822</v>
      </c>
      <c r="DA144" s="246">
        <v>0.30407760223048325</v>
      </c>
      <c r="DB144" s="123">
        <v>106745115.98000002</v>
      </c>
      <c r="DC144" s="174">
        <v>93.1</v>
      </c>
      <c r="DD144" s="174">
        <v>4.5</v>
      </c>
      <c r="DE144" s="174">
        <v>1</v>
      </c>
      <c r="DF144" s="174">
        <v>76.900000000000006</v>
      </c>
      <c r="DG144" s="174">
        <v>13</v>
      </c>
      <c r="DH144" s="174">
        <v>3.9</v>
      </c>
      <c r="DI144" s="174">
        <v>98.6</v>
      </c>
      <c r="DJ144" s="174">
        <v>93.9</v>
      </c>
    </row>
    <row r="145" spans="1:114" x14ac:dyDescent="0.45">
      <c r="A145">
        <v>929</v>
      </c>
      <c r="B145" s="247">
        <v>-2.5600546144984401E-4</v>
      </c>
      <c r="C145" s="169">
        <v>1.0154883304177201E-2</v>
      </c>
      <c r="D145" s="169">
        <v>2.4357326478149099E-2</v>
      </c>
      <c r="E145" s="169">
        <v>6.3624678663239103E-3</v>
      </c>
      <c r="F145" s="206">
        <v>5029</v>
      </c>
      <c r="G145" s="206">
        <v>0</v>
      </c>
      <c r="H145" s="206">
        <v>90</v>
      </c>
      <c r="I145" s="206">
        <v>0</v>
      </c>
      <c r="J145" s="189">
        <v>0.167197819239469</v>
      </c>
      <c r="K145" s="189">
        <v>0.18025604633588399</v>
      </c>
      <c r="L145" s="206">
        <v>0</v>
      </c>
      <c r="M145" s="206">
        <v>0</v>
      </c>
      <c r="N145" s="4">
        <v>0</v>
      </c>
      <c r="O145" s="4">
        <v>559</v>
      </c>
      <c r="P145" s="4">
        <v>59</v>
      </c>
      <c r="Q145" s="4">
        <v>0</v>
      </c>
      <c r="R145" s="4">
        <v>0</v>
      </c>
      <c r="S145" s="4">
        <v>3325</v>
      </c>
      <c r="T145" s="4">
        <v>18661</v>
      </c>
      <c r="U145" s="4">
        <v>2679</v>
      </c>
      <c r="V145" s="4">
        <v>0</v>
      </c>
      <c r="W145" s="4">
        <v>1470</v>
      </c>
      <c r="X145" s="4">
        <v>0.90453074433656999</v>
      </c>
      <c r="Y145" s="4">
        <v>96</v>
      </c>
      <c r="Z145" s="4">
        <v>0</v>
      </c>
      <c r="AA145" s="4">
        <v>44</v>
      </c>
      <c r="AB145" s="4">
        <v>24</v>
      </c>
      <c r="AC145" s="4">
        <v>0</v>
      </c>
      <c r="AD145" s="4">
        <v>0</v>
      </c>
      <c r="AE145" s="4">
        <v>1758</v>
      </c>
      <c r="AF145" s="4">
        <v>11397</v>
      </c>
      <c r="AG145" s="4">
        <v>5429</v>
      </c>
      <c r="AH145" s="4">
        <v>1820</v>
      </c>
      <c r="AI145" s="4">
        <v>0</v>
      </c>
      <c r="AJ145" s="4">
        <v>0.64705882352941202</v>
      </c>
      <c r="AK145" s="4">
        <v>101</v>
      </c>
      <c r="AL145" s="4">
        <v>0</v>
      </c>
      <c r="AM145" s="4">
        <v>0</v>
      </c>
      <c r="AN145" s="4">
        <v>0</v>
      </c>
      <c r="AO145" s="4">
        <v>0</v>
      </c>
      <c r="AP145" s="4">
        <v>0</v>
      </c>
      <c r="AQ145" s="4">
        <v>68</v>
      </c>
      <c r="AR145" s="4" t="s">
        <v>709</v>
      </c>
      <c r="AS145" s="4" t="s">
        <v>709</v>
      </c>
      <c r="AT145" s="4">
        <v>0</v>
      </c>
      <c r="AU145" s="4">
        <v>0</v>
      </c>
      <c r="AV145" s="4">
        <v>5100</v>
      </c>
      <c r="AW145" s="4">
        <v>2769</v>
      </c>
      <c r="AX145" s="4">
        <v>2715</v>
      </c>
      <c r="AY145" s="4">
        <v>9820</v>
      </c>
      <c r="AZ145" s="4">
        <v>0</v>
      </c>
      <c r="BA145" s="4">
        <v>162</v>
      </c>
      <c r="BB145" s="4">
        <v>181</v>
      </c>
      <c r="BC145" s="4">
        <v>0</v>
      </c>
      <c r="BD145" s="4">
        <v>23</v>
      </c>
      <c r="BE145" s="4">
        <v>252</v>
      </c>
      <c r="BF145" s="4">
        <v>0.44262295081967201</v>
      </c>
      <c r="BG145" s="4">
        <v>28</v>
      </c>
      <c r="BH145" s="4">
        <v>210</v>
      </c>
      <c r="BI145" s="4">
        <v>3234</v>
      </c>
      <c r="BJ145" s="4">
        <v>6431</v>
      </c>
      <c r="BK145" s="4">
        <v>945</v>
      </c>
      <c r="BL145" s="4">
        <v>2203</v>
      </c>
      <c r="BM145" s="4">
        <v>13112</v>
      </c>
      <c r="BN145" s="4">
        <v>0</v>
      </c>
      <c r="BO145" s="4">
        <v>0</v>
      </c>
      <c r="BP145" s="4">
        <v>366</v>
      </c>
      <c r="BQ145" s="4">
        <v>0</v>
      </c>
      <c r="BR145" s="4">
        <v>0</v>
      </c>
      <c r="BS145" s="4">
        <v>252</v>
      </c>
      <c r="BT145" s="4">
        <v>0</v>
      </c>
      <c r="BU145" s="4">
        <v>69</v>
      </c>
      <c r="BV145" s="4">
        <v>1344</v>
      </c>
      <c r="BW145" s="4">
        <v>1470</v>
      </c>
      <c r="BX145" s="4">
        <v>6856</v>
      </c>
      <c r="BY145" s="4">
        <v>1050</v>
      </c>
      <c r="BZ145" s="4">
        <v>2303</v>
      </c>
      <c r="CA145" s="4">
        <v>13112</v>
      </c>
      <c r="CB145">
        <v>13661.889060377116</v>
      </c>
      <c r="CC145" t="s">
        <v>687</v>
      </c>
      <c r="CD145" t="s">
        <v>687</v>
      </c>
      <c r="CE145" t="s">
        <v>687</v>
      </c>
      <c r="CF145" t="s">
        <v>687</v>
      </c>
      <c r="CG145" t="s">
        <v>687</v>
      </c>
      <c r="CH145">
        <v>5</v>
      </c>
      <c r="CI145">
        <v>0</v>
      </c>
      <c r="CJ145">
        <v>0</v>
      </c>
      <c r="CK145">
        <v>0</v>
      </c>
      <c r="CL145">
        <v>0</v>
      </c>
      <c r="CM145">
        <v>0</v>
      </c>
      <c r="CN145">
        <v>7213477.4238791177</v>
      </c>
      <c r="CO145">
        <v>528</v>
      </c>
      <c r="CP145">
        <v>0</v>
      </c>
      <c r="CQ145">
        <v>0</v>
      </c>
      <c r="CR145">
        <v>0</v>
      </c>
      <c r="CS145">
        <v>0</v>
      </c>
      <c r="CT145">
        <v>0</v>
      </c>
      <c r="CU145">
        <v>0</v>
      </c>
      <c r="CV145">
        <v>0</v>
      </c>
      <c r="CW145">
        <v>0</v>
      </c>
      <c r="CX145">
        <v>0</v>
      </c>
      <c r="CY145">
        <v>0</v>
      </c>
      <c r="CZ145" s="246">
        <v>0.13304741711642251</v>
      </c>
      <c r="DA145" s="246">
        <v>-2.4582223298619522E-2</v>
      </c>
      <c r="DB145" s="123">
        <v>18313907.600000001</v>
      </c>
      <c r="DC145" s="174">
        <v>98.2</v>
      </c>
      <c r="DD145" s="174">
        <v>1.5</v>
      </c>
      <c r="DE145" s="174">
        <v>0.1</v>
      </c>
      <c r="DF145" s="174">
        <v>98.4</v>
      </c>
      <c r="DG145" s="174">
        <v>0.6</v>
      </c>
      <c r="DH145" s="174">
        <v>0.1</v>
      </c>
      <c r="DI145" s="174">
        <v>99.8</v>
      </c>
      <c r="DJ145" s="174">
        <v>99.1</v>
      </c>
    </row>
    <row r="146" spans="1:114" x14ac:dyDescent="0.45">
      <c r="A146">
        <v>931</v>
      </c>
      <c r="B146" s="247">
        <v>3.3451577220887201E-2</v>
      </c>
      <c r="C146" s="169">
        <v>9.8981576839455299E-3</v>
      </c>
      <c r="D146" s="169">
        <v>1.76044396485278E-2</v>
      </c>
      <c r="E146" s="169">
        <v>1.41513796824418E-2</v>
      </c>
      <c r="F146" s="206">
        <v>10305</v>
      </c>
      <c r="G146" s="206">
        <v>6337</v>
      </c>
      <c r="H146" s="206">
        <v>240</v>
      </c>
      <c r="I146" s="206">
        <v>350</v>
      </c>
      <c r="J146" s="189">
        <v>0.12887477309984399</v>
      </c>
      <c r="K146" s="189">
        <v>0.16024790724426899</v>
      </c>
      <c r="L146" s="206">
        <v>1995</v>
      </c>
      <c r="M146" s="206">
        <v>1450</v>
      </c>
      <c r="N146" s="4">
        <v>0</v>
      </c>
      <c r="O146" s="4">
        <v>261</v>
      </c>
      <c r="P146" s="4">
        <v>20</v>
      </c>
      <c r="Q146" s="4">
        <v>0</v>
      </c>
      <c r="R146" s="4">
        <v>0</v>
      </c>
      <c r="S146" s="4">
        <v>5943</v>
      </c>
      <c r="T146" s="4">
        <v>45155</v>
      </c>
      <c r="U146" s="4">
        <v>4148</v>
      </c>
      <c r="V146" s="4">
        <v>1435</v>
      </c>
      <c r="W146" s="4">
        <v>0</v>
      </c>
      <c r="X146" s="4">
        <v>0.92882562277580105</v>
      </c>
      <c r="Y146" s="4">
        <v>90</v>
      </c>
      <c r="Z146" s="4">
        <v>0</v>
      </c>
      <c r="AA146" s="4">
        <v>290</v>
      </c>
      <c r="AB146" s="4">
        <v>0</v>
      </c>
      <c r="AC146" s="4">
        <v>0</v>
      </c>
      <c r="AD146" s="4">
        <v>0</v>
      </c>
      <c r="AE146" s="4">
        <v>6889</v>
      </c>
      <c r="AF146" s="4">
        <v>32315</v>
      </c>
      <c r="AG146" s="4">
        <v>4654</v>
      </c>
      <c r="AH146" s="4">
        <v>1275</v>
      </c>
      <c r="AI146" s="4">
        <v>0</v>
      </c>
      <c r="AJ146" s="4">
        <v>1</v>
      </c>
      <c r="AK146" s="4">
        <v>1</v>
      </c>
      <c r="AL146" s="4">
        <v>0</v>
      </c>
      <c r="AM146" s="4">
        <v>0</v>
      </c>
      <c r="AN146" s="4">
        <v>150</v>
      </c>
      <c r="AO146" s="4">
        <v>0</v>
      </c>
      <c r="AP146" s="4">
        <v>0</v>
      </c>
      <c r="AQ146" s="4">
        <v>140</v>
      </c>
      <c r="AR146" s="4">
        <v>0</v>
      </c>
      <c r="AS146" s="4">
        <v>74</v>
      </c>
      <c r="AT146" s="4">
        <v>6389</v>
      </c>
      <c r="AU146" s="4">
        <v>4452</v>
      </c>
      <c r="AV146" s="4">
        <v>28036</v>
      </c>
      <c r="AW146" s="4">
        <v>2281</v>
      </c>
      <c r="AX146" s="4">
        <v>1322</v>
      </c>
      <c r="AY146" s="4">
        <v>2653</v>
      </c>
      <c r="AZ146" s="4">
        <v>0</v>
      </c>
      <c r="BA146" s="4">
        <v>0</v>
      </c>
      <c r="BB146" s="4">
        <v>191</v>
      </c>
      <c r="BC146" s="4">
        <v>15</v>
      </c>
      <c r="BD146" s="4">
        <v>75</v>
      </c>
      <c r="BE146" s="4">
        <v>0</v>
      </c>
      <c r="BF146" s="4">
        <v>0</v>
      </c>
      <c r="BG146" s="4">
        <v>68</v>
      </c>
      <c r="BH146" s="4">
        <v>2593</v>
      </c>
      <c r="BI146" s="4">
        <v>2833</v>
      </c>
      <c r="BJ146" s="4">
        <v>32671</v>
      </c>
      <c r="BK146" s="4">
        <v>9000</v>
      </c>
      <c r="BL146" s="4">
        <v>6592</v>
      </c>
      <c r="BM146" s="4">
        <v>2992</v>
      </c>
      <c r="BN146" s="4">
        <v>0</v>
      </c>
      <c r="BO146" s="4">
        <v>0</v>
      </c>
      <c r="BP146" s="4">
        <v>281</v>
      </c>
      <c r="BQ146" s="4">
        <v>0</v>
      </c>
      <c r="BR146" s="4">
        <v>0</v>
      </c>
      <c r="BS146" s="4">
        <v>0</v>
      </c>
      <c r="BT146" s="4">
        <v>0</v>
      </c>
      <c r="BU146" s="4">
        <v>69</v>
      </c>
      <c r="BV146" s="4">
        <v>4493</v>
      </c>
      <c r="BW146" s="4">
        <v>4924</v>
      </c>
      <c r="BX146" s="4">
        <v>34527</v>
      </c>
      <c r="BY146" s="4">
        <v>4825</v>
      </c>
      <c r="BZ146" s="4">
        <v>4920</v>
      </c>
      <c r="CA146" s="4">
        <v>2992</v>
      </c>
      <c r="CB146">
        <v>18725.675808065062</v>
      </c>
      <c r="CC146" t="s">
        <v>687</v>
      </c>
      <c r="CD146">
        <v>24487.005673682517</v>
      </c>
      <c r="CE146">
        <v>18578.771003482147</v>
      </c>
      <c r="CF146" t="s">
        <v>687</v>
      </c>
      <c r="CG146">
        <v>20981.261386861988</v>
      </c>
      <c r="CH146">
        <v>26</v>
      </c>
      <c r="CI146">
        <v>0</v>
      </c>
      <c r="CJ146">
        <v>3</v>
      </c>
      <c r="CK146">
        <v>4</v>
      </c>
      <c r="CL146">
        <v>0</v>
      </c>
      <c r="CM146">
        <v>1</v>
      </c>
      <c r="CN146">
        <v>36402713.770878479</v>
      </c>
      <c r="CO146">
        <v>1944</v>
      </c>
      <c r="CP146">
        <v>0</v>
      </c>
      <c r="CQ146">
        <v>0</v>
      </c>
      <c r="CR146">
        <v>26641862.172966577</v>
      </c>
      <c r="CS146">
        <v>1088</v>
      </c>
      <c r="CT146">
        <v>13934078.252611609</v>
      </c>
      <c r="CU146">
        <v>750</v>
      </c>
      <c r="CV146">
        <v>0</v>
      </c>
      <c r="CW146">
        <v>0</v>
      </c>
      <c r="CX146">
        <v>23918637.981022667</v>
      </c>
      <c r="CY146">
        <v>1140</v>
      </c>
      <c r="CZ146" s="246">
        <v>0.22490430780804035</v>
      </c>
      <c r="DA146" s="246">
        <v>0.23013233797081778</v>
      </c>
      <c r="DB146" s="123">
        <v>98809779.25</v>
      </c>
      <c r="DC146" s="174">
        <v>93.3</v>
      </c>
      <c r="DD146" s="174">
        <v>4.4000000000000004</v>
      </c>
      <c r="DE146" s="174">
        <v>1</v>
      </c>
      <c r="DF146" s="174">
        <v>85.5</v>
      </c>
      <c r="DG146" s="174">
        <v>6.7</v>
      </c>
      <c r="DH146" s="174">
        <v>1.8</v>
      </c>
      <c r="DI146" s="174">
        <v>98.7</v>
      </c>
      <c r="DJ146" s="174">
        <v>94</v>
      </c>
    </row>
    <row r="147" spans="1:114" x14ac:dyDescent="0.45">
      <c r="A147">
        <v>933</v>
      </c>
      <c r="B147" s="247">
        <v>-1.23146761964553E-3</v>
      </c>
      <c r="C147" s="169">
        <v>1.2073211957309099E-4</v>
      </c>
      <c r="D147" s="169">
        <v>2.7724175954003099E-2</v>
      </c>
      <c r="E147" s="169">
        <v>1.0239042255739799E-2</v>
      </c>
      <c r="F147" s="206">
        <v>3950</v>
      </c>
      <c r="G147" s="206">
        <v>1972</v>
      </c>
      <c r="H147" s="206">
        <v>60</v>
      </c>
      <c r="I147" s="206">
        <v>90</v>
      </c>
      <c r="J147" s="189">
        <v>0.12158205952911</v>
      </c>
      <c r="K147" s="189">
        <v>0.14513761197185701</v>
      </c>
      <c r="L147" s="206">
        <v>1260</v>
      </c>
      <c r="M147" s="206">
        <v>691</v>
      </c>
      <c r="N147" s="4">
        <v>0</v>
      </c>
      <c r="O147" s="4">
        <v>105</v>
      </c>
      <c r="P147" s="4">
        <v>0</v>
      </c>
      <c r="Q147" s="4">
        <v>0</v>
      </c>
      <c r="R147" s="4">
        <v>0</v>
      </c>
      <c r="S147" s="4">
        <v>6668</v>
      </c>
      <c r="T147" s="4">
        <v>29451</v>
      </c>
      <c r="U147" s="4">
        <v>6453</v>
      </c>
      <c r="V147" s="4">
        <v>1047</v>
      </c>
      <c r="W147" s="4">
        <v>420</v>
      </c>
      <c r="X147" s="4">
        <v>1</v>
      </c>
      <c r="Y147" s="4">
        <v>1</v>
      </c>
      <c r="Z147" s="4">
        <v>225</v>
      </c>
      <c r="AA147" s="4">
        <v>0</v>
      </c>
      <c r="AB147" s="4">
        <v>0</v>
      </c>
      <c r="AC147" s="4">
        <v>63</v>
      </c>
      <c r="AD147" s="4">
        <v>0</v>
      </c>
      <c r="AE147" s="4">
        <v>4001</v>
      </c>
      <c r="AF147" s="4">
        <v>22145</v>
      </c>
      <c r="AG147" s="4">
        <v>3171</v>
      </c>
      <c r="AH147" s="4">
        <v>862</v>
      </c>
      <c r="AI147" s="4">
        <v>0</v>
      </c>
      <c r="AJ147" s="4">
        <v>0.78125</v>
      </c>
      <c r="AK147" s="4">
        <v>93</v>
      </c>
      <c r="AL147" s="4">
        <v>0</v>
      </c>
      <c r="AM147" s="4">
        <v>0</v>
      </c>
      <c r="AN147" s="4">
        <v>288</v>
      </c>
      <c r="AO147" s="4">
        <v>0</v>
      </c>
      <c r="AP147" s="4">
        <v>0</v>
      </c>
      <c r="AQ147" s="4">
        <v>0</v>
      </c>
      <c r="AR147" s="4">
        <v>0</v>
      </c>
      <c r="AS147" s="4">
        <v>74</v>
      </c>
      <c r="AT147" s="4">
        <v>0</v>
      </c>
      <c r="AU147" s="4">
        <v>1498</v>
      </c>
      <c r="AV147" s="4">
        <v>11119</v>
      </c>
      <c r="AW147" s="4">
        <v>6205</v>
      </c>
      <c r="AX147" s="4">
        <v>3860</v>
      </c>
      <c r="AY147" s="4">
        <v>7497</v>
      </c>
      <c r="AZ147" s="4">
        <v>0</v>
      </c>
      <c r="BA147" s="4">
        <v>60</v>
      </c>
      <c r="BB147" s="4">
        <v>30</v>
      </c>
      <c r="BC147" s="4">
        <v>0</v>
      </c>
      <c r="BD147" s="4">
        <v>0</v>
      </c>
      <c r="BE147" s="4">
        <v>15</v>
      </c>
      <c r="BF147" s="4">
        <v>0.66666666666666696</v>
      </c>
      <c r="BG147" s="4">
        <v>19</v>
      </c>
      <c r="BH147" s="4">
        <v>1290</v>
      </c>
      <c r="BI147" s="4">
        <v>2850</v>
      </c>
      <c r="BJ147" s="4">
        <v>17430</v>
      </c>
      <c r="BK147" s="4">
        <v>3291</v>
      </c>
      <c r="BL147" s="4">
        <v>5416</v>
      </c>
      <c r="BM147" s="4">
        <v>13762</v>
      </c>
      <c r="BN147" s="4">
        <v>60</v>
      </c>
      <c r="BO147" s="4">
        <v>0</v>
      </c>
      <c r="BP147" s="4">
        <v>30</v>
      </c>
      <c r="BQ147" s="4">
        <v>0</v>
      </c>
      <c r="BR147" s="4">
        <v>0</v>
      </c>
      <c r="BS147" s="4">
        <v>15</v>
      </c>
      <c r="BT147" s="4">
        <v>0.66666666666666696</v>
      </c>
      <c r="BU147" s="4">
        <v>15</v>
      </c>
      <c r="BV147" s="4">
        <v>1319</v>
      </c>
      <c r="BW147" s="4">
        <v>1943</v>
      </c>
      <c r="BX147" s="4">
        <v>19148</v>
      </c>
      <c r="BY147" s="4">
        <v>3151</v>
      </c>
      <c r="BZ147" s="4">
        <v>4716</v>
      </c>
      <c r="CA147" s="4">
        <v>13762</v>
      </c>
      <c r="CB147">
        <v>14623.685979417498</v>
      </c>
      <c r="CC147">
        <v>7985.2815884758111</v>
      </c>
      <c r="CD147">
        <v>20799.883773184742</v>
      </c>
      <c r="CE147">
        <v>6708.1346300677133</v>
      </c>
      <c r="CF147" t="s">
        <v>687</v>
      </c>
      <c r="CG147" t="s">
        <v>687</v>
      </c>
      <c r="CH147">
        <v>8</v>
      </c>
      <c r="CI147">
        <v>4</v>
      </c>
      <c r="CJ147">
        <v>1</v>
      </c>
      <c r="CK147">
        <v>1</v>
      </c>
      <c r="CL147">
        <v>0</v>
      </c>
      <c r="CM147">
        <v>0</v>
      </c>
      <c r="CN147">
        <v>8891201.0754858386</v>
      </c>
      <c r="CO147">
        <v>608</v>
      </c>
      <c r="CP147">
        <v>958233.79061709729</v>
      </c>
      <c r="CQ147">
        <v>120</v>
      </c>
      <c r="CR147">
        <v>4284776.0572760571</v>
      </c>
      <c r="CS147">
        <v>206</v>
      </c>
      <c r="CT147">
        <v>1006220.194510157</v>
      </c>
      <c r="CU147">
        <v>150</v>
      </c>
      <c r="CV147">
        <v>0</v>
      </c>
      <c r="CW147">
        <v>0</v>
      </c>
      <c r="CX147">
        <v>0</v>
      </c>
      <c r="CY147">
        <v>0</v>
      </c>
      <c r="CZ147" s="246">
        <v>0.11662598318416056</v>
      </c>
      <c r="DA147" s="246">
        <v>-7.4725274725274725E-3</v>
      </c>
      <c r="DB147" s="123">
        <v>52166213.619999997</v>
      </c>
      <c r="DC147" s="174">
        <v>92</v>
      </c>
      <c r="DD147" s="174">
        <v>4.5999999999999996</v>
      </c>
      <c r="DE147" s="174">
        <v>0.9</v>
      </c>
      <c r="DF147" s="174">
        <v>93.8</v>
      </c>
      <c r="DG147" s="174">
        <v>2.7</v>
      </c>
      <c r="DH147" s="174">
        <v>0.5</v>
      </c>
      <c r="DI147" s="174">
        <v>97.5</v>
      </c>
      <c r="DJ147" s="174">
        <v>97</v>
      </c>
    </row>
    <row r="148" spans="1:114" x14ac:dyDescent="0.45">
      <c r="A148">
        <v>935</v>
      </c>
      <c r="B148" s="247">
        <v>2.6157085251400598E-2</v>
      </c>
      <c r="C148" s="169">
        <v>1.4862791278592601E-2</v>
      </c>
      <c r="D148" s="169">
        <v>5.0141704817963803E-2</v>
      </c>
      <c r="E148" s="169">
        <v>2.3899062568127301E-2</v>
      </c>
      <c r="F148" s="206">
        <v>12711</v>
      </c>
      <c r="G148" s="206">
        <v>0</v>
      </c>
      <c r="H148" s="206">
        <v>150</v>
      </c>
      <c r="I148" s="206">
        <v>410</v>
      </c>
      <c r="J148" s="189">
        <v>0.115064115862119</v>
      </c>
      <c r="K148" s="189">
        <v>0.12487170162266099</v>
      </c>
      <c r="L148" s="206">
        <v>855</v>
      </c>
      <c r="M148" s="206">
        <v>1135</v>
      </c>
      <c r="N148" s="4">
        <v>0</v>
      </c>
      <c r="O148" s="4">
        <v>141</v>
      </c>
      <c r="P148" s="4">
        <v>0</v>
      </c>
      <c r="Q148" s="4">
        <v>0</v>
      </c>
      <c r="R148" s="4">
        <v>630</v>
      </c>
      <c r="S148" s="4">
        <v>6355</v>
      </c>
      <c r="T148" s="4">
        <v>38510</v>
      </c>
      <c r="U148" s="4">
        <v>8960</v>
      </c>
      <c r="V148" s="4">
        <v>787</v>
      </c>
      <c r="W148" s="4">
        <v>0</v>
      </c>
      <c r="X148" s="4">
        <v>1</v>
      </c>
      <c r="Y148" s="4">
        <v>1</v>
      </c>
      <c r="Z148" s="4">
        <v>102</v>
      </c>
      <c r="AA148" s="4">
        <v>211</v>
      </c>
      <c r="AB148" s="4">
        <v>0</v>
      </c>
      <c r="AC148" s="4">
        <v>0</v>
      </c>
      <c r="AD148" s="4">
        <v>0</v>
      </c>
      <c r="AE148" s="4">
        <v>4765</v>
      </c>
      <c r="AF148" s="4">
        <v>31698</v>
      </c>
      <c r="AG148" s="4">
        <v>7588</v>
      </c>
      <c r="AH148" s="4">
        <v>2820</v>
      </c>
      <c r="AI148" s="4">
        <v>0</v>
      </c>
      <c r="AJ148" s="4">
        <v>1</v>
      </c>
      <c r="AK148" s="4">
        <v>1</v>
      </c>
      <c r="AL148" s="4">
        <v>68</v>
      </c>
      <c r="AM148" s="4">
        <v>185</v>
      </c>
      <c r="AN148" s="4">
        <v>60</v>
      </c>
      <c r="AO148" s="4">
        <v>0</v>
      </c>
      <c r="AP148" s="4">
        <v>0</v>
      </c>
      <c r="AQ148" s="4">
        <v>0</v>
      </c>
      <c r="AR148" s="4">
        <v>0.808306709265176</v>
      </c>
      <c r="AS148" s="4">
        <v>32</v>
      </c>
      <c r="AT148" s="4">
        <v>654</v>
      </c>
      <c r="AU148" s="4">
        <v>15415</v>
      </c>
      <c r="AV148" s="4">
        <v>18553</v>
      </c>
      <c r="AW148" s="4">
        <v>7229</v>
      </c>
      <c r="AX148" s="4">
        <v>2660</v>
      </c>
      <c r="AY148" s="4">
        <v>2360</v>
      </c>
      <c r="AZ148" s="4">
        <v>0</v>
      </c>
      <c r="BA148" s="4">
        <v>0</v>
      </c>
      <c r="BB148" s="4">
        <v>96</v>
      </c>
      <c r="BC148" s="4">
        <v>45</v>
      </c>
      <c r="BD148" s="4">
        <v>0</v>
      </c>
      <c r="BE148" s="4">
        <v>630</v>
      </c>
      <c r="BF148" s="4">
        <v>0</v>
      </c>
      <c r="BG148" s="4">
        <v>68</v>
      </c>
      <c r="BH148" s="4">
        <v>2426</v>
      </c>
      <c r="BI148" s="4">
        <v>2920</v>
      </c>
      <c r="BJ148" s="4">
        <v>29826</v>
      </c>
      <c r="BK148" s="4">
        <v>7642</v>
      </c>
      <c r="BL148" s="4">
        <v>7102</v>
      </c>
      <c r="BM148" s="4">
        <v>4696</v>
      </c>
      <c r="BN148" s="4">
        <v>0</v>
      </c>
      <c r="BO148" s="4">
        <v>0</v>
      </c>
      <c r="BP148" s="4">
        <v>141</v>
      </c>
      <c r="BQ148" s="4">
        <v>0</v>
      </c>
      <c r="BR148" s="4">
        <v>0</v>
      </c>
      <c r="BS148" s="4">
        <v>630</v>
      </c>
      <c r="BT148" s="4">
        <v>0</v>
      </c>
      <c r="BU148" s="4">
        <v>69</v>
      </c>
      <c r="BV148" s="4">
        <v>1992</v>
      </c>
      <c r="BW148" s="4">
        <v>2605</v>
      </c>
      <c r="BX148" s="4">
        <v>31196</v>
      </c>
      <c r="BY148" s="4">
        <v>6393</v>
      </c>
      <c r="BZ148" s="4">
        <v>7730</v>
      </c>
      <c r="CA148" s="4">
        <v>4696</v>
      </c>
      <c r="CB148">
        <v>11249.899316583702</v>
      </c>
      <c r="CC148">
        <v>4702.6737535742768</v>
      </c>
      <c r="CD148" t="s">
        <v>687</v>
      </c>
      <c r="CE148">
        <v>28482.176397234598</v>
      </c>
      <c r="CF148">
        <v>4383.4975197157219</v>
      </c>
      <c r="CG148" t="s">
        <v>687</v>
      </c>
      <c r="CH148">
        <v>37</v>
      </c>
      <c r="CI148">
        <v>13</v>
      </c>
      <c r="CJ148">
        <v>0</v>
      </c>
      <c r="CK148">
        <v>3</v>
      </c>
      <c r="CL148">
        <v>2</v>
      </c>
      <c r="CM148">
        <v>0</v>
      </c>
      <c r="CN148">
        <v>37000918.852243796</v>
      </c>
      <c r="CO148">
        <v>3289</v>
      </c>
      <c r="CP148">
        <v>2497119.7631479409</v>
      </c>
      <c r="CQ148">
        <v>531</v>
      </c>
      <c r="CR148">
        <v>0</v>
      </c>
      <c r="CS148">
        <v>0</v>
      </c>
      <c r="CT148">
        <v>34748255.20462621</v>
      </c>
      <c r="CU148">
        <v>1220</v>
      </c>
      <c r="CV148">
        <v>368213.79165612062</v>
      </c>
      <c r="CW148">
        <v>84</v>
      </c>
      <c r="CX148">
        <v>0</v>
      </c>
      <c r="CY148">
        <v>0</v>
      </c>
      <c r="CZ148" s="246">
        <v>0.1755878554295906</v>
      </c>
      <c r="DA148" s="246">
        <v>3.972446654236586E-2</v>
      </c>
      <c r="DB148" s="123">
        <v>88891500.590000004</v>
      </c>
      <c r="DC148" s="174">
        <v>93.8</v>
      </c>
      <c r="DD148" s="174">
        <v>3.9</v>
      </c>
      <c r="DE148" s="174">
        <v>0.9</v>
      </c>
      <c r="DF148" s="174">
        <v>89.8</v>
      </c>
      <c r="DG148" s="174">
        <v>5.4</v>
      </c>
      <c r="DH148" s="174">
        <v>1.2</v>
      </c>
      <c r="DI148" s="174">
        <v>98.6</v>
      </c>
      <c r="DJ148" s="174">
        <v>96.4</v>
      </c>
    </row>
    <row r="149" spans="1:114" x14ac:dyDescent="0.45">
      <c r="A149">
        <v>936</v>
      </c>
      <c r="B149" s="247">
        <v>4.3693552713940799E-2</v>
      </c>
      <c r="C149" s="169">
        <v>3.22140749351695E-2</v>
      </c>
      <c r="D149" s="169">
        <v>3.4976123310655097E-2</v>
      </c>
      <c r="E149" s="169">
        <v>3.0329848627320799E-2</v>
      </c>
      <c r="F149" s="206">
        <v>15107</v>
      </c>
      <c r="G149" s="206">
        <v>8063</v>
      </c>
      <c r="H149" s="206">
        <v>2450</v>
      </c>
      <c r="I149" s="206">
        <v>1710</v>
      </c>
      <c r="J149" s="189">
        <v>6.9750135515103895E-2</v>
      </c>
      <c r="K149" s="189">
        <v>4.5847373327899898E-2</v>
      </c>
      <c r="L149" s="206">
        <v>2340</v>
      </c>
      <c r="M149" s="206">
        <v>870</v>
      </c>
      <c r="N149" s="4">
        <v>150</v>
      </c>
      <c r="O149" s="4">
        <v>60</v>
      </c>
      <c r="P149" s="4">
        <v>0</v>
      </c>
      <c r="Q149" s="4">
        <v>0</v>
      </c>
      <c r="R149" s="4">
        <v>420</v>
      </c>
      <c r="S149" s="4">
        <v>21810</v>
      </c>
      <c r="T149" s="4">
        <v>68969</v>
      </c>
      <c r="U149" s="4">
        <v>3981</v>
      </c>
      <c r="V149" s="4">
        <v>586</v>
      </c>
      <c r="W149" s="4">
        <v>0</v>
      </c>
      <c r="X149" s="4">
        <v>1</v>
      </c>
      <c r="Y149" s="4">
        <v>1</v>
      </c>
      <c r="Z149" s="4">
        <v>868</v>
      </c>
      <c r="AA149" s="4">
        <v>366</v>
      </c>
      <c r="AB149" s="4">
        <v>227</v>
      </c>
      <c r="AC149" s="4">
        <v>0</v>
      </c>
      <c r="AD149" s="4">
        <v>900</v>
      </c>
      <c r="AE149" s="4">
        <v>24446</v>
      </c>
      <c r="AF149" s="4">
        <v>37251</v>
      </c>
      <c r="AG149" s="4">
        <v>4835</v>
      </c>
      <c r="AH149" s="4">
        <v>0</v>
      </c>
      <c r="AI149" s="4">
        <v>900</v>
      </c>
      <c r="AJ149" s="4">
        <v>0.84462696783025304</v>
      </c>
      <c r="AK149" s="4">
        <v>86</v>
      </c>
      <c r="AL149" s="4">
        <v>868</v>
      </c>
      <c r="AM149" s="4">
        <v>0</v>
      </c>
      <c r="AN149" s="4">
        <v>246</v>
      </c>
      <c r="AO149" s="4">
        <v>347</v>
      </c>
      <c r="AP149" s="4">
        <v>0</v>
      </c>
      <c r="AQ149" s="4">
        <v>900</v>
      </c>
      <c r="AR149" s="4">
        <v>0.59411362080766605</v>
      </c>
      <c r="AS149" s="4">
        <v>42</v>
      </c>
      <c r="AT149" s="4">
        <v>16615</v>
      </c>
      <c r="AU149" s="4">
        <v>10730</v>
      </c>
      <c r="AV149" s="4">
        <v>30398</v>
      </c>
      <c r="AW149" s="4">
        <v>6824</v>
      </c>
      <c r="AX149" s="4">
        <v>1125</v>
      </c>
      <c r="AY149" s="4">
        <v>1740</v>
      </c>
      <c r="AZ149" s="4">
        <v>0</v>
      </c>
      <c r="BA149" s="4">
        <v>30</v>
      </c>
      <c r="BB149" s="4">
        <v>180</v>
      </c>
      <c r="BC149" s="4">
        <v>0</v>
      </c>
      <c r="BD149" s="4">
        <v>0</v>
      </c>
      <c r="BE149" s="4">
        <v>420</v>
      </c>
      <c r="BF149" s="4">
        <v>0.14285714285714299</v>
      </c>
      <c r="BG149" s="4">
        <v>58</v>
      </c>
      <c r="BH149" s="4">
        <v>3966</v>
      </c>
      <c r="BI149" s="4">
        <v>10738</v>
      </c>
      <c r="BJ149" s="4">
        <v>46784</v>
      </c>
      <c r="BK149" s="4">
        <v>13606</v>
      </c>
      <c r="BL149" s="4">
        <v>2476</v>
      </c>
      <c r="BM149" s="4">
        <v>17776</v>
      </c>
      <c r="BN149" s="4">
        <v>0</v>
      </c>
      <c r="BO149" s="4">
        <v>30</v>
      </c>
      <c r="BP149" s="4">
        <v>180</v>
      </c>
      <c r="BQ149" s="4">
        <v>0</v>
      </c>
      <c r="BR149" s="4">
        <v>0</v>
      </c>
      <c r="BS149" s="4">
        <v>420</v>
      </c>
      <c r="BT149" s="4">
        <v>0.14285714285714299</v>
      </c>
      <c r="BU149" s="4">
        <v>53</v>
      </c>
      <c r="BV149" s="4">
        <v>5037</v>
      </c>
      <c r="BW149" s="4">
        <v>10824</v>
      </c>
      <c r="BX149" s="4">
        <v>49756</v>
      </c>
      <c r="BY149" s="4">
        <v>9213</v>
      </c>
      <c r="BZ149" s="4">
        <v>2740</v>
      </c>
      <c r="CA149" s="4">
        <v>17776</v>
      </c>
      <c r="CB149">
        <v>17556.384383971752</v>
      </c>
      <c r="CC149">
        <v>5590.3903423084284</v>
      </c>
      <c r="CD149" t="s">
        <v>687</v>
      </c>
      <c r="CE149">
        <v>46008.65497862397</v>
      </c>
      <c r="CF149">
        <v>8171.2492368742396</v>
      </c>
      <c r="CG149" t="s">
        <v>687</v>
      </c>
      <c r="CH149">
        <v>34</v>
      </c>
      <c r="CI149">
        <v>42</v>
      </c>
      <c r="CJ149">
        <v>0</v>
      </c>
      <c r="CK149">
        <v>5</v>
      </c>
      <c r="CL149">
        <v>1</v>
      </c>
      <c r="CM149">
        <v>0</v>
      </c>
      <c r="CN149">
        <v>84253088.658680439</v>
      </c>
      <c r="CO149">
        <v>4799</v>
      </c>
      <c r="CP149">
        <v>6948855.1954893768</v>
      </c>
      <c r="CQ149">
        <v>1243</v>
      </c>
      <c r="CR149">
        <v>0</v>
      </c>
      <c r="CS149">
        <v>0</v>
      </c>
      <c r="CT149">
        <v>38187183.632257894</v>
      </c>
      <c r="CU149">
        <v>830</v>
      </c>
      <c r="CV149">
        <v>245137.47710622719</v>
      </c>
      <c r="CW149">
        <v>30</v>
      </c>
      <c r="CX149">
        <v>0</v>
      </c>
      <c r="CY149">
        <v>0</v>
      </c>
      <c r="CZ149" s="246">
        <v>0.24218107801307395</v>
      </c>
      <c r="DA149" s="246">
        <v>0.17981502146734504</v>
      </c>
      <c r="DB149" s="123">
        <v>377968356.67000002</v>
      </c>
      <c r="DC149" s="174">
        <v>87.1</v>
      </c>
      <c r="DD149" s="174">
        <v>7.4</v>
      </c>
      <c r="DE149" s="174">
        <v>2.1</v>
      </c>
      <c r="DF149" s="174">
        <v>81.099999999999994</v>
      </c>
      <c r="DG149" s="174">
        <v>8</v>
      </c>
      <c r="DH149" s="174">
        <v>3</v>
      </c>
      <c r="DI149" s="174">
        <v>96.6</v>
      </c>
      <c r="DJ149" s="174">
        <v>92.1</v>
      </c>
    </row>
    <row r="150" spans="1:114" x14ac:dyDescent="0.45">
      <c r="A150">
        <v>937</v>
      </c>
      <c r="B150" s="247">
        <v>3.4131749893966098E-2</v>
      </c>
      <c r="C150" s="169">
        <v>3.3127218340513902E-2</v>
      </c>
      <c r="D150" s="169">
        <v>4.8304383788254801E-2</v>
      </c>
      <c r="E150" s="169">
        <v>3.3581472291149703E-2</v>
      </c>
      <c r="F150" s="206">
        <v>5864</v>
      </c>
      <c r="G150" s="206">
        <v>4561</v>
      </c>
      <c r="H150" s="206">
        <v>1300</v>
      </c>
      <c r="I150" s="206">
        <v>920</v>
      </c>
      <c r="J150" s="189">
        <v>8.0100664374858105E-2</v>
      </c>
      <c r="K150" s="189">
        <v>4.8897112995370202E-2</v>
      </c>
      <c r="L150" s="206">
        <v>945</v>
      </c>
      <c r="M150" s="206">
        <v>545</v>
      </c>
      <c r="N150" s="4">
        <v>0</v>
      </c>
      <c r="O150" s="4">
        <v>433</v>
      </c>
      <c r="P150" s="4">
        <v>0</v>
      </c>
      <c r="Q150" s="4">
        <v>0</v>
      </c>
      <c r="R150" s="4">
        <v>210</v>
      </c>
      <c r="S150" s="4">
        <v>7290</v>
      </c>
      <c r="T150" s="4">
        <v>35267</v>
      </c>
      <c r="U150" s="4">
        <v>4338</v>
      </c>
      <c r="V150" s="4">
        <v>1500</v>
      </c>
      <c r="W150" s="4">
        <v>210</v>
      </c>
      <c r="X150" s="4">
        <v>1</v>
      </c>
      <c r="Y150" s="4">
        <v>1</v>
      </c>
      <c r="Z150" s="4">
        <v>123</v>
      </c>
      <c r="AA150" s="4">
        <v>344</v>
      </c>
      <c r="AB150" s="4">
        <v>0</v>
      </c>
      <c r="AC150" s="4">
        <v>370</v>
      </c>
      <c r="AD150" s="4">
        <v>0</v>
      </c>
      <c r="AE150" s="4">
        <v>14316</v>
      </c>
      <c r="AF150" s="4">
        <v>19073</v>
      </c>
      <c r="AG150" s="4">
        <v>3960</v>
      </c>
      <c r="AH150" s="4">
        <v>1100</v>
      </c>
      <c r="AI150" s="4">
        <v>0</v>
      </c>
      <c r="AJ150" s="4">
        <v>0.55794504181601001</v>
      </c>
      <c r="AK150" s="4">
        <v>106</v>
      </c>
      <c r="AL150" s="4">
        <v>18</v>
      </c>
      <c r="AM150" s="4">
        <v>0</v>
      </c>
      <c r="AN150" s="4">
        <v>285</v>
      </c>
      <c r="AO150" s="4">
        <v>144</v>
      </c>
      <c r="AP150" s="4">
        <v>20</v>
      </c>
      <c r="AQ150" s="4">
        <v>370</v>
      </c>
      <c r="AR150" s="4">
        <v>3.8543897216274103E-2</v>
      </c>
      <c r="AS150" s="4">
        <v>72</v>
      </c>
      <c r="AT150" s="4">
        <v>4047</v>
      </c>
      <c r="AU150" s="4">
        <v>5970</v>
      </c>
      <c r="AV150" s="4">
        <v>16670</v>
      </c>
      <c r="AW150" s="4">
        <v>3936</v>
      </c>
      <c r="AX150" s="4">
        <v>4930</v>
      </c>
      <c r="AY150" s="4">
        <v>2896</v>
      </c>
      <c r="AZ150" s="4">
        <v>0</v>
      </c>
      <c r="BA150" s="4">
        <v>180</v>
      </c>
      <c r="BB150" s="4">
        <v>193</v>
      </c>
      <c r="BC150" s="4">
        <v>60</v>
      </c>
      <c r="BD150" s="4">
        <v>210</v>
      </c>
      <c r="BE150" s="4">
        <v>0</v>
      </c>
      <c r="BF150" s="4">
        <v>0.27993779160186599</v>
      </c>
      <c r="BG150" s="4">
        <v>43</v>
      </c>
      <c r="BH150" s="4">
        <v>1974</v>
      </c>
      <c r="BI150" s="4">
        <v>4891</v>
      </c>
      <c r="BJ150" s="4">
        <v>25558</v>
      </c>
      <c r="BK150" s="4">
        <v>5259</v>
      </c>
      <c r="BL150" s="4">
        <v>4721</v>
      </c>
      <c r="BM150" s="4">
        <v>6202</v>
      </c>
      <c r="BN150" s="4">
        <v>0</v>
      </c>
      <c r="BO150" s="4">
        <v>0</v>
      </c>
      <c r="BP150" s="4">
        <v>555</v>
      </c>
      <c r="BQ150" s="4">
        <v>88</v>
      </c>
      <c r="BR150" s="4">
        <v>0</v>
      </c>
      <c r="BS150" s="4">
        <v>0</v>
      </c>
      <c r="BT150" s="4">
        <v>0</v>
      </c>
      <c r="BU150" s="4">
        <v>69</v>
      </c>
      <c r="BV150" s="4">
        <v>2761</v>
      </c>
      <c r="BW150" s="4">
        <v>4824</v>
      </c>
      <c r="BX150" s="4">
        <v>28382</v>
      </c>
      <c r="BY150" s="4">
        <v>2597</v>
      </c>
      <c r="BZ150" s="4">
        <v>3839</v>
      </c>
      <c r="CA150" s="4">
        <v>6202</v>
      </c>
      <c r="CB150">
        <v>15436.688165167981</v>
      </c>
      <c r="CC150">
        <v>5823.209408003243</v>
      </c>
      <c r="CD150">
        <v>3440.7796848724256</v>
      </c>
      <c r="CE150">
        <v>20810.9040189033</v>
      </c>
      <c r="CF150" t="s">
        <v>687</v>
      </c>
      <c r="CG150" t="s">
        <v>687</v>
      </c>
      <c r="CH150">
        <v>15</v>
      </c>
      <c r="CI150">
        <v>2</v>
      </c>
      <c r="CJ150">
        <v>1</v>
      </c>
      <c r="CK150">
        <v>5</v>
      </c>
      <c r="CL150">
        <v>0</v>
      </c>
      <c r="CM150">
        <v>0</v>
      </c>
      <c r="CN150">
        <v>24220163.731148563</v>
      </c>
      <c r="CO150">
        <v>1569</v>
      </c>
      <c r="CP150">
        <v>349392.56448019459</v>
      </c>
      <c r="CQ150">
        <v>60</v>
      </c>
      <c r="CR150">
        <v>103223.39054617277</v>
      </c>
      <c r="CS150">
        <v>30</v>
      </c>
      <c r="CT150">
        <v>6867598.3262380892</v>
      </c>
      <c r="CU150">
        <v>330</v>
      </c>
      <c r="CV150">
        <v>0</v>
      </c>
      <c r="CW150">
        <v>0</v>
      </c>
      <c r="CX150">
        <v>0</v>
      </c>
      <c r="CY150">
        <v>0</v>
      </c>
      <c r="CZ150" s="246">
        <v>0.23622434454020758</v>
      </c>
      <c r="DA150" s="246">
        <v>0.16274919181034483</v>
      </c>
      <c r="DB150" s="123">
        <v>120349446.73</v>
      </c>
      <c r="DC150" s="174">
        <v>93.9</v>
      </c>
      <c r="DD150" s="174">
        <v>4.2</v>
      </c>
      <c r="DE150" s="174">
        <v>0.8</v>
      </c>
      <c r="DF150" s="174">
        <v>80.400000000000006</v>
      </c>
      <c r="DG150" s="174">
        <v>9.9</v>
      </c>
      <c r="DH150" s="174">
        <v>3.1</v>
      </c>
      <c r="DI150" s="174">
        <v>98.9</v>
      </c>
      <c r="DJ150" s="174">
        <v>93.4</v>
      </c>
    </row>
    <row r="151" spans="1:114" x14ac:dyDescent="0.45">
      <c r="A151">
        <v>938</v>
      </c>
      <c r="B151" s="247">
        <v>6.8275555419266803E-2</v>
      </c>
      <c r="C151" s="169">
        <v>1.44738657794269E-2</v>
      </c>
      <c r="D151" s="169">
        <v>4.3228155339805799E-2</v>
      </c>
      <c r="E151" s="169">
        <v>1.33980582524272E-2</v>
      </c>
      <c r="F151" s="206">
        <v>10801</v>
      </c>
      <c r="G151" s="206">
        <v>4707</v>
      </c>
      <c r="H151" s="206">
        <v>670</v>
      </c>
      <c r="I151" s="206">
        <v>1190</v>
      </c>
      <c r="J151" s="189">
        <v>9.4040435897921798E-2</v>
      </c>
      <c r="K151" s="189">
        <v>0.10506598949117001</v>
      </c>
      <c r="L151" s="206">
        <v>890</v>
      </c>
      <c r="M151" s="206">
        <v>2640</v>
      </c>
      <c r="N151" s="4">
        <v>15</v>
      </c>
      <c r="O151" s="4">
        <v>181</v>
      </c>
      <c r="P151" s="4">
        <v>30</v>
      </c>
      <c r="Q151" s="4">
        <v>0</v>
      </c>
      <c r="R151" s="4">
        <v>0</v>
      </c>
      <c r="S151" s="4">
        <v>5593</v>
      </c>
      <c r="T151" s="4">
        <v>52675</v>
      </c>
      <c r="U151" s="4">
        <v>11860</v>
      </c>
      <c r="V151" s="4">
        <v>556</v>
      </c>
      <c r="W151" s="4">
        <v>0</v>
      </c>
      <c r="X151" s="4">
        <v>0.86725663716814205</v>
      </c>
      <c r="Y151" s="4">
        <v>99</v>
      </c>
      <c r="Z151" s="4">
        <v>61</v>
      </c>
      <c r="AA151" s="4">
        <v>102</v>
      </c>
      <c r="AB151" s="4">
        <v>52</v>
      </c>
      <c r="AC151" s="4">
        <v>0</v>
      </c>
      <c r="AD151" s="4">
        <v>0</v>
      </c>
      <c r="AE151" s="4">
        <v>12768</v>
      </c>
      <c r="AF151" s="4">
        <v>32088</v>
      </c>
      <c r="AG151" s="4">
        <v>7551</v>
      </c>
      <c r="AH151" s="4">
        <v>0</v>
      </c>
      <c r="AI151" s="4">
        <v>0</v>
      </c>
      <c r="AJ151" s="4">
        <v>0.75813953488372099</v>
      </c>
      <c r="AK151" s="4">
        <v>94</v>
      </c>
      <c r="AL151" s="4">
        <v>61</v>
      </c>
      <c r="AM151" s="4">
        <v>0</v>
      </c>
      <c r="AN151" s="4">
        <v>52</v>
      </c>
      <c r="AO151" s="4">
        <v>102</v>
      </c>
      <c r="AP151" s="4">
        <v>0</v>
      </c>
      <c r="AQ151" s="4">
        <v>0</v>
      </c>
      <c r="AR151" s="4">
        <v>0.28372093023255801</v>
      </c>
      <c r="AS151" s="4">
        <v>62</v>
      </c>
      <c r="AT151" s="4">
        <v>4945</v>
      </c>
      <c r="AU151" s="4">
        <v>18331</v>
      </c>
      <c r="AV151" s="4">
        <v>14795</v>
      </c>
      <c r="AW151" s="4">
        <v>10256</v>
      </c>
      <c r="AX151" s="4">
        <v>4080</v>
      </c>
      <c r="AY151" s="4">
        <v>0</v>
      </c>
      <c r="AZ151" s="4">
        <v>0</v>
      </c>
      <c r="BA151" s="4">
        <v>0</v>
      </c>
      <c r="BB151" s="4">
        <v>126</v>
      </c>
      <c r="BC151" s="4">
        <v>50</v>
      </c>
      <c r="BD151" s="4">
        <v>35</v>
      </c>
      <c r="BE151" s="4">
        <v>15</v>
      </c>
      <c r="BF151" s="4">
        <v>0</v>
      </c>
      <c r="BG151" s="4">
        <v>68</v>
      </c>
      <c r="BH151" s="4">
        <v>4295</v>
      </c>
      <c r="BI151" s="4">
        <v>7370</v>
      </c>
      <c r="BJ151" s="4">
        <v>37473</v>
      </c>
      <c r="BK151" s="4">
        <v>10451</v>
      </c>
      <c r="BL151" s="4">
        <v>4675</v>
      </c>
      <c r="BM151" s="4">
        <v>6420</v>
      </c>
      <c r="BN151" s="4">
        <v>30</v>
      </c>
      <c r="BO151" s="4">
        <v>0</v>
      </c>
      <c r="BP151" s="4">
        <v>181</v>
      </c>
      <c r="BQ151" s="4">
        <v>0</v>
      </c>
      <c r="BR151" s="4">
        <v>0</v>
      </c>
      <c r="BS151" s="4">
        <v>15</v>
      </c>
      <c r="BT151" s="4">
        <v>0.14218009478672999</v>
      </c>
      <c r="BU151" s="4">
        <v>54</v>
      </c>
      <c r="BV151" s="4">
        <v>6711</v>
      </c>
      <c r="BW151" s="4">
        <v>8030</v>
      </c>
      <c r="BX151" s="4">
        <v>39122</v>
      </c>
      <c r="BY151" s="4">
        <v>6678</v>
      </c>
      <c r="BZ151" s="4">
        <v>3723</v>
      </c>
      <c r="CA151" s="4">
        <v>6420</v>
      </c>
      <c r="CB151">
        <v>16944.690194900773</v>
      </c>
      <c r="CC151">
        <v>10694.11526593238</v>
      </c>
      <c r="CD151" t="s">
        <v>687</v>
      </c>
      <c r="CE151">
        <v>33015.233173433568</v>
      </c>
      <c r="CF151" t="s">
        <v>687</v>
      </c>
      <c r="CG151">
        <v>26093.280780780788</v>
      </c>
      <c r="CH151">
        <v>23</v>
      </c>
      <c r="CI151">
        <v>17</v>
      </c>
      <c r="CJ151">
        <v>0</v>
      </c>
      <c r="CK151">
        <v>5</v>
      </c>
      <c r="CL151">
        <v>0</v>
      </c>
      <c r="CM151">
        <v>1</v>
      </c>
      <c r="CN151">
        <v>49478495.369110256</v>
      </c>
      <c r="CO151">
        <v>2920</v>
      </c>
      <c r="CP151">
        <v>6095645.7015814567</v>
      </c>
      <c r="CQ151">
        <v>570</v>
      </c>
      <c r="CR151">
        <v>0</v>
      </c>
      <c r="CS151">
        <v>0</v>
      </c>
      <c r="CT151">
        <v>34665994.832105249</v>
      </c>
      <c r="CU151">
        <v>1050</v>
      </c>
      <c r="CV151">
        <v>0</v>
      </c>
      <c r="CW151">
        <v>0</v>
      </c>
      <c r="CX151">
        <v>23483952.702702709</v>
      </c>
      <c r="CY151">
        <v>900</v>
      </c>
      <c r="CZ151" s="246">
        <v>0.21603369399462638</v>
      </c>
      <c r="DA151" s="246">
        <v>0.25971025522546276</v>
      </c>
      <c r="DB151" s="123">
        <v>248466382.16</v>
      </c>
      <c r="DC151" s="174">
        <v>91.1</v>
      </c>
      <c r="DD151" s="174">
        <v>6.1</v>
      </c>
      <c r="DE151" s="174">
        <v>1.7</v>
      </c>
      <c r="DF151" s="174">
        <v>84.3</v>
      </c>
      <c r="DG151" s="174">
        <v>8.9</v>
      </c>
      <c r="DH151" s="174">
        <v>3.2</v>
      </c>
      <c r="DI151" s="174">
        <v>98.9</v>
      </c>
      <c r="DJ151" s="174">
        <v>96.4</v>
      </c>
    </row>
    <row r="152" spans="1:114" x14ac:dyDescent="0.45">
      <c r="AT152" s="5"/>
      <c r="AU152" s="5"/>
      <c r="AV152" s="5"/>
      <c r="AW152" s="5"/>
      <c r="AX152" s="5"/>
      <c r="AY152" s="5"/>
      <c r="BH152" s="5"/>
      <c r="BI152" s="5"/>
      <c r="BJ152" s="5"/>
      <c r="BK152" s="5"/>
      <c r="BL152" s="5"/>
      <c r="BM152" s="5"/>
      <c r="BV152" s="5"/>
      <c r="BW152" s="229"/>
      <c r="BX152" s="5"/>
      <c r="BY152" s="5"/>
      <c r="BZ152" s="229"/>
      <c r="CA152" s="229"/>
      <c r="CB152" s="210"/>
    </row>
    <row r="153" spans="1:114" s="208" customFormat="1" x14ac:dyDescent="0.45">
      <c r="J153" s="214"/>
      <c r="K153" s="214"/>
      <c r="N153" s="213">
        <v>7123</v>
      </c>
      <c r="O153" s="211">
        <v>25883</v>
      </c>
      <c r="P153" s="211">
        <v>2961</v>
      </c>
      <c r="Q153" s="211">
        <v>313</v>
      </c>
      <c r="R153" s="211">
        <v>9555</v>
      </c>
      <c r="S153" s="211">
        <v>884730</v>
      </c>
      <c r="T153" s="211">
        <v>3353249</v>
      </c>
      <c r="U153" s="211">
        <v>474787</v>
      </c>
      <c r="V153" s="211">
        <v>65767</v>
      </c>
      <c r="W153" s="211">
        <v>12060</v>
      </c>
      <c r="X153" s="211"/>
      <c r="Y153" s="211"/>
      <c r="Z153" s="211">
        <v>13850</v>
      </c>
      <c r="AA153" s="211">
        <v>28135</v>
      </c>
      <c r="AB153" s="211">
        <v>4577</v>
      </c>
      <c r="AC153" s="211">
        <v>1051</v>
      </c>
      <c r="AD153" s="211">
        <v>30445</v>
      </c>
      <c r="AE153" s="211">
        <v>837639</v>
      </c>
      <c r="AF153" s="211">
        <v>1964798</v>
      </c>
      <c r="AG153" s="211">
        <v>566529</v>
      </c>
      <c r="AH153" s="211">
        <v>148421</v>
      </c>
      <c r="AI153" s="211">
        <v>21008</v>
      </c>
      <c r="AJ153" s="211"/>
      <c r="AK153" s="211"/>
      <c r="AL153" s="211">
        <v>9079</v>
      </c>
      <c r="AM153" s="211">
        <v>9778</v>
      </c>
      <c r="AN153" s="211">
        <v>12044</v>
      </c>
      <c r="AO153" s="211">
        <v>8104</v>
      </c>
      <c r="AP153" s="211">
        <v>3083</v>
      </c>
      <c r="AQ153" s="211">
        <v>35970</v>
      </c>
      <c r="AR153" s="211"/>
      <c r="AS153" s="211"/>
      <c r="AT153" s="211">
        <v>489151</v>
      </c>
      <c r="AU153" s="211">
        <v>618181</v>
      </c>
      <c r="AV153" s="211">
        <v>1229073</v>
      </c>
      <c r="AW153" s="211">
        <v>637564</v>
      </c>
      <c r="AX153" s="211">
        <v>335834</v>
      </c>
      <c r="AY153" s="211">
        <v>228592</v>
      </c>
      <c r="AZ153" s="211">
        <v>3675</v>
      </c>
      <c r="BA153" s="211">
        <v>4181</v>
      </c>
      <c r="BB153" s="211">
        <v>17620</v>
      </c>
      <c r="BC153" s="211">
        <v>4217</v>
      </c>
      <c r="BD153" s="211">
        <v>2458</v>
      </c>
      <c r="BE153" s="211">
        <v>13684</v>
      </c>
      <c r="BF153" s="211"/>
      <c r="BG153" s="211"/>
      <c r="BH153" s="211">
        <v>477667</v>
      </c>
      <c r="BI153" s="211">
        <v>653106</v>
      </c>
      <c r="BJ153" s="211">
        <v>2282397</v>
      </c>
      <c r="BK153" s="211">
        <v>519730</v>
      </c>
      <c r="BL153" s="211">
        <v>308099</v>
      </c>
      <c r="BM153" s="211">
        <v>549594</v>
      </c>
      <c r="BN153" s="211">
        <v>3147</v>
      </c>
      <c r="BO153" s="211">
        <v>3976</v>
      </c>
      <c r="BP153" s="211">
        <v>19432</v>
      </c>
      <c r="BQ153" s="211">
        <v>3271</v>
      </c>
      <c r="BR153" s="211">
        <v>2325</v>
      </c>
      <c r="BS153" s="211">
        <v>13684</v>
      </c>
      <c r="BT153" s="211"/>
      <c r="BU153" s="211"/>
      <c r="BV153" s="211">
        <v>408154</v>
      </c>
      <c r="BW153" s="211">
        <v>505782</v>
      </c>
      <c r="BX153" s="211">
        <v>2564183</v>
      </c>
      <c r="BY153" s="211">
        <v>402100</v>
      </c>
      <c r="BZ153" s="211">
        <v>361566</v>
      </c>
      <c r="CA153" s="211">
        <v>548808</v>
      </c>
      <c r="CB153" s="202">
        <v>17267.57588910636</v>
      </c>
      <c r="CC153" s="202">
        <v>8196.4132493937668</v>
      </c>
      <c r="CD153" s="202">
        <v>20507.939240512173</v>
      </c>
      <c r="CE153" s="202">
        <v>23774.868841216834</v>
      </c>
      <c r="CF153" s="202">
        <v>9247.98543072342</v>
      </c>
      <c r="CG153" s="202">
        <v>24929.355925572479</v>
      </c>
      <c r="CN153" s="202">
        <v>2217778376.8932643</v>
      </c>
      <c r="CO153" s="202">
        <v>128436</v>
      </c>
      <c r="CP153" s="202">
        <v>174534423.73259088</v>
      </c>
      <c r="CQ153" s="202">
        <v>21294</v>
      </c>
      <c r="CR153" s="202">
        <v>487330160.17229074</v>
      </c>
      <c r="CS153" s="202">
        <v>23763</v>
      </c>
      <c r="CT153" s="202">
        <v>708847714.50087988</v>
      </c>
      <c r="CU153" s="202">
        <v>29815</v>
      </c>
      <c r="CV153" s="202">
        <v>29565809.422022775</v>
      </c>
      <c r="CW153" s="202">
        <v>3197</v>
      </c>
      <c r="CX153" s="202">
        <v>281801439.3826713</v>
      </c>
      <c r="CY153" s="202">
        <v>11304</v>
      </c>
    </row>
    <row r="154" spans="1:114" x14ac:dyDescent="0.45">
      <c r="N154" s="154"/>
      <c r="S154" s="154"/>
      <c r="Z154" s="154"/>
      <c r="AE154" s="154"/>
    </row>
    <row r="155" spans="1:114" s="208" customFormat="1" x14ac:dyDescent="0.45">
      <c r="DC155" s="215"/>
      <c r="DD155" s="215"/>
      <c r="DE155" s="215"/>
      <c r="DF155" s="215"/>
      <c r="DG155" s="215"/>
      <c r="DH155" s="215"/>
      <c r="DI155" s="215"/>
      <c r="DJ155" s="215"/>
    </row>
    <row r="156" spans="1:114" x14ac:dyDescent="0.45">
      <c r="J156" s="207"/>
      <c r="K156" s="207"/>
      <c r="DB156" s="118"/>
      <c r="DC156" s="118"/>
      <c r="DD156" s="118"/>
      <c r="DE156" s="118"/>
      <c r="DF156" s="118"/>
      <c r="DG156" s="118"/>
      <c r="DH156" s="118"/>
      <c r="DI156" s="118"/>
      <c r="DJ156" s="118"/>
    </row>
  </sheetData>
  <autoFilter ref="A1:DJ151" xr:uid="{00000000-0009-0000-0000-000003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AC151"/>
  <sheetViews>
    <sheetView topLeftCell="J1" zoomScale="87" workbookViewId="0">
      <selection activeCell="Q48" sqref="Q48"/>
    </sheetView>
  </sheetViews>
  <sheetFormatPr defaultRowHeight="14.25" x14ac:dyDescent="0.45"/>
  <cols>
    <col min="1" max="1" width="9.59765625" customWidth="1"/>
    <col min="2" max="2" width="25.86328125" customWidth="1"/>
    <col min="3" max="3" width="9.3984375" bestFit="1" customWidth="1"/>
    <col min="4" max="4" width="23.3984375" customWidth="1"/>
    <col min="5" max="5" width="25.86328125" customWidth="1"/>
    <col min="6" max="6" width="12.86328125" bestFit="1" customWidth="1"/>
    <col min="7" max="7" width="21.86328125" bestFit="1" customWidth="1"/>
    <col min="9" max="9" width="8.86328125"/>
    <col min="11" max="11" width="19.1328125" bestFit="1" customWidth="1"/>
    <col min="12" max="12" width="41.73046875" customWidth="1"/>
    <col min="13" max="13" width="10.73046875" customWidth="1"/>
    <col min="14" max="15" width="11" bestFit="1" customWidth="1"/>
    <col min="16" max="16" width="14.3984375" customWidth="1"/>
  </cols>
  <sheetData>
    <row r="1" spans="1:26" x14ac:dyDescent="0.45">
      <c r="A1" s="13" t="s">
        <v>0</v>
      </c>
      <c r="B1" s="13" t="s">
        <v>161</v>
      </c>
      <c r="C1" s="63" t="s">
        <v>162</v>
      </c>
      <c r="D1" s="13" t="s">
        <v>198</v>
      </c>
      <c r="E1" t="s">
        <v>163</v>
      </c>
      <c r="F1" s="14" t="s">
        <v>164</v>
      </c>
      <c r="G1" s="14" t="s">
        <v>199</v>
      </c>
      <c r="H1" s="14" t="s">
        <v>165</v>
      </c>
      <c r="I1" s="14" t="s">
        <v>219</v>
      </c>
      <c r="K1" s="65" t="s">
        <v>166</v>
      </c>
      <c r="L1" s="66"/>
      <c r="M1" s="66"/>
      <c r="N1" s="66"/>
      <c r="O1" s="66"/>
      <c r="P1" s="66"/>
      <c r="Q1" s="66"/>
      <c r="R1" s="66"/>
      <c r="S1" s="66"/>
      <c r="T1" s="66"/>
      <c r="U1" s="66"/>
      <c r="V1" s="66"/>
      <c r="W1" s="66"/>
      <c r="X1" s="66"/>
      <c r="Y1" s="67"/>
    </row>
    <row r="2" spans="1:26" x14ac:dyDescent="0.45">
      <c r="A2" s="1">
        <v>0</v>
      </c>
      <c r="B2" s="1" t="s">
        <v>193</v>
      </c>
      <c r="C2" s="63" t="s">
        <v>12</v>
      </c>
      <c r="D2" s="13" t="s">
        <v>200</v>
      </c>
      <c r="E2" s="136" t="s">
        <v>193</v>
      </c>
      <c r="F2" s="136" t="s">
        <v>12</v>
      </c>
      <c r="G2" s="136" t="s">
        <v>200</v>
      </c>
      <c r="H2" s="198">
        <f>MATCH(INDEX(Auth_num2,MATCH(chosen_LA,Authorities2,0)),LA_data_list2)</f>
        <v>1</v>
      </c>
      <c r="I2" s="102" t="str">
        <f>IF(Chosen_Qual="Ofsted Rating","=","")</f>
        <v>=</v>
      </c>
      <c r="K2" s="68" t="s">
        <v>622</v>
      </c>
      <c r="L2" s="2"/>
      <c r="M2" s="2"/>
      <c r="N2" s="2"/>
      <c r="O2" s="2"/>
      <c r="P2" s="2"/>
      <c r="Q2" s="2"/>
      <c r="R2" s="2"/>
      <c r="S2" s="2"/>
      <c r="T2" s="2"/>
      <c r="U2" s="2"/>
      <c r="V2" s="2"/>
      <c r="W2" s="2"/>
      <c r="X2" s="2"/>
      <c r="Y2" s="69"/>
    </row>
    <row r="3" spans="1:26" x14ac:dyDescent="0.45">
      <c r="A3" s="13">
        <v>301</v>
      </c>
      <c r="B3" s="13" t="s">
        <v>1</v>
      </c>
      <c r="C3" s="63" t="s">
        <v>3</v>
      </c>
      <c r="D3" s="13" t="s">
        <v>386</v>
      </c>
      <c r="K3" s="68"/>
      <c r="L3" s="2"/>
      <c r="M3" s="2"/>
      <c r="N3" s="2"/>
      <c r="O3" s="2"/>
      <c r="P3" s="2"/>
      <c r="Q3" s="2"/>
      <c r="R3" s="2"/>
      <c r="S3" s="2"/>
      <c r="T3" s="2"/>
      <c r="U3" s="2"/>
      <c r="V3" s="2"/>
      <c r="W3" s="2"/>
      <c r="X3" s="2"/>
      <c r="Y3" s="69"/>
    </row>
    <row r="4" spans="1:26" x14ac:dyDescent="0.45">
      <c r="A4" s="13">
        <v>302</v>
      </c>
      <c r="B4" s="13" t="s">
        <v>4</v>
      </c>
      <c r="C4" s="1"/>
      <c r="D4" s="13" t="s">
        <v>593</v>
      </c>
      <c r="E4" t="str">
        <f>IF(chosen_LA="England","",chosen_LA)</f>
        <v/>
      </c>
      <c r="K4" s="68">
        <f>IF(chosen_phase="Primary",INDEX(Quan_P_In,URI),INDEX(Quan_S_In,URI))</f>
        <v>668942</v>
      </c>
      <c r="L4" s="92" t="s">
        <v>644</v>
      </c>
      <c r="M4" s="2"/>
      <c r="N4" s="2"/>
      <c r="O4" s="2"/>
      <c r="P4" s="2"/>
      <c r="Q4" s="2"/>
      <c r="R4" s="2"/>
      <c r="S4" s="2" t="s">
        <v>642</v>
      </c>
      <c r="T4" s="2"/>
      <c r="U4" s="2"/>
      <c r="V4" s="2"/>
      <c r="W4" s="2"/>
      <c r="X4" s="2"/>
      <c r="Y4" s="69"/>
    </row>
    <row r="5" spans="1:26" x14ac:dyDescent="0.45">
      <c r="A5" s="13">
        <v>370</v>
      </c>
      <c r="B5" s="13" t="s">
        <v>5</v>
      </c>
      <c r="C5" s="1"/>
      <c r="D5" s="13" t="s">
        <v>592</v>
      </c>
      <c r="K5" s="68">
        <f>IF(chosen_phase="Primary",INDEX(Quan_P_PP,URI),INDEX(Quan_S_PP,URI))</f>
        <v>66227</v>
      </c>
      <c r="L5" s="92" t="s">
        <v>645</v>
      </c>
      <c r="M5" s="2"/>
      <c r="N5" s="2"/>
      <c r="O5" s="2"/>
      <c r="P5" s="2"/>
      <c r="Q5" s="2"/>
      <c r="R5" s="2"/>
      <c r="S5" s="2"/>
      <c r="T5" s="2"/>
      <c r="U5" s="2"/>
      <c r="V5" s="2"/>
      <c r="W5" s="2"/>
      <c r="X5" s="2"/>
      <c r="Y5" s="69"/>
    </row>
    <row r="6" spans="1:26" x14ac:dyDescent="0.45">
      <c r="A6" s="13">
        <v>800</v>
      </c>
      <c r="B6" s="13" t="s">
        <v>6</v>
      </c>
      <c r="C6" s="1"/>
      <c r="D6" s="13"/>
      <c r="K6" s="70">
        <f>IF(chosen_phase="Primary",INDEX(Quan_P_RP,URI),INDEX(Quan_S_RP,URI))</f>
        <v>40970</v>
      </c>
      <c r="L6" s="93" t="s">
        <v>735</v>
      </c>
      <c r="M6" s="2"/>
      <c r="N6" s="2"/>
      <c r="O6" s="2"/>
      <c r="P6" s="2"/>
      <c r="Q6" s="71" t="str">
        <f>IF(chosen_LA&lt;&gt;"",TEXT(K6,"#,##0"),"")</f>
        <v>40,970</v>
      </c>
      <c r="R6" s="2"/>
      <c r="S6" s="2"/>
      <c r="T6" s="2"/>
      <c r="U6" s="2"/>
      <c r="V6" s="2"/>
      <c r="W6" s="2"/>
      <c r="X6" s="2"/>
      <c r="Y6" s="69"/>
    </row>
    <row r="7" spans="1:26" x14ac:dyDescent="0.45">
      <c r="A7" s="13">
        <v>822</v>
      </c>
      <c r="B7" s="13" t="s">
        <v>7</v>
      </c>
      <c r="C7" s="1"/>
      <c r="D7" s="1"/>
      <c r="G7" s="101"/>
      <c r="K7" s="190">
        <f>IF(chosen_phase="Primary",INDEX(Quan_P_Su,URI),INDEX(Quan_S_Su,URI))</f>
        <v>0.101737615734069</v>
      </c>
      <c r="L7" s="93" t="s">
        <v>643</v>
      </c>
      <c r="M7" s="71"/>
      <c r="N7" s="71"/>
      <c r="O7" s="71"/>
      <c r="P7" s="71"/>
      <c r="Q7" s="71" t="str">
        <f>IF(chosen_LA&lt;&gt;"",TEXT(K7,"0.0%"),"")</f>
        <v>10.2%</v>
      </c>
      <c r="R7" s="71"/>
      <c r="S7" s="71"/>
      <c r="T7" s="71"/>
      <c r="U7" s="71"/>
      <c r="V7" s="71"/>
      <c r="W7" s="71"/>
      <c r="X7" s="71"/>
      <c r="Y7" s="72"/>
    </row>
    <row r="8" spans="1:26" x14ac:dyDescent="0.45">
      <c r="A8" s="13">
        <v>303</v>
      </c>
      <c r="B8" s="13" t="s">
        <v>8</v>
      </c>
      <c r="C8" s="1"/>
      <c r="D8" s="1"/>
    </row>
    <row r="9" spans="1:26" x14ac:dyDescent="0.45">
      <c r="A9" s="13">
        <v>330</v>
      </c>
      <c r="B9" s="13" t="s">
        <v>9</v>
      </c>
      <c r="C9" s="1"/>
      <c r="D9" s="1"/>
      <c r="K9" s="73" t="s">
        <v>167</v>
      </c>
      <c r="L9" s="74"/>
      <c r="M9" s="74"/>
      <c r="N9" s="74"/>
      <c r="O9" s="74"/>
      <c r="P9" s="74"/>
      <c r="Q9" s="74"/>
      <c r="R9" s="74"/>
      <c r="S9" s="74" t="s">
        <v>175</v>
      </c>
      <c r="T9" s="74"/>
      <c r="U9" s="74"/>
      <c r="V9" s="74" t="s">
        <v>212</v>
      </c>
      <c r="W9" s="74"/>
      <c r="X9" s="74"/>
      <c r="Y9" s="75"/>
    </row>
    <row r="10" spans="1:26" x14ac:dyDescent="0.45">
      <c r="A10" s="13">
        <v>889</v>
      </c>
      <c r="B10" s="13" t="s">
        <v>10</v>
      </c>
      <c r="C10" s="1"/>
      <c r="D10" s="1"/>
      <c r="H10" s="198"/>
      <c r="K10" s="76"/>
      <c r="L10" s="1" t="s">
        <v>178</v>
      </c>
      <c r="M10" s="77" t="s">
        <v>179</v>
      </c>
      <c r="N10" s="1" t="s">
        <v>177</v>
      </c>
      <c r="O10" s="1" t="s">
        <v>169</v>
      </c>
      <c r="P10" s="1" t="s">
        <v>170</v>
      </c>
      <c r="Q10" s="1" t="s">
        <v>171</v>
      </c>
      <c r="R10" s="1" t="s">
        <v>172</v>
      </c>
      <c r="S10" s="1" t="s">
        <v>173</v>
      </c>
      <c r="T10" s="1" t="s">
        <v>174</v>
      </c>
      <c r="U10" s="1" t="s">
        <v>176</v>
      </c>
      <c r="V10" s="1" t="s">
        <v>176</v>
      </c>
      <c r="W10" s="1" t="s">
        <v>174</v>
      </c>
      <c r="X10" s="1" t="s">
        <v>173</v>
      </c>
      <c r="Y10" s="78"/>
    </row>
    <row r="11" spans="1:26" x14ac:dyDescent="0.45">
      <c r="A11" s="13">
        <v>890</v>
      </c>
      <c r="B11" s="13" t="s">
        <v>11</v>
      </c>
      <c r="C11" s="1"/>
      <c r="D11" s="1"/>
      <c r="K11" s="76" t="s">
        <v>168</v>
      </c>
      <c r="L11" s="1" t="str">
        <f>IF(OR(chosen_LA="City of London",chosen_LA="Isles of Scilly",chosen_LA=""),"",N11&amp;M11&amp;"%")</f>
        <v>+1%</v>
      </c>
      <c r="M11" s="104">
        <f>ROUND(O11,3)*100</f>
        <v>1</v>
      </c>
      <c r="N11" s="1" t="str">
        <f>IF(O11&gt;0,"+","")</f>
        <v>+</v>
      </c>
      <c r="O11" s="1">
        <f>IF(chosen_phase="primary",INDEX(For_1_P,URI),INDEX(For_1_S,URI))</f>
        <v>9.7599006876424466E-3</v>
      </c>
      <c r="P11" s="1">
        <f>IF(chosen_phase="Primary",IF(O11&gt;0,MAX(For_1_P)-O11,MIN(For_1_P)-O11),IF(O11&gt;0,MAX(For_1_S)-O11,MIN(For_1_S)-O11))</f>
        <v>6.5207443966210851E-2</v>
      </c>
      <c r="Q11" s="1">
        <f>ABS(O11)/(ABS(O11)+ABS(P11))</f>
        <v>0.13018869392676016</v>
      </c>
      <c r="R11" s="1">
        <f>ABS(P11)/(ABS(O11)+ABS(P11))</f>
        <v>0.86981130607323986</v>
      </c>
      <c r="S11" s="1">
        <f>IF(O11&gt;0,Q11*0.25,0)</f>
        <v>3.2547173481690041E-2</v>
      </c>
      <c r="T11" s="1">
        <f>IFERROR(IF(O11&gt;0,R11*0.25,0.25),0.25)</f>
        <v>0.21745282651830997</v>
      </c>
      <c r="U11" s="1">
        <v>0.75</v>
      </c>
      <c r="V11" s="1">
        <v>0.75</v>
      </c>
      <c r="W11" s="1">
        <f>IF(O11&gt;0,0.25,R11*0.25)</f>
        <v>0.25</v>
      </c>
      <c r="X11" s="1">
        <f>IF(O11&gt;0,0,Q11*0.25)</f>
        <v>0</v>
      </c>
      <c r="Y11" s="78"/>
    </row>
    <row r="12" spans="1:26" x14ac:dyDescent="0.45">
      <c r="A12" s="13">
        <v>350</v>
      </c>
      <c r="B12" s="13" t="s">
        <v>13</v>
      </c>
      <c r="C12" s="1"/>
      <c r="D12" s="1"/>
      <c r="K12" s="79" t="s">
        <v>180</v>
      </c>
      <c r="L12" s="1" t="str">
        <f>IF(OR(chosen_LA="City of London",chosen_LA="Isles of Scilly",chosen_LA=""),"",N12&amp;M12&amp;"%")</f>
        <v>+2.7%</v>
      </c>
      <c r="M12" s="1">
        <f>IFERROR(ROUND(O12,3)*100,"N/A")</f>
        <v>2.7</v>
      </c>
      <c r="N12" s="1" t="str">
        <f>IF(OR(O12="N/A",O12&gt;0),"+","")</f>
        <v>+</v>
      </c>
      <c r="O12" s="1">
        <f>IF(chosen_phase="primary",INDEX(For_3_P,URI),INDEX(For_3_S,URI))</f>
        <v>2.6635962123881893E-2</v>
      </c>
      <c r="P12" s="1">
        <f>IF(chosen_phase="Primary",IF(O12&gt;0,MAX(For_3_P)-O12,MIN(For_3_P)-O12),IF(O12&gt;0,MAX(For_3_S)-O12,MIN(For_3_S)-O12))</f>
        <v>0.1010986885465481</v>
      </c>
      <c r="Q12" s="1">
        <f>ABS(O12)/(ABS(O12)+ABS(P12))</f>
        <v>0.20852573662729718</v>
      </c>
      <c r="R12" s="1">
        <f>ABS(P12)/(ABS(O12)+ABS(P12))</f>
        <v>0.79147426337270288</v>
      </c>
      <c r="S12" s="1">
        <f>IF(O12&gt;0,Q12*0.25,0)</f>
        <v>5.2131434156824294E-2</v>
      </c>
      <c r="T12" s="1">
        <f>IFERROR(IF(O12&gt;0,R12*0.25,0.25),0.25)</f>
        <v>0.19786856584317572</v>
      </c>
      <c r="U12" s="1">
        <v>0.75</v>
      </c>
      <c r="V12" s="1">
        <v>0.75</v>
      </c>
      <c r="W12" s="1">
        <f>IF(O12&gt;0,0.25,R12*0.25)</f>
        <v>0.25</v>
      </c>
      <c r="X12" s="1">
        <f>IF(O12&gt;0,0,Q12*0.25)</f>
        <v>0</v>
      </c>
      <c r="Y12" s="78"/>
    </row>
    <row r="13" spans="1:26" x14ac:dyDescent="0.45">
      <c r="A13" s="13">
        <v>867</v>
      </c>
      <c r="B13" s="13" t="s">
        <v>14</v>
      </c>
      <c r="C13" s="1"/>
      <c r="D13" s="1"/>
      <c r="K13" s="76" t="s">
        <v>181</v>
      </c>
      <c r="L13" s="1"/>
      <c r="M13" s="1"/>
      <c r="N13" s="1"/>
      <c r="O13" s="1"/>
      <c r="P13" s="1"/>
      <c r="Q13" s="1"/>
      <c r="R13" s="1"/>
      <c r="S13" s="1"/>
      <c r="T13" s="1"/>
      <c r="U13" s="1"/>
      <c r="V13" s="1"/>
      <c r="W13" s="1"/>
      <c r="X13" s="1"/>
      <c r="Y13" s="78"/>
    </row>
    <row r="14" spans="1:26" x14ac:dyDescent="0.45">
      <c r="A14" s="13">
        <v>380</v>
      </c>
      <c r="B14" s="13" t="s">
        <v>15</v>
      </c>
      <c r="C14" s="1"/>
      <c r="D14" s="1"/>
      <c r="K14" s="76" t="s">
        <v>168</v>
      </c>
      <c r="L14" s="1"/>
      <c r="M14" s="1" t="s">
        <v>180</v>
      </c>
      <c r="N14" s="1"/>
      <c r="O14" s="1"/>
      <c r="P14" s="1"/>
      <c r="Q14" s="1"/>
      <c r="R14" s="1"/>
      <c r="S14" s="1"/>
      <c r="T14" s="1"/>
      <c r="U14" s="1"/>
      <c r="V14" s="1"/>
      <c r="W14" s="1"/>
      <c r="X14" s="1"/>
      <c r="Y14" s="78"/>
    </row>
    <row r="15" spans="1:26" x14ac:dyDescent="0.45">
      <c r="A15" s="13">
        <v>304</v>
      </c>
      <c r="B15" s="13" t="s">
        <v>16</v>
      </c>
      <c r="C15" s="1"/>
      <c r="D15" s="1"/>
      <c r="K15" s="76" t="str">
        <f>"Largest overforecast - all LAs (+"&amp;K16&amp;")"</f>
        <v>Largest overforecast - all LAs (+7.5%)</v>
      </c>
      <c r="L15" s="76" t="str">
        <f>"Largest underforecast - all LAs ("&amp;L16&amp;")"</f>
        <v>Largest underforecast - all LAs (-1.6%)</v>
      </c>
      <c r="M15" s="1" t="str">
        <f>"Largest overforecast - all LAs (+"&amp;M16&amp;")"</f>
        <v>Largest overforecast - all LAs (+12.8%)</v>
      </c>
      <c r="N15" s="1" t="str">
        <f>"Largest underforecast - all LAs ("&amp;N16&amp;")"</f>
        <v>Largest underforecast - all LAs (-4.7%)</v>
      </c>
      <c r="O15" s="1"/>
      <c r="P15" s="1"/>
      <c r="Q15" s="1"/>
      <c r="R15" s="1"/>
      <c r="S15" s="1"/>
      <c r="T15" s="1"/>
      <c r="U15" s="1"/>
      <c r="V15" s="1"/>
      <c r="W15" s="1"/>
      <c r="X15" s="1"/>
      <c r="Y15" s="78"/>
    </row>
    <row r="16" spans="1:26" x14ac:dyDescent="0.45">
      <c r="A16" s="13">
        <v>846</v>
      </c>
      <c r="B16" s="13" t="s">
        <v>17</v>
      </c>
      <c r="C16" s="1"/>
      <c r="D16" s="1"/>
      <c r="K16" s="80" t="str">
        <f>IF(chosen_phase="Primary",ROUND(MAX(For_1_P),3)*100&amp;"%",ROUND(MAX(For_1_S),3)*100&amp;"%")</f>
        <v>7.5%</v>
      </c>
      <c r="L16" s="81" t="str">
        <f>IF(chosen_phase="Primary",ROUND(MIN(For_1_P),3)*100&amp;"%",ROUND(MIN(For_1_S),3)*100&amp;"%")</f>
        <v>-1.6%</v>
      </c>
      <c r="M16" s="81" t="str">
        <f>IF(chosen_phase="Primary",ROUND(MAX(For_3_P),3)*100&amp;"%",ROUND(MAX(For_3_S),3)*100&amp;"%")</f>
        <v>12.8%</v>
      </c>
      <c r="N16" s="81" t="str">
        <f>IF(chosen_phase="Primary",ROUND(MIN(For_3_P),3)*100&amp;"%",ROUND(MIN(For_3_S),3)*100&amp;"%")</f>
        <v>-4.7%</v>
      </c>
      <c r="O16" s="81"/>
      <c r="P16" s="81"/>
      <c r="Q16" s="81"/>
      <c r="R16" s="81"/>
      <c r="S16" s="81"/>
      <c r="T16" s="81"/>
      <c r="U16" s="81"/>
      <c r="V16" s="81"/>
      <c r="W16" s="81"/>
      <c r="X16" s="81"/>
      <c r="Y16" s="82"/>
      <c r="Z16" t="s">
        <v>223</v>
      </c>
    </row>
    <row r="17" spans="1:29" x14ac:dyDescent="0.45">
      <c r="A17" s="13">
        <v>801</v>
      </c>
      <c r="B17" s="13" t="s">
        <v>2</v>
      </c>
      <c r="C17" s="1"/>
      <c r="D17" s="1"/>
      <c r="AA17" t="s">
        <v>222</v>
      </c>
    </row>
    <row r="18" spans="1:29" x14ac:dyDescent="0.45">
      <c r="A18" s="13">
        <v>305</v>
      </c>
      <c r="B18" s="13" t="s">
        <v>18</v>
      </c>
      <c r="C18" s="1"/>
      <c r="D18" s="1"/>
      <c r="K18" s="83" t="s">
        <v>152</v>
      </c>
      <c r="L18" s="84"/>
      <c r="M18" s="85"/>
      <c r="N18" s="85"/>
      <c r="O18" s="85"/>
      <c r="P18" s="85"/>
      <c r="Q18" s="85"/>
      <c r="R18" s="85"/>
      <c r="S18" s="85" t="s">
        <v>201</v>
      </c>
      <c r="T18" s="85"/>
      <c r="U18" s="85"/>
      <c r="V18" s="85"/>
      <c r="W18" s="85"/>
      <c r="X18" s="85"/>
      <c r="Y18" s="86"/>
      <c r="AA18" t="s">
        <v>220</v>
      </c>
      <c r="AB18" t="s">
        <v>221</v>
      </c>
      <c r="AC18" t="s">
        <v>224</v>
      </c>
    </row>
    <row r="19" spans="1:29" x14ac:dyDescent="0.45">
      <c r="A19" s="13">
        <v>825</v>
      </c>
      <c r="B19" s="13" t="s">
        <v>19</v>
      </c>
      <c r="C19" s="1"/>
      <c r="D19" s="1"/>
      <c r="K19" s="87"/>
      <c r="L19" s="4"/>
      <c r="M19" s="4" t="str">
        <f>IF(Chosen_Qual="Ofsted rating","","Well above average")</f>
        <v/>
      </c>
      <c r="N19" s="4" t="str">
        <f>IF(Chosen_Qual="Ofsted rating","Outstanding"," Above average")</f>
        <v>Outstanding</v>
      </c>
      <c r="O19" s="4" t="str">
        <f>IF(Chosen_Qual="Ofsted rating","Good","Average")</f>
        <v>Good</v>
      </c>
      <c r="P19" s="4" t="str">
        <f>IF(Chosen_Qual="Ofsted rating","Requires improvement","Below Average")</f>
        <v>Requires improvement</v>
      </c>
      <c r="Q19" s="4" t="str">
        <f>IF(Chosen_Qual="Ofsted rating","Inadequate","Well below average")</f>
        <v>Inadequate</v>
      </c>
      <c r="R19" s="4" t="s">
        <v>387</v>
      </c>
      <c r="S19" s="4"/>
      <c r="T19" s="359" t="s">
        <v>530</v>
      </c>
      <c r="U19" s="359"/>
      <c r="V19" s="359" t="s">
        <v>385</v>
      </c>
      <c r="W19" s="359"/>
      <c r="X19" s="4"/>
      <c r="Y19" s="88"/>
      <c r="AA19" s="4">
        <f>SUM(Qual_P_E_1,Qual_P_E_2)</f>
        <v>4191312</v>
      </c>
      <c r="AB19" s="4">
        <f>SUM(Qual_P_E_1,Qual_P_E_2,Qual_P_E_3,Qual_P_E_4)</f>
        <v>4721830</v>
      </c>
      <c r="AC19" s="103">
        <f>AA19/AB19</f>
        <v>0.88764567974704722</v>
      </c>
    </row>
    <row r="20" spans="1:29" x14ac:dyDescent="0.45">
      <c r="A20" s="13">
        <v>351</v>
      </c>
      <c r="B20" s="13" t="s">
        <v>20</v>
      </c>
      <c r="C20" s="1"/>
      <c r="D20" s="1"/>
      <c r="K20" s="87" t="s">
        <v>193</v>
      </c>
      <c r="L20" s="4" t="str">
        <f>IF(chosen_LA&lt;&gt;"","Existing places","")</f>
        <v>Existing places</v>
      </c>
      <c r="M20" s="4" t="str">
        <f>IF(Chosen_Qual="Ofsted rating","",IF(AND(chosen_phase="Secondary",Chosen_Qual="Progress 8 score"),Data!AT153,IF(AND(chosen_phase="Primary",Chosen_Qual="Reading progress"),Data!BV153,IF(AND(chosen_phase="Primary",Chosen_Qual="Maths progress"),Data!BH153,""))))</f>
        <v/>
      </c>
      <c r="N20" s="4">
        <f>IF(Chosen_Qual="Ofsted rating",IF(chosen_phase="Primary",Data!S153,Data!AE153),IF(AND(chosen_phase="Secondary",Chosen_Qual="Progress 8 score"),Data!AU153,IF(AND(chosen_phase="Primary",Chosen_Qual="Reading progress"),Data!BW153,IF(AND(chosen_phase="Primary",Chosen_Qual="Maths progress"),Data!BI153,""))))</f>
        <v>884730</v>
      </c>
      <c r="O20" s="4">
        <f>IF(Chosen_Qual="Ofsted rating",IF(chosen_phase="Primary",Data!T153,Data!AF153),IF(AND(chosen_phase="Secondary",Chosen_Qual="Progress 8 score"),Data!AV153,IF(AND(chosen_phase="Primary",Chosen_Qual="Reading progress"),Data!BX153,IF(AND(chosen_phase="Primary",Chosen_Qual="Maths progress"),Data!BJ153,""))))</f>
        <v>3353249</v>
      </c>
      <c r="P20" s="4">
        <f>IF(Chosen_Qual="Ofsted rating",IF(chosen_phase="Primary",Data!U153,Data!AG153),IF(AND(chosen_phase="Secondary",Chosen_Qual="Progress 8 score"),Data!AW153,IF(AND(chosen_phase="Primary",Chosen_Qual="Reading progress"),Data!BY153,IF(AND(chosen_phase="Primary",Chosen_Qual="Maths progress"),Data!BK153,""))))</f>
        <v>474787</v>
      </c>
      <c r="Q20" s="4">
        <f>IF(Chosen_Qual="Ofsted rating",IF(chosen_phase="Primary",Data!V153,Data!AH153),IF(AND(chosen_phase="Secondary",Chosen_Qual="Progress 8 score"),Data!AX153,IF(AND(chosen_phase="Primary",Chosen_Qual="Reading progress"),Data!BZ153,IF(AND(chosen_phase="Primary",Chosen_Qual="Maths progress"),Data!BL153,""))))</f>
        <v>65767</v>
      </c>
      <c r="R20" s="223">
        <f>IF(Chosen_Qual="Ofsted rating",IF(chosen_phase="Primary",Data!W153,Data!AI153),IF(AND(chosen_phase="Secondary",Chosen_Qual="Progress 8 score"),Data!AY153,IF(AND(chosen_phase="Primary",Chosen_Qual="Reading progress"),Data!CA153,IF(AND(chosen_phase="Primary",Chosen_Qual="Maths progress"),Data!BM153,""))))</f>
        <v>12060</v>
      </c>
      <c r="S20" s="4" t="s">
        <v>193</v>
      </c>
      <c r="T20" s="4">
        <f>IF(chosen_phase="Primary",SUM(Data!N153,Data!O153),SUM(Data!Z153,Data!AA153))</f>
        <v>33006</v>
      </c>
      <c r="U20" s="4">
        <f>IF(chosen_phase="Primary",SUM(Data!N153,Data!O153,Data!P153,Data!Q153),SUM(Data!Z153,Data!AA153,Data!AB153,Data!AC153))</f>
        <v>36280</v>
      </c>
      <c r="V20" s="4" t="str">
        <f>IF(AND(chosen_phase="Primary",Chosen_Qual="Reading progress"),SUM(Data!BN153,Data!BO153),IF(AND(chosen_phase="Primary",Chosen_Qual="Maths progress"),SUM(Data!AZ153,Data!BA153),IF(AND(chosen_phase="Secondary",Chosen_Qual="Progress 8 score"),SUM(Data!AL153,Data!AM153),"")))</f>
        <v/>
      </c>
      <c r="W20" s="4">
        <f>IF(AND(chosen_phase="Primary",Chosen_Qual="Reading progress"),SUM(Data!BN153,Data!BO153,Data!BP153,Data!BQ153,Data!BR153),IF(AND(chosen_phase="Primary",Chosen_Qual="Maths progress"),SUM(Data!AZ153,Data!BA153,Data!BB153,Data!BC153,Data!BD153),IF(AND(chosen_phase="Secondary",Chosen_Qual="Progress 8 score"),SUM(Data!AL153,Data!AM153,Data!AN153,Data!AO153,Data!AP153),0)))</f>
        <v>0</v>
      </c>
      <c r="X20" s="4">
        <f>IF(Chosen_Qual="Ofsted rating",ROUND(T20/U20,2),ROUND(V20/W20,2))</f>
        <v>0.91</v>
      </c>
      <c r="Y20" s="88" t="str">
        <f>IF(chosen_LA&lt;&gt;"",IFERROR((X20*100)&amp;"%","-"),"")</f>
        <v>91%</v>
      </c>
      <c r="AA20" s="4">
        <f>SUM(Qual_S_E_1,Qual_S_E_2)</f>
        <v>2763101</v>
      </c>
      <c r="AB20" s="4">
        <f>SUM(Qual_S_E_1,Qual_S_E_2,Qual_S_E_3,Qual_S_E_4)</f>
        <v>3466151</v>
      </c>
      <c r="AC20" s="103">
        <f>AA20/AB20</f>
        <v>0.79716694396753052</v>
      </c>
    </row>
    <row r="21" spans="1:29" x14ac:dyDescent="0.45">
      <c r="A21" s="13">
        <v>381</v>
      </c>
      <c r="B21" s="13" t="s">
        <v>21</v>
      </c>
      <c r="C21" s="1"/>
      <c r="D21" s="1"/>
      <c r="K21" s="87"/>
      <c r="L21" s="4" t="str">
        <f>IF(chosen_LA&lt;&gt;"","New places","")</f>
        <v>New places</v>
      </c>
      <c r="M21" s="4" t="str">
        <f>IF(Chosen_Qual="Ofsted rating","",IF(AND(chosen_phase="Secondary",Chosen_Qual="Progress 8 score"),Data!AL153,IF(AND(chosen_phase="Primary",Chosen_Qual="Reading progress"),Data!BN153,IF(AND(chosen_phase="Primary",Chosen_Qual="Maths progress"),Data!AZ153,""))))</f>
        <v/>
      </c>
      <c r="N21" s="4">
        <f>IF(Chosen_Qual="Ofsted rating",IF(chosen_phase="Primary",Data!N153,Data!Z153),IF(AND(chosen_phase="Secondary",Chosen_Qual="Progress 8 score"),Data!AM153,IF(AND(chosen_phase="Primary",Chosen_Qual="Reading progress"),Data!BO153,IF(AND(chosen_phase="Primary",Chosen_Qual="Maths progress"),Data!BA153,""))))</f>
        <v>7123</v>
      </c>
      <c r="O21" s="4">
        <f>IF(Chosen_Qual="Ofsted rating",IF(chosen_phase="Primary",Data!O153,Data!AA153),IF(AND(chosen_phase="Secondary",Chosen_Qual="Progress 8 score"),Data!AN153,IF(AND(chosen_phase="Primary",Chosen_Qual="Reading progress"),Data!BP153,IF(AND(chosen_phase="Primary",Chosen_Qual="Maths progress"),Data!BB153,""))))</f>
        <v>25883</v>
      </c>
      <c r="P21" s="4">
        <f>IF(Chosen_Qual="Ofsted rating",IF(chosen_phase="Primary",Data!P153,Data!AB153),IF(AND(chosen_phase="Secondary",Chosen_Qual="Progress 8 score"),Data!AO153,IF(AND(chosen_phase="Primary",Chosen_Qual="Reading progress"),Data!BQ153,IF(AND(chosen_phase="Primary",Chosen_Qual="Maths progress"),Data!BC153,""))))</f>
        <v>2961</v>
      </c>
      <c r="Q21" s="4">
        <f>IF(Chosen_Qual="Ofsted rating",IF(chosen_phase="Primary",Data!Q153,Data!AC153),IF(AND(chosen_phase="Secondary",Chosen_Qual="Progress 8 score"),Data!AP153,IF(AND(chosen_phase="Primary",Chosen_Qual="Reading progress"),Data!BR153,IF(AND(chosen_phase="Primary",Chosen_Qual="Maths progress"),Data!BD153,""))))</f>
        <v>313</v>
      </c>
      <c r="R21" s="223">
        <f>IF(Chosen_Qual="Ofsted rating",IF(chosen_phase="Primary",Data!R153,Data!AD153),IF(AND(chosen_phase="Secondary",Chosen_Qual="Progress 8 score"),Data!AQ153,IF(AND(chosen_phase="Primary",Chosen_Qual="Reading progress"),Data!BS153,IF(AND(chosen_phase="Primary",Chosen_Qual="Maths progress"),Data!BE153,""))))</f>
        <v>9555</v>
      </c>
      <c r="S21" s="4"/>
      <c r="T21" s="4"/>
      <c r="U21" s="4"/>
      <c r="V21" s="4"/>
      <c r="W21" s="4"/>
      <c r="X21" s="4"/>
      <c r="Y21" s="88"/>
    </row>
    <row r="22" spans="1:29" x14ac:dyDescent="0.45">
      <c r="A22" s="13">
        <v>873</v>
      </c>
      <c r="B22" s="13" t="s">
        <v>22</v>
      </c>
      <c r="C22" s="1"/>
      <c r="D22" s="1"/>
      <c r="K22" s="87" t="str">
        <f>chosen_LA</f>
        <v>England</v>
      </c>
      <c r="L22" s="4" t="s">
        <v>195</v>
      </c>
      <c r="M22" s="4" t="str">
        <f>IF(Chosen_Qual="Ofsted Rating","",IF(AND(chosen_phase="Secondary",Chosen_Qual="Progress 8 Score"),INDEX(Qual_KS4_WAA_E,URI),IF(AND(chosen_phase="Primary",Chosen_Qual="Reading progress"),INDEX(KS2Read_WAA_E,URI),IF(AND(chosen_phase="Primary",Chosen_Qual="Maths progress"),INDEX(KS2Mat_WAA_E,URI),""))))</f>
        <v/>
      </c>
      <c r="N22" s="4">
        <f>IF(Chosen_Qual="Ofsted Rating",IF(chosen_phase="Primary",INDEX(Qual_P_E_1,URI),INDEX(Qual_S_E_1,URI)),IF(AND(chosen_phase="Secondary",Chosen_Qual="Progress 8 Score"),INDEX(Qual_KS4_AA_E,URI),IF(AND(chosen_phase="Primary",Chosen_Qual="Reading progress"),INDEX(KS2Read_AA_E,URI),IF(AND(chosen_phase="Primary",Chosen_Qual="Maths progress"),INDEX(KS2Mat_AA_E,URI),""))))</f>
        <v>0</v>
      </c>
      <c r="O22" s="4">
        <f>IF(Chosen_Qual="Ofsted Rating",IF(chosen_phase="Primary",INDEX(Qual_P_E_2,URI),INDEX(Qual_S_E_2,URI)),IF(AND(chosen_phase="Secondary",Chosen_Qual="Progress 8 Score"),INDEX(Qual_KS4_A_E,URI),IF(AND(chosen_phase="Primary",Chosen_Qual="Reading progress"),INDEX(KS2Read_A_E,URI),IF(AND(chosen_phase="Primary",Chosen_Qual="Maths progress"),INDEX(KS2Mat_A_E,URI),""))))</f>
        <v>0</v>
      </c>
      <c r="P22" s="4">
        <f>IF(Chosen_Qual="Ofsted Rating",IF(chosen_phase="Primary",INDEX(Qual_P_E_3,URI),INDEX(Qual_S_E_3,URI)),IF(AND(chosen_phase="Secondary",Chosen_Qual="Progress 8 Score"),INDEX(Qual_KS4_BA_E,URI),IF(AND(chosen_phase="Primary",Chosen_Qual="Reading progress"),INDEX(KS2Read_BA_E,URI),IF(AND(chosen_phase="Primary",Chosen_Qual="Maths progress"),INDEX(KS2Mat_BA_E,URI),""))))</f>
        <v>0</v>
      </c>
      <c r="Q22" s="4">
        <f>IF(Chosen_Qual="Ofsted Rating",IF(chosen_phase="Primary",INDEX(Qual_P_E_4,URI),INDEX(Qual_S_E_4,URI)),IF(AND(chosen_phase="Secondary",Chosen_Qual="Progress 8 Score"),INDEX(Qual_KS4_WBA_E,URI),IF(AND(chosen_phase="Primary",Chosen_Qual="Reading progress"),INDEX(KS2Read_WBA_E,URI),IF(AND(chosen_phase="Primary",Chosen_Qual="Maths progress"),INDEX(KS2Mat_WBA_E,URI),""))))</f>
        <v>0</v>
      </c>
      <c r="R22" s="4">
        <f>IF(Chosen_Qual="Ofsted Rating",IF(chosen_phase="Primary",INDEX(Qual_P_E_0,URI),INDEX(Qual_S_E_0,URI)),IF(AND(chosen_phase="Secondary",Chosen_Qual="Progress 8 Score"),INDEX(Qual_KS4_NR_E,URI),IF(AND(chosen_phase="Primary",Chosen_Qual="Reading progress"),INDEX(KS2Read_NR_E,URI),IF(AND(chosen_phase="Primary",Chosen_Qual="Maths progress"),INDEX(KS2Mat_NR_E,URI),""))))</f>
        <v>0</v>
      </c>
      <c r="S22" s="4" t="str">
        <f>chosen_LA</f>
        <v>England</v>
      </c>
      <c r="T22" s="4"/>
      <c r="U22" s="4">
        <f>IF(chosen_phase="Primary",INDEX(Qual_P_Prop,URI),INDEX(Qual_S_Prop,URI))</f>
        <v>0</v>
      </c>
      <c r="V22" s="4"/>
      <c r="W22" s="4" t="str">
        <f>IF(AND(chosen_phase="Primary",Chosen_Qual="Reading progress"),INDEX(Qual_KS2Read_Prop,URI),IF(AND(chosen_phase="Primary",Chosen_Qual="Maths progress"),INDEX(Qual_KS2Mat_Prop,URI),IF(AND(chosen_phase="Secondary",Chosen_Qual="Progress 8 Score"),INDEX(Qual_KS4_Prop,URI),"-")))</f>
        <v>-</v>
      </c>
      <c r="X22" s="4">
        <f>IF(Chosen_Qual="Ofsted rating",ROUND(U22,2),ROUND(W22,2))</f>
        <v>0</v>
      </c>
      <c r="Y22" s="88" t="str">
        <f>IF(chosen_LA&lt;&gt;"England",IFERROR((X22*100)&amp;"%","-"),"-")</f>
        <v>-</v>
      </c>
    </row>
    <row r="23" spans="1:29" x14ac:dyDescent="0.45">
      <c r="A23" s="13">
        <v>202</v>
      </c>
      <c r="B23" s="13" t="s">
        <v>23</v>
      </c>
      <c r="C23" s="1"/>
      <c r="D23" s="1"/>
      <c r="K23" s="87"/>
      <c r="L23" s="4" t="s">
        <v>194</v>
      </c>
      <c r="M23" s="4" t="str">
        <f>IF(Chosen_Qual="Ofsted Rating","",IF(AND(chosen_phase="Secondary",Chosen_Qual="Progress 8 Score"),INDEX(Qual_KS4_WAA_N,URI),IF(AND(chosen_phase="Primary",Chosen_Qual="Reading progress"),INDEX(KS2Read_WAA_N,URI),IF(AND(chosen_phase="Primary",Chosen_Qual="Maths progress"),INDEX(KS2Mat_WAA_N,URI),""))))</f>
        <v/>
      </c>
      <c r="N23" s="4">
        <f>IF(Chosen_Qual="Ofsted Rating",IF(chosen_phase="Primary",INDEX(Qual_P_N_1,URI),INDEX(Qual_S_N_1,URI)),IF(AND(chosen_phase="Secondary",Chosen_Qual="Progress 8 Score"),INDEX(Qual_KS4_AA_N,URI),IF(AND(chosen_phase="Primary",Chosen_Qual="Reading progress"),INDEX(KS2Read_AA_N,URI),IF(AND(chosen_phase="Primary",Chosen_Qual="Maths progress"),INDEX(KS2Mat_AA_N,URI),""))))</f>
        <v>0</v>
      </c>
      <c r="O23" s="4">
        <f>IF(Chosen_Qual="Ofsted Rating",IF(chosen_phase="Primary",INDEX(Qual_P_N_2,URI),INDEX(Qual_S_N_2,URI)),IF(AND(chosen_phase="Secondary",Chosen_Qual="Progress 8 Score"),INDEX(Qual_KS4_A_N,URI),IF(AND(chosen_phase="Primary",Chosen_Qual="Reading progress"),INDEX(KS2Read_A_N,URI),IF(AND(chosen_phase="Primary",Chosen_Qual="Maths progress"),INDEX(KS2Mat_A_N,URI),""))))</f>
        <v>0</v>
      </c>
      <c r="P23" s="4">
        <f>IF(Chosen_Qual="Ofsted Rating",IF(chosen_phase="Primary",INDEX(Qual_P_N_3,URI),INDEX(Qual_S_N_3,URI)),IF(AND(chosen_phase="Secondary",Chosen_Qual="Progress 8 Score"),INDEX(Qual_KS4_BA_N,URI),IF(AND(chosen_phase="Primary",Chosen_Qual="Reading progress"),INDEX(KS2Read_BA_N,URI),IF(AND(chosen_phase="Primary",Chosen_Qual="Maths progress"),INDEX(KS2Mat_BA_N,URI),""))))</f>
        <v>0</v>
      </c>
      <c r="Q23" s="4">
        <f>IF(Chosen_Qual="Ofsted Rating",IF(chosen_phase="Primary",INDEX(Qual_P_N_4,URI),INDEX(Qual_S_N_4,URI)),IF(AND(chosen_phase="Secondary",Chosen_Qual="Progress 8 Score"),INDEX(Qual_KS4_WBA_N,URI),IF(AND(chosen_phase="Primary",Chosen_Qual="Reading progress"),INDEX(KS2Read_WBA_N,URI),IF(AND(chosen_phase="Primary",Chosen_Qual="Maths progress"),INDEX(KS2Mat_WBA_N,URI),""))))</f>
        <v>0</v>
      </c>
      <c r="R23" s="4">
        <f>IF(Chosen_Qual="Ofsted Rating",IF(chosen_phase="Primary",INDEX(Qual_P_N_0,URI),INDEX(Qual_S_N_0,URI)),IF(AND(chosen_phase="Secondary",Chosen_Qual="Progress 8 Score"),INDEX(Qual_KS4_NR_N,URI),IF(AND(chosen_phase="Primary",Chosen_Qual="Reading progress"),INDEX(KS2Read_NR_N,URI),IF(AND(chosen_phase="Primary",Chosen_Qual="Maths progress"),INDEX(KS2Mat_NR_N,URI),""))))</f>
        <v>0</v>
      </c>
      <c r="S23" s="4"/>
      <c r="T23" s="4"/>
      <c r="U23" s="4"/>
      <c r="V23" s="4"/>
      <c r="W23" s="4"/>
      <c r="X23" s="4"/>
      <c r="Y23" s="88" t="str">
        <f>IF(chosen_LA&lt;&gt;"","LA Rank","")</f>
        <v>LA Rank</v>
      </c>
    </row>
    <row r="24" spans="1:29" x14ac:dyDescent="0.45">
      <c r="A24" s="13">
        <v>823</v>
      </c>
      <c r="B24" s="13" t="s">
        <v>24</v>
      </c>
      <c r="C24" s="1"/>
      <c r="D24" s="1"/>
      <c r="K24" s="89" t="str">
        <f>IF(AND(SUM(M23:Q23)=0,chosen_LA&lt;&gt;"England"),"No New Places Created","")</f>
        <v/>
      </c>
      <c r="L24" s="4"/>
      <c r="M24" s="4"/>
      <c r="N24" s="4"/>
      <c r="O24" s="4"/>
      <c r="P24" s="4"/>
      <c r="Q24" s="4"/>
      <c r="R24" s="223">
        <f>IF(chosen_LA="England",R21,R23)</f>
        <v>9555</v>
      </c>
      <c r="S24" s="4" t="s">
        <v>202</v>
      </c>
      <c r="T24" s="4">
        <f>IF(chosen_phase="Primary",IF(INDEX(Qual_P_PropRanks,URI)="null","N/A",INDEX(Qual_P_PropRanks,URI)),IF(INDEX(Qual_S_PropRanks,URI)="Null","N/A",INDEX(Qual_S_PropRanks,URI)))</f>
        <v>0</v>
      </c>
      <c r="U24" s="4">
        <f>IF(chosen_phase="Primary",COUNT(Qual_P_PropRanks),COUNT(Qual_S_PropRanks))</f>
        <v>120</v>
      </c>
      <c r="V24" s="4" t="str">
        <f>IF(AND(chosen_phase="Primary",Chosen_Qual="Reading progress"),INDEX(Qual_KS2Read_Propranks,URI),IF(AND(chosen_phase="Primary",Chosen_Qual="Maths progress"),INDEX(Qual_KS2Mat_Propranks,URI),IF(AND(chosen_phase="Secondary",Chosen_Qual="Progress 8 score"),INDEX(Qual_KS4_Proprank,URI),"-")))</f>
        <v>-</v>
      </c>
      <c r="W24" s="4" t="str">
        <f>IF(AND(chosen_phase="Primary",Chosen_Qual="Reading progress"),COUNT(Qual_KS2Read_Propranks),IF(AND(chosen_phase="Primary",Chosen_Qual="maths progress"),COUNT(Qual_KS2Mat_Propranks),IF(AND(chosen_phase="Secondary",Chosen_Qual="Progress 8 score"),COUNT(Qual_KS4_Proprank),"-")))</f>
        <v>-</v>
      </c>
      <c r="X24" s="4"/>
      <c r="Y24" s="88" t="str">
        <f>IF(chosen_LA&lt;&gt;"",IF(OR(T24="N/A",V24="N/A"),"N/A",IF(Chosen_Qual="Ofsted rating",T25&amp;" "&amp;T24&amp;"/"&amp;U24,V25&amp;" "&amp;V24&amp;"/"&amp;W24)),"")</f>
        <v xml:space="preserve"> 0/120</v>
      </c>
    </row>
    <row r="25" spans="1:29" x14ac:dyDescent="0.45">
      <c r="A25" s="13">
        <v>895</v>
      </c>
      <c r="B25" s="13" t="s">
        <v>25</v>
      </c>
      <c r="C25" s="1"/>
      <c r="D25" s="1"/>
      <c r="K25" s="89" t="s">
        <v>647</v>
      </c>
      <c r="L25" s="90" t="str">
        <f>IF(chosen_LA&lt;&gt;"",IF(Chosen_Qual="Ofsted Rating","Proportion of new places created in good and outstanding schools","Proportion of new places created in well above and above average schools"),"")</f>
        <v>Proportion of new places created in good and outstanding schools</v>
      </c>
      <c r="M25" s="90"/>
      <c r="N25" s="90"/>
      <c r="O25" s="90"/>
      <c r="P25" s="90" t="str">
        <f>IF(chosen_LA&lt;&gt;"","LA","")</f>
        <v>LA</v>
      </c>
      <c r="Q25" s="90" t="str">
        <f>IF(chosen_LA&lt;&gt;"","England","")</f>
        <v>England</v>
      </c>
      <c r="R25" s="90"/>
      <c r="S25" s="90"/>
      <c r="T25" s="90" t="str">
        <f>IF(chosen_phase="Primary",IF(COUNTIF(Qual_P_PropRanks,T24)&gt;1,"=",""),IF(COUNTIF(Qual_S_PropRanks,T24)&gt;1,"=",""))</f>
        <v/>
      </c>
      <c r="U25" s="90"/>
      <c r="V25" s="90"/>
      <c r="W25" s="90"/>
      <c r="X25" s="90"/>
      <c r="Y25" s="91"/>
    </row>
    <row r="26" spans="1:29" x14ac:dyDescent="0.45">
      <c r="A26" s="13">
        <v>896</v>
      </c>
      <c r="B26" s="13" t="s">
        <v>26</v>
      </c>
      <c r="C26" s="1"/>
      <c r="D26" s="1"/>
    </row>
    <row r="27" spans="1:29" x14ac:dyDescent="0.45">
      <c r="A27" s="13">
        <v>201</v>
      </c>
      <c r="B27" s="13" t="s">
        <v>27</v>
      </c>
      <c r="C27" s="1"/>
      <c r="D27" s="1"/>
      <c r="K27" s="94" t="s">
        <v>153</v>
      </c>
      <c r="L27" s="95"/>
      <c r="M27" s="95"/>
      <c r="N27" s="95"/>
      <c r="O27" s="95"/>
      <c r="P27" s="95"/>
      <c r="Q27" s="95"/>
      <c r="R27" s="95"/>
      <c r="S27" s="95"/>
      <c r="T27" s="95"/>
      <c r="U27" s="95"/>
      <c r="V27" s="95"/>
      <c r="W27" s="95"/>
      <c r="X27" s="95"/>
      <c r="Y27" s="96"/>
    </row>
    <row r="28" spans="1:29" x14ac:dyDescent="0.45">
      <c r="A28" s="13">
        <v>908</v>
      </c>
      <c r="B28" s="13" t="s">
        <v>28</v>
      </c>
      <c r="C28" s="1"/>
      <c r="D28" s="1"/>
      <c r="K28" s="97"/>
      <c r="L28" s="5"/>
      <c r="M28" s="5"/>
      <c r="N28" s="5"/>
      <c r="O28" s="5"/>
      <c r="P28" s="5"/>
      <c r="Q28" s="5"/>
      <c r="R28" s="5"/>
      <c r="S28" s="5"/>
      <c r="T28" s="5"/>
      <c r="U28" s="5"/>
      <c r="V28" s="5"/>
      <c r="W28" s="5"/>
      <c r="X28" s="5"/>
      <c r="Y28" s="98"/>
    </row>
    <row r="29" spans="1:29" x14ac:dyDescent="0.45">
      <c r="A29" s="13">
        <v>331</v>
      </c>
      <c r="B29" s="13" t="s">
        <v>29</v>
      </c>
      <c r="C29" s="1"/>
      <c r="D29" s="1"/>
      <c r="K29" s="97" t="s">
        <v>182</v>
      </c>
      <c r="L29" s="5"/>
      <c r="M29" s="5"/>
      <c r="N29" s="5"/>
      <c r="O29" s="5"/>
      <c r="P29" s="5"/>
      <c r="Q29" s="5"/>
      <c r="R29" s="5"/>
      <c r="S29" s="5"/>
      <c r="T29" s="5"/>
      <c r="U29" s="5"/>
      <c r="V29" s="5"/>
      <c r="W29" s="5"/>
      <c r="X29" s="5"/>
      <c r="Y29" s="98"/>
    </row>
    <row r="30" spans="1:29" x14ac:dyDescent="0.45">
      <c r="A30" s="13">
        <v>306</v>
      </c>
      <c r="B30" s="13" t="s">
        <v>30</v>
      </c>
      <c r="C30" s="1"/>
      <c r="D30" s="1"/>
      <c r="K30" s="97" t="s">
        <v>158</v>
      </c>
      <c r="L30" s="5" t="str">
        <f>M30&amp;" Project(s)"</f>
        <v>1204 Project(s)</v>
      </c>
      <c r="M30" s="5">
        <f>IFERROR(IF(chosen_phase="Primary",INDEX(Cost_P_EPn,URI),INDEX(Cost_S_EPn,URI)),0)</f>
        <v>1204</v>
      </c>
      <c r="N30" s="5"/>
      <c r="O30" s="5"/>
      <c r="P30" s="5"/>
      <c r="Q30" s="5"/>
      <c r="R30" s="5"/>
      <c r="S30" s="5"/>
      <c r="T30" s="5"/>
      <c r="U30" s="5"/>
      <c r="V30" s="5"/>
      <c r="W30" s="5"/>
      <c r="X30" s="5"/>
      <c r="Y30" s="98"/>
    </row>
    <row r="31" spans="1:29" x14ac:dyDescent="0.45">
      <c r="A31" s="13">
        <v>909</v>
      </c>
      <c r="B31" s="13" t="s">
        <v>31</v>
      </c>
      <c r="C31" s="1"/>
      <c r="D31" s="1"/>
      <c r="K31" s="97" t="s">
        <v>159</v>
      </c>
      <c r="L31" s="5" t="str">
        <f>M31&amp;" Project(s)"</f>
        <v>616 Project(s)</v>
      </c>
      <c r="M31" s="5">
        <f>IFERROR(IF(chosen_phase="Primary",INDEX(Cost_P_ETn,URI),INDEX(Cost_S_ETn,URI)),0)</f>
        <v>616</v>
      </c>
      <c r="N31" s="5"/>
      <c r="O31" s="5"/>
      <c r="P31" s="5"/>
      <c r="Q31" s="5"/>
      <c r="R31" s="5"/>
      <c r="S31" s="5"/>
      <c r="T31" s="5"/>
      <c r="U31" s="5"/>
      <c r="V31" s="5"/>
      <c r="W31" s="5"/>
      <c r="X31" s="5"/>
      <c r="Y31" s="98"/>
    </row>
    <row r="32" spans="1:29" x14ac:dyDescent="0.45">
      <c r="A32" s="13">
        <v>841</v>
      </c>
      <c r="B32" s="13" t="s">
        <v>32</v>
      </c>
      <c r="C32" s="1"/>
      <c r="D32" s="1"/>
      <c r="K32" s="97" t="s">
        <v>160</v>
      </c>
      <c r="L32" s="5" t="str">
        <f>M32&amp;" Project(s)"</f>
        <v>70 Project(s)</v>
      </c>
      <c r="M32" s="5">
        <f>IFERROR(IF(chosen_phase="Primary",INDEX(Cost_P_NSn,URI),INDEX(Cost_S_NSn,URI)),0)</f>
        <v>70</v>
      </c>
      <c r="N32" s="5"/>
      <c r="O32" s="5"/>
      <c r="P32" s="5"/>
      <c r="Q32" s="5"/>
      <c r="R32" s="5"/>
      <c r="S32" s="5"/>
      <c r="T32" s="5"/>
      <c r="U32" s="5"/>
      <c r="V32" s="5"/>
      <c r="W32" s="5"/>
      <c r="X32" s="5"/>
      <c r="Y32" s="98"/>
    </row>
    <row r="33" spans="1:25" x14ac:dyDescent="0.45">
      <c r="A33" s="13">
        <v>831</v>
      </c>
      <c r="B33" s="13" t="s">
        <v>33</v>
      </c>
      <c r="C33" s="1"/>
      <c r="D33" s="1"/>
      <c r="K33" s="97"/>
      <c r="L33" s="5"/>
      <c r="M33" s="5"/>
      <c r="N33" s="5"/>
      <c r="O33" s="5"/>
      <c r="P33" s="5"/>
      <c r="Q33" s="5"/>
      <c r="R33" s="5"/>
      <c r="S33" s="5"/>
      <c r="T33" s="5"/>
      <c r="U33" s="5"/>
      <c r="V33" s="5"/>
      <c r="W33" s="5"/>
      <c r="X33" s="5"/>
      <c r="Y33" s="98"/>
    </row>
    <row r="34" spans="1:25" x14ac:dyDescent="0.45">
      <c r="A34" s="13">
        <v>830</v>
      </c>
      <c r="B34" s="13" t="s">
        <v>34</v>
      </c>
      <c r="C34" s="1"/>
      <c r="D34" s="1"/>
      <c r="K34" s="318" t="s">
        <v>688</v>
      </c>
      <c r="L34" s="5"/>
      <c r="M34" s="5"/>
      <c r="N34" s="5"/>
      <c r="O34" s="5"/>
      <c r="P34" s="5"/>
      <c r="Q34" s="5"/>
      <c r="R34" s="5"/>
      <c r="S34" s="5"/>
      <c r="T34" s="5"/>
      <c r="U34" s="5"/>
      <c r="V34" s="5"/>
      <c r="W34" s="5"/>
      <c r="X34" s="5"/>
      <c r="Y34" s="98"/>
    </row>
    <row r="35" spans="1:25" x14ac:dyDescent="0.45">
      <c r="A35" s="13">
        <v>878</v>
      </c>
      <c r="B35" s="13" t="s">
        <v>35</v>
      </c>
      <c r="C35" s="1"/>
      <c r="D35" s="1"/>
      <c r="K35" s="97"/>
      <c r="L35" s="5"/>
      <c r="M35" s="5"/>
      <c r="N35" s="5"/>
      <c r="O35" s="5"/>
      <c r="P35" s="5"/>
      <c r="Q35" s="5"/>
      <c r="R35" s="5"/>
      <c r="S35" s="5"/>
      <c r="T35" s="5"/>
      <c r="U35" s="5"/>
      <c r="V35" s="5"/>
      <c r="W35" s="5"/>
      <c r="X35" s="5"/>
      <c r="Y35" s="98"/>
    </row>
    <row r="36" spans="1:25" x14ac:dyDescent="0.45">
      <c r="A36" s="13">
        <v>371</v>
      </c>
      <c r="B36" s="13" t="s">
        <v>36</v>
      </c>
      <c r="C36" s="1"/>
      <c r="D36" s="1"/>
      <c r="K36" s="97" t="s">
        <v>183</v>
      </c>
      <c r="L36" s="5"/>
      <c r="M36" s="5"/>
      <c r="N36" s="5"/>
      <c r="O36" s="5" t="s">
        <v>184</v>
      </c>
      <c r="P36" s="5"/>
      <c r="Q36" s="5"/>
      <c r="R36" s="5" t="s">
        <v>228</v>
      </c>
      <c r="S36" s="5"/>
      <c r="T36" s="5"/>
      <c r="U36" s="5"/>
      <c r="V36" s="5"/>
      <c r="W36" s="5"/>
      <c r="X36" s="5"/>
      <c r="Y36" s="98"/>
    </row>
    <row r="37" spans="1:25" x14ac:dyDescent="0.45">
      <c r="A37" s="13">
        <v>332</v>
      </c>
      <c r="B37" s="13" t="s">
        <v>37</v>
      </c>
      <c r="C37" s="1"/>
      <c r="D37" s="1"/>
      <c r="K37" s="97" t="s">
        <v>155</v>
      </c>
      <c r="L37" s="5" t="s">
        <v>156</v>
      </c>
      <c r="M37" s="5" t="s">
        <v>188</v>
      </c>
      <c r="N37" s="5"/>
      <c r="O37" s="5" t="s">
        <v>158</v>
      </c>
      <c r="P37" s="5" t="s">
        <v>159</v>
      </c>
      <c r="Q37" s="5" t="s">
        <v>160</v>
      </c>
      <c r="R37" s="5" t="s">
        <v>158</v>
      </c>
      <c r="S37" s="5" t="s">
        <v>159</v>
      </c>
      <c r="T37" s="5" t="s">
        <v>160</v>
      </c>
      <c r="U37" s="5"/>
      <c r="V37" s="5"/>
      <c r="W37" s="5"/>
      <c r="X37" s="5"/>
      <c r="Y37" s="98"/>
    </row>
    <row r="38" spans="1:25" x14ac:dyDescent="0.45">
      <c r="A38" s="13">
        <v>840</v>
      </c>
      <c r="B38" s="13" t="s">
        <v>38</v>
      </c>
      <c r="C38" s="1"/>
      <c r="D38" s="1"/>
      <c r="K38" s="97">
        <v>1</v>
      </c>
      <c r="L38" s="5">
        <v>1</v>
      </c>
      <c r="M38" s="5">
        <v>2</v>
      </c>
      <c r="N38" s="5">
        <v>0.2</v>
      </c>
      <c r="O38" s="5">
        <f>IF(chosen_phase="Primary",_xlfn.PERCENTILE.INC(CPP_P_EP,N38),_xlfn.PERCENTILE.INC(CPP_S_EP,N38))</f>
        <v>13173.545351435612</v>
      </c>
      <c r="P38" s="5">
        <f>IF(chosen_phase="Primary",_xlfn.PERCENTILE.INC(CPP_P_ET,N38),_xlfn.PERCENTILE.INC(CPP_S_ET,N38))</f>
        <v>4230.2618086767434</v>
      </c>
      <c r="Q38" s="5">
        <f>IF(chosen_phase="Primary",_xlfn.PERCENTILE.INC(CPP_P_NS,N38),_xlfn.PERCENTILE.INC(CPP_S_NS,N38))</f>
        <v>13590.408574523452</v>
      </c>
      <c r="R38" s="5">
        <f>IF(chosen_phase="Primary",MIN(CPP_P_EP),MIN(CPP_S_EP))</f>
        <v>4735.4770509132977</v>
      </c>
      <c r="S38" s="5">
        <f>IF(chosen_phase="Primary",MIN(CPP_P_ET),MIN(CPP_S_ET))</f>
        <v>1018.8286241062157</v>
      </c>
      <c r="T38" s="5">
        <f>IF(chosen_phase="Primary",MIN(CPP_P_NS),MIN(CPP_S_NS))</f>
        <v>1225.409506251417</v>
      </c>
      <c r="U38" s="5"/>
      <c r="V38" s="5"/>
      <c r="W38" s="5"/>
      <c r="X38" s="5"/>
      <c r="Y38" s="98"/>
    </row>
    <row r="39" spans="1:25" x14ac:dyDescent="0.45">
      <c r="A39" s="13">
        <v>307</v>
      </c>
      <c r="B39" s="13" t="s">
        <v>39</v>
      </c>
      <c r="C39" s="1"/>
      <c r="D39" s="1"/>
      <c r="K39" s="97">
        <v>1</v>
      </c>
      <c r="L39" s="5">
        <v>2</v>
      </c>
      <c r="M39" s="5"/>
      <c r="N39" s="5">
        <v>0.4</v>
      </c>
      <c r="O39" s="5">
        <f>IF(chosen_phase="Primary",_xlfn.PERCENTILE.INC(CPP_P_EP,N39),_xlfn.PERCENTILE.INC(CPP_S_EP,N39))</f>
        <v>15049.797149069098</v>
      </c>
      <c r="P39" s="5">
        <f>IF(chosen_phase="Primary",_xlfn.PERCENTILE.INC(CPP_P_ET,N39),_xlfn.PERCENTILE.INC(CPP_S_ET,N39))</f>
        <v>6003.1768053266396</v>
      </c>
      <c r="Q39" s="5">
        <f>IF(chosen_phase="Primary",_xlfn.PERCENTILE.INC(CPP_P_NS,N39),_xlfn.PERCENTILE.INC(CPP_S_NS,N39))</f>
        <v>17678.721952297405</v>
      </c>
      <c r="R39" s="5"/>
      <c r="S39" s="5"/>
      <c r="T39" s="5"/>
      <c r="U39" s="5"/>
      <c r="V39" s="5"/>
      <c r="W39" s="5"/>
      <c r="X39" s="5"/>
      <c r="Y39" s="98"/>
    </row>
    <row r="40" spans="1:25" x14ac:dyDescent="0.45">
      <c r="A40" s="13">
        <v>811</v>
      </c>
      <c r="B40" s="13" t="s">
        <v>40</v>
      </c>
      <c r="C40" s="1"/>
      <c r="D40" s="1"/>
      <c r="K40" s="97">
        <v>1</v>
      </c>
      <c r="L40" s="5">
        <v>3</v>
      </c>
      <c r="M40" s="5"/>
      <c r="N40" s="5">
        <v>0.6</v>
      </c>
      <c r="O40" s="5">
        <f>IF(chosen_phase="Primary",_xlfn.PERCENTILE.INC(CPP_P_EP,N40),_xlfn.PERCENTILE.INC(CPP_S_EP,N40))</f>
        <v>17440.055180377432</v>
      </c>
      <c r="P40" s="5">
        <f>IF(chosen_phase="Primary",_xlfn.PERCENTILE.INC(CPP_P_ET,N40),_xlfn.PERCENTILE.INC(CPP_S_ET,N40))</f>
        <v>7460.1376020044672</v>
      </c>
      <c r="Q40" s="5">
        <f>IF(chosen_phase="Primary",_xlfn.PERCENTILE.INC(CPP_P_NS,N40),_xlfn.PERCENTILE.INC(CPP_S_NS,N40))</f>
        <v>21656.069769848367</v>
      </c>
      <c r="R40" s="5"/>
      <c r="S40" s="5"/>
      <c r="T40" s="5"/>
      <c r="U40" s="5"/>
      <c r="V40" s="5"/>
      <c r="W40" s="5"/>
      <c r="X40" s="5"/>
      <c r="Y40" s="98"/>
    </row>
    <row r="41" spans="1:25" x14ac:dyDescent="0.45">
      <c r="A41" s="13">
        <v>845</v>
      </c>
      <c r="B41" s="13" t="s">
        <v>41</v>
      </c>
      <c r="C41" s="1"/>
      <c r="D41" s="1"/>
      <c r="K41" s="97">
        <v>1</v>
      </c>
      <c r="L41" s="5">
        <v>4</v>
      </c>
      <c r="M41" s="5"/>
      <c r="N41" s="5">
        <v>0.8</v>
      </c>
      <c r="O41" s="5">
        <f>IF(chosen_phase="Primary",_xlfn.PERCENTILE.INC(CPP_P_EP,N41),_xlfn.PERCENTILE.INC(CPP_S_EP,N41))</f>
        <v>20267.74095239228</v>
      </c>
      <c r="P41" s="5">
        <f>IF(chosen_phase="Primary",_xlfn.PERCENTILE.INC(CPP_P_ET,N41),_xlfn.PERCENTILE.INC(CPP_S_ET,N41))</f>
        <v>11136.104012088546</v>
      </c>
      <c r="Q41" s="5">
        <f>IF(chosen_phase="Primary",_xlfn.PERCENTILE.INC(CPP_P_NS,N41),_xlfn.PERCENTILE.INC(CPP_S_NS,N41))</f>
        <v>25140.53903312586</v>
      </c>
      <c r="R41" s="5"/>
      <c r="S41" s="5"/>
      <c r="T41" s="5"/>
      <c r="U41" s="5"/>
      <c r="V41" s="5"/>
      <c r="W41" s="5"/>
      <c r="X41" s="5"/>
      <c r="Y41" s="98"/>
    </row>
    <row r="42" spans="1:25" x14ac:dyDescent="0.45">
      <c r="A42" s="13">
        <v>308</v>
      </c>
      <c r="B42" s="13" t="s">
        <v>42</v>
      </c>
      <c r="C42" s="1"/>
      <c r="D42" s="1"/>
      <c r="K42" s="97">
        <v>1</v>
      </c>
      <c r="L42" s="5">
        <v>5</v>
      </c>
      <c r="M42" s="5"/>
      <c r="N42" s="5">
        <v>1</v>
      </c>
      <c r="O42" s="5">
        <f>IF(chosen_phase="Primary",_xlfn.PERCENTILE.INC(CPP_P_EP,N42),_xlfn.PERCENTILE.INC(CPP_S_EP,N42))</f>
        <v>52156.570153022469</v>
      </c>
      <c r="P42" s="5">
        <f>IF(chosen_phase="Primary",_xlfn.PERCENTILE.INC(CPP_P_ET,N42),_xlfn.PERCENTILE.INC(CPP_S_ET,N42))</f>
        <v>28132.857304644451</v>
      </c>
      <c r="Q42" s="5">
        <f>IF(chosen_phase="Primary",_xlfn.PERCENTILE.INC(CPP_P_NS,N42),_xlfn.PERCENTILE.INC(CPP_S_NS,N42))</f>
        <v>76395.718419064709</v>
      </c>
      <c r="R42" s="5"/>
      <c r="S42" s="5"/>
      <c r="T42" s="5"/>
      <c r="U42" s="5"/>
      <c r="V42" s="5"/>
      <c r="W42" s="5"/>
      <c r="X42" s="5"/>
      <c r="Y42" s="98"/>
    </row>
    <row r="43" spans="1:25" x14ac:dyDescent="0.45">
      <c r="A43" s="13">
        <v>881</v>
      </c>
      <c r="B43" s="13" t="s">
        <v>43</v>
      </c>
      <c r="C43" s="1"/>
      <c r="D43" s="1"/>
      <c r="K43" s="97"/>
      <c r="L43" s="5"/>
      <c r="M43" s="5"/>
      <c r="N43" s="5"/>
      <c r="O43" s="5"/>
      <c r="P43" s="5"/>
      <c r="Q43" s="5"/>
      <c r="R43" s="5"/>
      <c r="S43" s="5"/>
      <c r="T43" s="5"/>
      <c r="U43" s="5"/>
      <c r="V43" s="5"/>
      <c r="W43" s="5"/>
      <c r="X43" s="5"/>
      <c r="Y43" s="5"/>
    </row>
    <row r="44" spans="1:25" x14ac:dyDescent="0.45">
      <c r="A44" s="13">
        <v>390</v>
      </c>
      <c r="B44" s="13" t="s">
        <v>44</v>
      </c>
      <c r="C44" s="1"/>
      <c r="D44" s="1"/>
      <c r="K44" s="97" t="s">
        <v>185</v>
      </c>
      <c r="L44" s="5"/>
      <c r="M44" s="5"/>
      <c r="N44" s="5"/>
      <c r="O44" s="5" t="s">
        <v>547</v>
      </c>
      <c r="P44" s="5"/>
      <c r="Q44" s="5"/>
      <c r="R44" s="5"/>
      <c r="S44" s="5"/>
      <c r="T44" s="5"/>
      <c r="U44" s="98"/>
      <c r="V44" s="5"/>
      <c r="W44" s="5"/>
      <c r="X44" s="5"/>
      <c r="Y44" s="5"/>
    </row>
    <row r="45" spans="1:25" x14ac:dyDescent="0.45">
      <c r="A45" s="13">
        <v>916</v>
      </c>
      <c r="B45" s="13" t="s">
        <v>45</v>
      </c>
      <c r="C45" s="1"/>
      <c r="D45" s="1"/>
      <c r="K45" s="97">
        <f>IF(K47=0,-1,SUM(K48:K52)+1)</f>
        <v>-1</v>
      </c>
      <c r="L45" s="5">
        <f>IF(L47=0,-1,SUM(L48:L52)+1)</f>
        <v>-1</v>
      </c>
      <c r="M45" s="5">
        <f>IF(M47=0,-1,SUM(M48:M52)+1)</f>
        <v>-1</v>
      </c>
      <c r="N45" s="5"/>
      <c r="O45" s="5">
        <f>IF(O47=0,-1,SUM(O48:O52)+1)</f>
        <v>3</v>
      </c>
      <c r="P45" s="5">
        <f>IF(P47=0,-1,SUM(P48:P52)+1)</f>
        <v>4</v>
      </c>
      <c r="Q45" s="5">
        <f>IF(Q47=0,-1,SUM(Q48:Q52)+1)</f>
        <v>3</v>
      </c>
      <c r="R45" s="5"/>
      <c r="S45" s="5" t="s">
        <v>228</v>
      </c>
      <c r="T45" s="5"/>
      <c r="U45" s="98"/>
      <c r="V45" s="5" t="s">
        <v>546</v>
      </c>
      <c r="W45" s="5"/>
      <c r="X45" s="5"/>
      <c r="Y45" s="5"/>
    </row>
    <row r="46" spans="1:25" x14ac:dyDescent="0.45">
      <c r="A46" s="13">
        <v>203</v>
      </c>
      <c r="B46" s="13" t="s">
        <v>46</v>
      </c>
      <c r="C46" s="1"/>
      <c r="D46" s="1"/>
      <c r="K46" s="97" t="s">
        <v>158</v>
      </c>
      <c r="L46" s="5" t="s">
        <v>159</v>
      </c>
      <c r="M46" s="5" t="s">
        <v>160</v>
      </c>
      <c r="N46" s="5"/>
      <c r="O46" s="5" t="s">
        <v>158</v>
      </c>
      <c r="P46" s="5" t="s">
        <v>159</v>
      </c>
      <c r="Q46" s="5" t="s">
        <v>160</v>
      </c>
      <c r="R46" s="5"/>
      <c r="S46" s="5" t="s">
        <v>158</v>
      </c>
      <c r="T46" s="5" t="s">
        <v>159</v>
      </c>
      <c r="U46" s="5" t="s">
        <v>160</v>
      </c>
      <c r="V46" s="5" t="s">
        <v>158</v>
      </c>
      <c r="W46" s="5" t="s">
        <v>159</v>
      </c>
      <c r="X46" s="5" t="s">
        <v>160</v>
      </c>
      <c r="Y46" s="5"/>
    </row>
    <row r="47" spans="1:25" x14ac:dyDescent="0.45">
      <c r="A47" s="13">
        <v>204</v>
      </c>
      <c r="B47" s="13" t="s">
        <v>47</v>
      </c>
      <c r="C47" s="1"/>
      <c r="D47" s="1"/>
      <c r="K47" s="97">
        <f>IFERROR(IF(chosen_phase="Primary",INDEX(CPP_P_EP,URI),INDEX(CPP_S_EP,URI)),0)</f>
        <v>0</v>
      </c>
      <c r="L47" s="5">
        <f>IFERROR(IF(chosen_phase="Primary",INDEX(CPP_P_ET,URI),INDEX(CPP_S_ET,URI)),0)</f>
        <v>0</v>
      </c>
      <c r="M47" s="5">
        <f>IFERROR(IF(chosen_phase="Primary",INDEX(CPP_P_NS,URI),INDEX(CPP_S_NS,URI)),0)</f>
        <v>0</v>
      </c>
      <c r="N47" s="5"/>
      <c r="O47" s="5">
        <f>IFERROR(IF(chosen_phase="Primary",SUM(Data!CN153/Data!CO153),SUM(Data!CT153/Data!CU153)),0)</f>
        <v>17267.57588910636</v>
      </c>
      <c r="P47" s="5">
        <f>IFERROR(IF(chosen_phase="Primary",SUM(Data!CP153/Data!CQ153),SUM(Data!CV153/Data!CW153)),0)</f>
        <v>8196.4132493937668</v>
      </c>
      <c r="Q47" s="5">
        <f>IFERROR(IF(chosen_phase="Primary",SUM(Data!CR153/Data!CS153),SUM(Data!CX153/Data!CY153)),0)</f>
        <v>20507.939240512173</v>
      </c>
      <c r="R47" s="5"/>
      <c r="S47" s="5">
        <f>MIN(K47,O47)</f>
        <v>0</v>
      </c>
      <c r="T47" s="5">
        <f>MIN(L47,P47)</f>
        <v>0</v>
      </c>
      <c r="U47" s="98">
        <f>MIN(M47,Q47)</f>
        <v>0</v>
      </c>
      <c r="V47" s="5">
        <f>MAX(K47,O47)</f>
        <v>17267.57588910636</v>
      </c>
      <c r="W47" s="5">
        <f>MAX(L47,P47)</f>
        <v>8196.4132493937668</v>
      </c>
      <c r="X47" s="5">
        <f>MAX(M47,Q47)</f>
        <v>20507.939240512173</v>
      </c>
      <c r="Y47" s="5"/>
    </row>
    <row r="48" spans="1:25" x14ac:dyDescent="0.45">
      <c r="A48" s="13">
        <v>876</v>
      </c>
      <c r="B48" s="13" t="s">
        <v>48</v>
      </c>
      <c r="C48" s="1"/>
      <c r="D48" s="1"/>
      <c r="K48" s="97">
        <f>IF(K$47&lt;O38,0,1)</f>
        <v>0</v>
      </c>
      <c r="L48" s="5">
        <f>IF(L$47&lt;P38,0,1)</f>
        <v>0</v>
      </c>
      <c r="M48" s="5">
        <f>IF(M$47&lt;Q38,0,1)</f>
        <v>0</v>
      </c>
      <c r="N48" s="5"/>
      <c r="O48" s="5">
        <f>IF(O$47&lt;O38,0,1)</f>
        <v>1</v>
      </c>
      <c r="P48" s="5">
        <f t="shared" ref="O48:Q51" si="0">IF(P$47&lt;P38,0,1)</f>
        <v>1</v>
      </c>
      <c r="Q48" s="5">
        <f>IF(Q$47&lt;Q38,0,1)</f>
        <v>1</v>
      </c>
      <c r="R48" s="5"/>
      <c r="S48" s="5"/>
      <c r="T48" s="5"/>
      <c r="U48" s="98"/>
      <c r="V48" s="5"/>
      <c r="W48" s="5"/>
      <c r="X48" s="5"/>
      <c r="Y48" s="5"/>
    </row>
    <row r="49" spans="1:25" x14ac:dyDescent="0.45">
      <c r="A49" s="13">
        <v>205</v>
      </c>
      <c r="B49" s="13" t="s">
        <v>49</v>
      </c>
      <c r="C49" s="1"/>
      <c r="D49" s="1"/>
      <c r="K49" s="97">
        <f t="shared" ref="K49:L51" si="1">IF(K$47&lt;O39,0,1)</f>
        <v>0</v>
      </c>
      <c r="L49" s="5">
        <f>IF(L$47&lt;P39,0,1)</f>
        <v>0</v>
      </c>
      <c r="M49" s="5">
        <f>IF(M$47&lt;Q39,0,1)</f>
        <v>0</v>
      </c>
      <c r="N49" s="5"/>
      <c r="O49" s="5">
        <f t="shared" si="0"/>
        <v>1</v>
      </c>
      <c r="P49" s="5">
        <f t="shared" si="0"/>
        <v>1</v>
      </c>
      <c r="Q49" s="5">
        <f t="shared" si="0"/>
        <v>1</v>
      </c>
      <c r="R49" s="5"/>
      <c r="S49" s="5"/>
      <c r="T49" s="5"/>
      <c r="U49" s="98"/>
      <c r="V49" s="5"/>
      <c r="W49" s="5"/>
      <c r="X49" s="5"/>
      <c r="Y49" s="5"/>
    </row>
    <row r="50" spans="1:25" x14ac:dyDescent="0.45">
      <c r="A50" s="13">
        <v>850</v>
      </c>
      <c r="B50" s="13" t="s">
        <v>50</v>
      </c>
      <c r="C50" s="1"/>
      <c r="D50" s="1"/>
      <c r="K50" s="97">
        <f t="shared" si="1"/>
        <v>0</v>
      </c>
      <c r="L50" s="5">
        <f t="shared" si="1"/>
        <v>0</v>
      </c>
      <c r="M50" s="5">
        <f>IF(M$47&lt;Q40,0,1)</f>
        <v>0</v>
      </c>
      <c r="N50" s="5"/>
      <c r="O50" s="5">
        <f t="shared" si="0"/>
        <v>0</v>
      </c>
      <c r="P50" s="5">
        <f t="shared" si="0"/>
        <v>1</v>
      </c>
      <c r="Q50" s="5">
        <f t="shared" si="0"/>
        <v>0</v>
      </c>
      <c r="R50" s="5"/>
      <c r="S50" s="5"/>
      <c r="T50" s="5"/>
      <c r="U50" s="98"/>
      <c r="V50" s="5"/>
      <c r="W50" s="5"/>
      <c r="X50" s="5"/>
      <c r="Y50" s="5"/>
    </row>
    <row r="51" spans="1:25" x14ac:dyDescent="0.45">
      <c r="A51" s="13">
        <v>309</v>
      </c>
      <c r="B51" s="13" t="s">
        <v>51</v>
      </c>
      <c r="C51" s="1"/>
      <c r="D51" s="1"/>
      <c r="K51" s="97">
        <f t="shared" si="1"/>
        <v>0</v>
      </c>
      <c r="L51" s="5">
        <f t="shared" si="1"/>
        <v>0</v>
      </c>
      <c r="M51" s="5">
        <f>IF(M$47&lt;Q41,0,1)</f>
        <v>0</v>
      </c>
      <c r="N51" s="5"/>
      <c r="O51" s="5">
        <f t="shared" si="0"/>
        <v>0</v>
      </c>
      <c r="P51" s="5">
        <f t="shared" si="0"/>
        <v>0</v>
      </c>
      <c r="Q51" s="5">
        <f t="shared" si="0"/>
        <v>0</v>
      </c>
      <c r="R51" s="5"/>
      <c r="S51" s="5"/>
      <c r="T51" s="5"/>
      <c r="U51" s="98"/>
      <c r="V51" s="5"/>
      <c r="W51" s="5"/>
      <c r="X51" s="5"/>
      <c r="Y51" s="5"/>
    </row>
    <row r="52" spans="1:25" x14ac:dyDescent="0.45">
      <c r="A52" s="13">
        <v>310</v>
      </c>
      <c r="B52" s="13" t="s">
        <v>52</v>
      </c>
      <c r="C52" s="1"/>
      <c r="D52" s="1"/>
      <c r="K52" s="97">
        <f>IF(K$47&lt;=O42,0,1)</f>
        <v>0</v>
      </c>
      <c r="L52" s="5">
        <f>IF(L$47&lt;=P42,0,1)</f>
        <v>0</v>
      </c>
      <c r="M52" s="5">
        <f>IF(M$47&lt;=Q42,0,1)</f>
        <v>0</v>
      </c>
      <c r="N52" s="5"/>
      <c r="O52" s="5">
        <f>IF(O$47&lt;=O42,0,1)</f>
        <v>0</v>
      </c>
      <c r="P52" s="5">
        <f>IF(P$47&lt;=P42,0,1)</f>
        <v>0</v>
      </c>
      <c r="Q52" s="5">
        <f>IF(Q$47&lt;=Q42,0,1)</f>
        <v>0</v>
      </c>
      <c r="R52" s="5"/>
      <c r="S52" s="5"/>
      <c r="T52" s="5"/>
      <c r="U52" s="98"/>
      <c r="V52" s="5"/>
      <c r="W52" s="5"/>
      <c r="X52" s="5"/>
      <c r="Y52" s="5"/>
    </row>
    <row r="53" spans="1:25" x14ac:dyDescent="0.45">
      <c r="A53" s="13">
        <v>805</v>
      </c>
      <c r="B53" s="13" t="s">
        <v>53</v>
      </c>
      <c r="C53" s="1"/>
      <c r="D53" s="1"/>
      <c r="K53" s="97"/>
      <c r="L53" s="5"/>
      <c r="M53" s="5"/>
      <c r="N53" s="5"/>
      <c r="O53" s="5"/>
      <c r="P53" s="5"/>
      <c r="Q53" s="5"/>
      <c r="R53" s="5"/>
      <c r="S53" s="5"/>
      <c r="T53" s="5"/>
      <c r="U53" s="98"/>
      <c r="V53" s="5"/>
      <c r="W53" s="5"/>
      <c r="X53" s="5"/>
      <c r="Y53" s="5"/>
    </row>
    <row r="54" spans="1:25" x14ac:dyDescent="0.45">
      <c r="A54" s="13">
        <v>311</v>
      </c>
      <c r="B54" s="13" t="s">
        <v>54</v>
      </c>
      <c r="C54" s="1"/>
      <c r="D54" s="1"/>
      <c r="K54" s="97" t="s">
        <v>186</v>
      </c>
      <c r="L54" s="5"/>
      <c r="M54" s="5"/>
      <c r="N54" s="5"/>
      <c r="O54" s="5" t="s">
        <v>186</v>
      </c>
      <c r="P54" s="5"/>
      <c r="Q54" s="5"/>
      <c r="R54" s="5"/>
      <c r="S54" s="5"/>
      <c r="T54" s="5"/>
      <c r="U54" s="98"/>
      <c r="V54" s="5"/>
      <c r="W54" s="5"/>
      <c r="X54" s="5"/>
      <c r="Y54" s="5"/>
    </row>
    <row r="55" spans="1:25" x14ac:dyDescent="0.45">
      <c r="A55" s="13">
        <v>884</v>
      </c>
      <c r="B55" s="13" t="s">
        <v>55</v>
      </c>
      <c r="C55" s="1"/>
      <c r="D55" s="1"/>
      <c r="K55" s="97">
        <f>(K47-R38)/(O38-R38)</f>
        <v>-0.56120392514720141</v>
      </c>
      <c r="L55" s="5">
        <f>(L47-S38)/(P38-S38)</f>
        <v>-0.31725045036005189</v>
      </c>
      <c r="M55" s="5">
        <f>(M47-T38)/(Q38-T38)</f>
        <v>-9.9103081163649756E-2</v>
      </c>
      <c r="N55" s="5"/>
      <c r="O55" s="5">
        <f>(O47-R38)/(O38-R38)</f>
        <v>1.4851857548270055</v>
      </c>
      <c r="P55" s="5">
        <f>(P47-S38)/(P38-S38)</f>
        <v>2.2350097955556332</v>
      </c>
      <c r="Q55" s="5">
        <f>(Q47-T38)/(Q38-T38)</f>
        <v>1.5594444955308373</v>
      </c>
      <c r="R55" s="5"/>
      <c r="S55" s="5"/>
      <c r="T55" s="5"/>
      <c r="U55" s="98"/>
      <c r="V55" s="5"/>
      <c r="W55" s="5"/>
      <c r="X55" s="5"/>
      <c r="Y55" s="5"/>
    </row>
    <row r="56" spans="1:25" x14ac:dyDescent="0.45">
      <c r="A56" s="13">
        <v>919</v>
      </c>
      <c r="B56" s="13" t="s">
        <v>56</v>
      </c>
      <c r="C56" s="1"/>
      <c r="D56" s="1"/>
      <c r="K56" s="97">
        <f>(K$47-O38)/(O39-O38)</f>
        <v>-7.021203320391959</v>
      </c>
      <c r="L56" s="5">
        <f t="shared" ref="L56:M59" si="2">(L$47-P38)/(P39-P38)</f>
        <v>-2.3860488611525397</v>
      </c>
      <c r="M56" s="5">
        <f t="shared" si="2"/>
        <v>-3.3242091099003024</v>
      </c>
      <c r="N56" s="5"/>
      <c r="O56" s="5">
        <f>(O$47-O38)/(O39-O38)</f>
        <v>2.1820261773150831</v>
      </c>
      <c r="P56" s="5">
        <f t="shared" ref="O56:Q59" si="3">(P$47-P38)/(P39-P38)</f>
        <v>2.2370793005933569</v>
      </c>
      <c r="Q56" s="5">
        <f t="shared" si="3"/>
        <v>1.6920255437354093</v>
      </c>
      <c r="R56" s="5"/>
      <c r="S56" s="5"/>
      <c r="T56" s="5"/>
      <c r="U56" s="98"/>
      <c r="V56" s="5"/>
      <c r="W56" s="5"/>
      <c r="X56" s="5"/>
      <c r="Y56" s="5"/>
    </row>
    <row r="57" spans="1:25" x14ac:dyDescent="0.45">
      <c r="A57" s="13">
        <v>312</v>
      </c>
      <c r="B57" s="13" t="s">
        <v>57</v>
      </c>
      <c r="C57" s="1"/>
      <c r="D57" s="1"/>
      <c r="K57" s="97">
        <f>(K$47-O39)/(O40-O39)</f>
        <v>-6.2963064873926697</v>
      </c>
      <c r="L57" s="5">
        <f t="shared" si="2"/>
        <v>-4.1203420291164496</v>
      </c>
      <c r="M57" s="5">
        <f t="shared" si="2"/>
        <v>-4.4448518870504552</v>
      </c>
      <c r="N57" s="5"/>
      <c r="O57" s="5">
        <f t="shared" si="3"/>
        <v>0.92784072304668119</v>
      </c>
      <c r="P57" s="5">
        <f t="shared" si="3"/>
        <v>1.5053503492119764</v>
      </c>
      <c r="Q57" s="5">
        <f t="shared" si="3"/>
        <v>0.71133263118960721</v>
      </c>
      <c r="R57" s="5"/>
      <c r="S57" s="5"/>
      <c r="T57" s="5"/>
      <c r="U57" s="98"/>
      <c r="V57" s="5"/>
      <c r="W57" s="5"/>
      <c r="X57" s="5"/>
      <c r="Y57" s="5"/>
    </row>
    <row r="58" spans="1:25" x14ac:dyDescent="0.45">
      <c r="A58" s="13">
        <v>313</v>
      </c>
      <c r="B58" s="13" t="s">
        <v>58</v>
      </c>
      <c r="C58" s="1"/>
      <c r="D58" s="1"/>
      <c r="K58" s="97">
        <f>(K$47-O40)/(O41-O40)</f>
        <v>-6.167607218941674</v>
      </c>
      <c r="L58" s="5">
        <f t="shared" si="2"/>
        <v>-2.0294357373722125</v>
      </c>
      <c r="M58" s="5">
        <f t="shared" si="2"/>
        <v>-6.2150267755493589</v>
      </c>
      <c r="N58" s="5"/>
      <c r="O58" s="5">
        <f t="shared" si="3"/>
        <v>-6.0996625925720818E-2</v>
      </c>
      <c r="P58" s="5">
        <f t="shared" si="3"/>
        <v>0.20029444376028968</v>
      </c>
      <c r="Q58" s="5">
        <f t="shared" si="3"/>
        <v>-0.32949939935939132</v>
      </c>
      <c r="R58" s="5"/>
      <c r="S58" s="5"/>
      <c r="T58" s="5"/>
      <c r="U58" s="98"/>
      <c r="V58" s="5"/>
      <c r="W58" s="5"/>
      <c r="X58" s="5"/>
      <c r="Y58" s="5"/>
    </row>
    <row r="59" spans="1:25" x14ac:dyDescent="0.45">
      <c r="A59" s="13">
        <v>921</v>
      </c>
      <c r="B59" s="13" t="s">
        <v>59</v>
      </c>
      <c r="C59" s="1"/>
      <c r="D59" s="1"/>
      <c r="K59" s="97">
        <f>(K$47-O41)/(O42-O41)</f>
        <v>-0.63557494773096745</v>
      </c>
      <c r="L59" s="5">
        <f t="shared" si="2"/>
        <v>-0.65519007191601952</v>
      </c>
      <c r="M59" s="5">
        <f t="shared" si="2"/>
        <v>-0.49049753282148928</v>
      </c>
      <c r="N59" s="5"/>
      <c r="O59" s="5">
        <f>(O$47-O41)/(O42-O41)</f>
        <v>-9.408200735154712E-2</v>
      </c>
      <c r="P59" s="5">
        <f t="shared" si="3"/>
        <v>-0.17295601766381349</v>
      </c>
      <c r="Q59" s="5">
        <f t="shared" si="3"/>
        <v>-9.0383056856193106E-2</v>
      </c>
      <c r="R59" s="5"/>
      <c r="S59" s="5"/>
      <c r="T59" s="5"/>
      <c r="U59" s="98"/>
      <c r="V59" s="5"/>
      <c r="W59" s="5"/>
      <c r="X59" s="5"/>
      <c r="Y59" s="5"/>
    </row>
    <row r="60" spans="1:25" x14ac:dyDescent="0.45">
      <c r="A60" s="13">
        <v>420</v>
      </c>
      <c r="B60" s="13" t="s">
        <v>60</v>
      </c>
      <c r="C60" s="1"/>
      <c r="D60" s="1"/>
      <c r="K60" s="97"/>
      <c r="L60" s="5"/>
      <c r="M60" s="5"/>
      <c r="N60" s="5"/>
      <c r="O60" s="5"/>
      <c r="P60" s="5"/>
      <c r="Q60" s="5"/>
      <c r="R60" s="5"/>
      <c r="S60" s="5"/>
      <c r="T60" s="5"/>
      <c r="U60" s="98"/>
      <c r="V60" s="5"/>
      <c r="W60" s="5"/>
      <c r="X60" s="5"/>
      <c r="Y60" s="5"/>
    </row>
    <row r="61" spans="1:25" x14ac:dyDescent="0.45">
      <c r="A61" s="13">
        <v>206</v>
      </c>
      <c r="B61" s="13" t="s">
        <v>61</v>
      </c>
      <c r="C61" s="1"/>
      <c r="D61" s="1"/>
      <c r="K61" s="97"/>
      <c r="L61" s="5"/>
      <c r="M61" s="5"/>
      <c r="N61" s="5"/>
      <c r="O61" s="5"/>
      <c r="P61" s="5"/>
      <c r="Q61" s="5"/>
      <c r="R61" s="5"/>
      <c r="S61" s="5"/>
      <c r="T61" s="5"/>
      <c r="U61" s="98"/>
      <c r="V61" s="5"/>
      <c r="W61" s="5"/>
      <c r="X61" s="5"/>
      <c r="Y61" s="5"/>
    </row>
    <row r="62" spans="1:25" x14ac:dyDescent="0.45">
      <c r="A62" s="13">
        <v>207</v>
      </c>
      <c r="B62" s="13" t="s">
        <v>62</v>
      </c>
      <c r="C62" s="1"/>
      <c r="D62" s="1"/>
      <c r="K62" s="97" t="s">
        <v>187</v>
      </c>
      <c r="L62" s="5"/>
      <c r="M62" s="5"/>
      <c r="N62" s="5"/>
      <c r="O62" s="5" t="s">
        <v>187</v>
      </c>
      <c r="P62" s="5"/>
      <c r="Q62" s="5"/>
      <c r="R62" s="5"/>
      <c r="S62" s="5"/>
      <c r="T62" s="5"/>
      <c r="U62" s="98"/>
      <c r="V62" s="5"/>
      <c r="W62" s="5"/>
      <c r="X62" s="5"/>
      <c r="Y62" s="5"/>
    </row>
    <row r="63" spans="1:25" x14ac:dyDescent="0.45">
      <c r="A63" s="13">
        <v>886</v>
      </c>
      <c r="B63" s="13" t="s">
        <v>63</v>
      </c>
      <c r="C63" s="1"/>
      <c r="D63" s="1"/>
      <c r="K63" s="97" t="e">
        <f>INDEX(K55:K59,K45)</f>
        <v>#VALUE!</v>
      </c>
      <c r="L63" s="5" t="e">
        <f>INDEX(L55:L59,L45)</f>
        <v>#VALUE!</v>
      </c>
      <c r="M63" s="5" t="e">
        <f>INDEX(M55:M59,M45)</f>
        <v>#VALUE!</v>
      </c>
      <c r="N63" s="5"/>
      <c r="O63" s="5">
        <f>INDEX(O55:O59,O45)</f>
        <v>0.92784072304668119</v>
      </c>
      <c r="P63" s="5">
        <f>INDEX(P55:P59,P45)</f>
        <v>0.20029444376028968</v>
      </c>
      <c r="Q63" s="5">
        <f>INDEX(Q55:Q59,Q45)</f>
        <v>0.71133263118960721</v>
      </c>
      <c r="R63" s="5"/>
      <c r="S63" s="5"/>
      <c r="T63" s="5"/>
      <c r="U63" s="98"/>
      <c r="V63" s="5"/>
      <c r="W63" s="5"/>
      <c r="X63" s="5"/>
      <c r="Y63" s="5"/>
    </row>
    <row r="64" spans="1:25" x14ac:dyDescent="0.45">
      <c r="A64" s="13">
        <v>810</v>
      </c>
      <c r="B64" s="13" t="s">
        <v>64</v>
      </c>
      <c r="C64" s="1"/>
      <c r="D64" s="1"/>
      <c r="K64" s="97">
        <f>IFERROR(K45+K63-0.5,-1)</f>
        <v>-1</v>
      </c>
      <c r="L64" s="5">
        <f>IFERROR(L45+L63-0.5,-1)</f>
        <v>-1</v>
      </c>
      <c r="M64" s="5">
        <f>IFERROR(M45+M63-0.5,-1)</f>
        <v>-1</v>
      </c>
      <c r="N64" s="5"/>
      <c r="O64" s="5">
        <f>IFERROR(O45+O63-0.5,-1)</f>
        <v>3.427840723046681</v>
      </c>
      <c r="P64" s="5">
        <f>IFERROR(P45+P63-0.5,-1)</f>
        <v>3.7002944437602894</v>
      </c>
      <c r="Q64" s="5">
        <f>IFERROR(Q45+Q63-0.5,-1)</f>
        <v>3.2113326311896073</v>
      </c>
      <c r="R64" s="5"/>
      <c r="S64" s="5"/>
      <c r="T64" s="5"/>
      <c r="U64" s="98"/>
      <c r="V64" s="5"/>
      <c r="W64" s="5"/>
      <c r="X64" s="5"/>
      <c r="Y64" s="5"/>
    </row>
    <row r="65" spans="1:25" x14ac:dyDescent="0.45">
      <c r="A65" s="13">
        <v>314</v>
      </c>
      <c r="B65" s="13" t="s">
        <v>65</v>
      </c>
      <c r="C65" s="1"/>
      <c r="D65" s="1"/>
      <c r="K65" s="99"/>
      <c r="L65" s="100"/>
      <c r="M65" s="100"/>
      <c r="N65" s="100"/>
      <c r="O65" s="100"/>
      <c r="P65" s="100"/>
      <c r="Q65" s="100"/>
      <c r="R65" s="100"/>
      <c r="S65" s="100"/>
      <c r="T65" s="100"/>
      <c r="U65" s="100"/>
      <c r="V65" s="5"/>
      <c r="W65" s="5"/>
      <c r="X65" s="5"/>
      <c r="Y65" s="5"/>
    </row>
    <row r="66" spans="1:25" x14ac:dyDescent="0.45">
      <c r="A66" s="13">
        <v>382</v>
      </c>
      <c r="B66" s="13" t="s">
        <v>66</v>
      </c>
      <c r="C66" s="1"/>
      <c r="D66" s="1"/>
    </row>
    <row r="67" spans="1:25" x14ac:dyDescent="0.45">
      <c r="A67" s="13">
        <v>340</v>
      </c>
      <c r="B67" s="13" t="s">
        <v>67</v>
      </c>
      <c r="C67" s="1"/>
      <c r="D67" s="1"/>
      <c r="K67" s="114" t="s">
        <v>225</v>
      </c>
      <c r="L67" s="115"/>
      <c r="M67" s="115"/>
      <c r="N67" s="115"/>
      <c r="O67" s="115"/>
      <c r="P67" s="115"/>
      <c r="Q67" s="115"/>
      <c r="R67" s="115"/>
      <c r="S67" s="115"/>
      <c r="T67" s="115"/>
      <c r="U67" s="115"/>
      <c r="V67" s="115"/>
      <c r="W67" s="115"/>
      <c r="X67" s="115"/>
      <c r="Y67" s="116"/>
    </row>
    <row r="68" spans="1:25" x14ac:dyDescent="0.45">
      <c r="A68" s="13">
        <v>208</v>
      </c>
      <c r="B68" s="13" t="s">
        <v>68</v>
      </c>
      <c r="C68" s="1"/>
      <c r="D68" s="1"/>
      <c r="K68" s="117"/>
      <c r="L68" s="118"/>
      <c r="M68" s="118"/>
      <c r="N68" s="118"/>
      <c r="O68" s="118"/>
      <c r="P68" s="118"/>
      <c r="Q68" s="118"/>
      <c r="R68" s="118"/>
      <c r="S68" s="118"/>
      <c r="T68" s="118"/>
      <c r="U68" s="118"/>
      <c r="V68" s="118"/>
      <c r="W68" s="118"/>
      <c r="X68" s="118"/>
      <c r="Y68" s="119"/>
    </row>
    <row r="69" spans="1:25" x14ac:dyDescent="0.45">
      <c r="A69" s="13">
        <v>888</v>
      </c>
      <c r="B69" s="13" t="s">
        <v>69</v>
      </c>
      <c r="C69" s="1"/>
      <c r="D69" s="1"/>
      <c r="K69" s="117" t="s">
        <v>226</v>
      </c>
      <c r="L69" s="118"/>
      <c r="M69" s="118"/>
      <c r="N69" s="118"/>
      <c r="O69" s="118"/>
      <c r="P69" s="118"/>
      <c r="Q69" s="118"/>
      <c r="R69" s="118"/>
      <c r="S69" s="118"/>
      <c r="T69" s="118"/>
      <c r="U69" s="118"/>
      <c r="V69" s="118"/>
      <c r="W69" s="118"/>
      <c r="X69" s="118"/>
      <c r="Y69" s="119"/>
    </row>
    <row r="70" spans="1:25" x14ac:dyDescent="0.45">
      <c r="A70" s="13">
        <v>383</v>
      </c>
      <c r="B70" s="13" t="s">
        <v>70</v>
      </c>
      <c r="C70" s="1"/>
      <c r="D70" s="1"/>
      <c r="K70" s="117" t="s">
        <v>641</v>
      </c>
      <c r="L70" s="118"/>
      <c r="M70" s="118"/>
      <c r="N70" s="118"/>
      <c r="O70" s="118"/>
      <c r="P70" s="118"/>
      <c r="Q70" s="118"/>
      <c r="R70" s="118"/>
      <c r="S70" s="118"/>
      <c r="T70" s="118"/>
      <c r="U70" s="118"/>
      <c r="V70" s="118"/>
      <c r="W70" s="118"/>
      <c r="X70" s="118"/>
      <c r="Y70" s="119"/>
    </row>
    <row r="71" spans="1:25" x14ac:dyDescent="0.45">
      <c r="A71" s="13">
        <v>856</v>
      </c>
      <c r="B71" s="13" t="s">
        <v>71</v>
      </c>
      <c r="C71" s="1"/>
      <c r="D71" s="1"/>
      <c r="K71" s="117">
        <f>INDEX(Funding,URI)</f>
        <v>12304980119.809992</v>
      </c>
      <c r="L71" s="118" t="str">
        <f>IF(chosen_LA&lt;&gt;"England",TEXT(K71,"£###,,"),TEXT(K71,"£#.00,,,"))</f>
        <v>£12.30</v>
      </c>
      <c r="M71" s="118" t="str">
        <f>IF(chosen_LA&lt;&gt;"England",L71&amp;"m",L71&amp;"bn")</f>
        <v>£12.30bn</v>
      </c>
      <c r="N71" s="118"/>
      <c r="O71" s="118"/>
      <c r="P71" s="118"/>
      <c r="Q71" s="118"/>
      <c r="R71" s="118"/>
      <c r="S71" s="118"/>
      <c r="T71" s="118"/>
      <c r="U71" s="118"/>
      <c r="V71" s="118"/>
      <c r="W71" s="118"/>
      <c r="X71" s="118"/>
      <c r="Y71" s="119"/>
    </row>
    <row r="72" spans="1:25" x14ac:dyDescent="0.45">
      <c r="A72" s="13">
        <v>855</v>
      </c>
      <c r="B72" s="13" t="s">
        <v>72</v>
      </c>
      <c r="C72" s="1"/>
      <c r="D72" s="1"/>
      <c r="K72" s="117" t="s">
        <v>227</v>
      </c>
      <c r="L72" s="118"/>
      <c r="M72" s="118"/>
      <c r="N72" s="118"/>
      <c r="O72" s="118"/>
      <c r="P72" s="118"/>
      <c r="Q72" s="118"/>
      <c r="R72" s="118"/>
      <c r="S72" s="118"/>
      <c r="T72" s="118"/>
      <c r="U72" s="118"/>
      <c r="V72" s="118"/>
      <c r="W72" s="118"/>
      <c r="X72" s="118"/>
      <c r="Y72" s="119"/>
    </row>
    <row r="73" spans="1:25" x14ac:dyDescent="0.45">
      <c r="A73" s="13">
        <v>209</v>
      </c>
      <c r="B73" s="13" t="s">
        <v>73</v>
      </c>
      <c r="C73" s="1"/>
      <c r="D73" s="1"/>
      <c r="K73" s="117" t="str">
        <f>IF(chosen_LA&lt;&gt;"","Growth in "&amp;K74&amp;" pupil numbers 2009/10 to 2021/22","")</f>
        <v>Growth in primary pupil numbers 2009/10 to 2021/22</v>
      </c>
      <c r="L73" s="118"/>
      <c r="M73" s="118"/>
      <c r="N73" s="118"/>
      <c r="O73" s="118"/>
      <c r="P73" s="118"/>
      <c r="Q73" s="118"/>
      <c r="R73" s="118"/>
      <c r="S73" s="118"/>
      <c r="T73" s="118"/>
      <c r="U73" s="118"/>
      <c r="V73" s="118"/>
      <c r="W73" s="118"/>
      <c r="X73" s="118"/>
      <c r="Y73" s="119"/>
    </row>
    <row r="74" spans="1:25" x14ac:dyDescent="0.45">
      <c r="A74" s="13">
        <v>925</v>
      </c>
      <c r="B74" s="13" t="s">
        <v>74</v>
      </c>
      <c r="C74" s="1"/>
      <c r="D74" s="1"/>
      <c r="K74" s="117" t="str">
        <f>IF(chosen_phase="Primary","primary","secondary")</f>
        <v>primary</v>
      </c>
      <c r="L74" s="118"/>
      <c r="M74" s="118"/>
      <c r="N74" s="118"/>
      <c r="O74" s="118"/>
      <c r="P74" s="118"/>
      <c r="Q74" s="118"/>
      <c r="R74" s="118"/>
      <c r="S74" s="118"/>
      <c r="T74" s="118"/>
      <c r="U74" s="118"/>
      <c r="V74" s="118"/>
      <c r="W74" s="118"/>
      <c r="X74" s="118"/>
      <c r="Y74" s="119"/>
    </row>
    <row r="75" spans="1:25" x14ac:dyDescent="0.45">
      <c r="A75" s="13">
        <v>341</v>
      </c>
      <c r="B75" s="13" t="s">
        <v>75</v>
      </c>
      <c r="C75" s="1"/>
      <c r="D75" s="1"/>
      <c r="K75" s="117"/>
      <c r="L75" s="118"/>
      <c r="M75" s="118"/>
      <c r="N75" s="118"/>
      <c r="O75" s="118"/>
      <c r="P75" s="118"/>
      <c r="Q75" s="118"/>
      <c r="R75" s="118"/>
      <c r="S75" s="118"/>
      <c r="T75" s="118"/>
      <c r="U75" s="118"/>
      <c r="V75" s="118"/>
      <c r="W75" s="118"/>
      <c r="X75" s="118"/>
      <c r="Y75" s="119"/>
    </row>
    <row r="76" spans="1:25" x14ac:dyDescent="0.45">
      <c r="A76" s="13">
        <v>821</v>
      </c>
      <c r="B76" s="13" t="s">
        <v>76</v>
      </c>
      <c r="C76" s="1"/>
      <c r="D76" s="1"/>
      <c r="K76" s="117">
        <f>IF(chosen_phase="Primary",INDEX(Ban_P_gro,URI),INDEX(Ban_S_gro,URI))</f>
        <v>0.19138928194430971</v>
      </c>
      <c r="L76" s="118" t="str">
        <f>IF(chosen_LA&lt;&gt;"",IF(K76="N/A",K76,ROUND(K76,2)*100&amp;"%"),"")</f>
        <v>19%</v>
      </c>
      <c r="M76" s="118"/>
      <c r="N76" s="118"/>
      <c r="O76" s="118"/>
      <c r="P76" s="118"/>
      <c r="Q76" s="118"/>
      <c r="R76" s="118"/>
      <c r="S76" s="118"/>
      <c r="T76" s="118"/>
      <c r="U76" s="118"/>
      <c r="V76" s="118"/>
      <c r="W76" s="118"/>
      <c r="X76" s="118"/>
      <c r="Y76" s="119"/>
    </row>
    <row r="77" spans="1:25" x14ac:dyDescent="0.45">
      <c r="A77" s="13">
        <v>352</v>
      </c>
      <c r="B77" s="13" t="s">
        <v>77</v>
      </c>
      <c r="C77" s="1"/>
      <c r="D77" s="1"/>
      <c r="K77" s="120"/>
      <c r="L77" s="121"/>
      <c r="M77" s="121"/>
      <c r="N77" s="121"/>
      <c r="O77" s="121"/>
      <c r="P77" s="121"/>
      <c r="Q77" s="121"/>
      <c r="R77" s="121"/>
      <c r="S77" s="121"/>
      <c r="T77" s="121"/>
      <c r="U77" s="121"/>
      <c r="V77" s="121"/>
      <c r="W77" s="121"/>
      <c r="X77" s="121"/>
      <c r="Y77" s="122"/>
    </row>
    <row r="78" spans="1:25" x14ac:dyDescent="0.45">
      <c r="A78" s="13">
        <v>887</v>
      </c>
      <c r="B78" s="13" t="s">
        <v>78</v>
      </c>
      <c r="C78" s="1"/>
      <c r="D78" s="1"/>
    </row>
    <row r="79" spans="1:25" x14ac:dyDescent="0.45">
      <c r="A79" s="13">
        <v>315</v>
      </c>
      <c r="B79" s="13" t="s">
        <v>79</v>
      </c>
      <c r="C79" s="1"/>
      <c r="D79" s="1"/>
      <c r="K79" s="124" t="s">
        <v>235</v>
      </c>
      <c r="L79" s="125"/>
      <c r="M79" s="125"/>
      <c r="N79" s="125"/>
      <c r="O79" s="125"/>
      <c r="P79" s="125"/>
      <c r="Q79" s="125"/>
      <c r="R79" s="125"/>
      <c r="S79" s="125"/>
      <c r="T79" s="125"/>
      <c r="U79" s="125"/>
      <c r="V79" s="125"/>
      <c r="W79" s="125"/>
      <c r="X79" s="125"/>
      <c r="Y79" s="126"/>
    </row>
    <row r="80" spans="1:25" x14ac:dyDescent="0.45">
      <c r="A80" s="13">
        <v>806</v>
      </c>
      <c r="B80" s="13" t="s">
        <v>80</v>
      </c>
      <c r="C80" s="1"/>
      <c r="D80" s="1"/>
      <c r="K80" s="127" t="s">
        <v>646</v>
      </c>
      <c r="L80" s="123"/>
      <c r="M80" s="123"/>
      <c r="N80" s="123"/>
      <c r="O80" s="123"/>
      <c r="P80" s="123"/>
      <c r="Q80" s="123"/>
      <c r="R80" s="123"/>
      <c r="S80" s="123"/>
      <c r="T80" s="123"/>
      <c r="U80" s="123"/>
      <c r="V80" s="123"/>
      <c r="W80" s="123"/>
      <c r="X80" s="123"/>
      <c r="Y80" s="128"/>
    </row>
    <row r="81" spans="1:25" x14ac:dyDescent="0.45">
      <c r="A81" s="13">
        <v>826</v>
      </c>
      <c r="B81" s="13" t="s">
        <v>81</v>
      </c>
      <c r="C81" s="1"/>
      <c r="D81" s="1"/>
      <c r="K81" s="127"/>
      <c r="L81" s="123"/>
      <c r="M81" s="123"/>
      <c r="N81" s="123"/>
      <c r="O81" s="123"/>
      <c r="P81" s="123"/>
      <c r="Q81" s="123"/>
      <c r="R81" s="123"/>
      <c r="S81" s="123"/>
      <c r="T81" s="123"/>
      <c r="U81" s="123"/>
      <c r="V81" s="123"/>
      <c r="W81" s="123"/>
      <c r="X81" s="123"/>
      <c r="Y81" s="128"/>
    </row>
    <row r="82" spans="1:25" x14ac:dyDescent="0.45">
      <c r="A82" s="13">
        <v>391</v>
      </c>
      <c r="B82" s="13" t="s">
        <v>82</v>
      </c>
      <c r="C82" s="1"/>
      <c r="D82" s="1"/>
      <c r="K82" s="127"/>
      <c r="L82" s="123"/>
      <c r="M82" s="123"/>
      <c r="N82" s="123"/>
      <c r="O82" s="123"/>
      <c r="P82" s="123"/>
      <c r="Q82" s="123"/>
      <c r="R82" s="123"/>
      <c r="S82" s="123"/>
      <c r="T82" s="123"/>
      <c r="U82" s="123"/>
      <c r="V82" s="123"/>
      <c r="W82" s="123"/>
      <c r="X82" s="123"/>
      <c r="Y82" s="128"/>
    </row>
    <row r="83" spans="1:25" ht="15.75" x14ac:dyDescent="0.45">
      <c r="A83" s="13">
        <v>316</v>
      </c>
      <c r="B83" s="13" t="s">
        <v>83</v>
      </c>
      <c r="C83" s="1"/>
      <c r="D83" s="1"/>
      <c r="K83" s="127" t="s">
        <v>245</v>
      </c>
      <c r="L83" s="123" t="s">
        <v>246</v>
      </c>
      <c r="M83" s="123" t="s">
        <v>247</v>
      </c>
      <c r="N83" s="123"/>
      <c r="O83" s="123" t="s">
        <v>244</v>
      </c>
      <c r="P83" s="123" t="s">
        <v>193</v>
      </c>
      <c r="Q83" s="123"/>
      <c r="R83" s="123"/>
      <c r="S83" s="123"/>
      <c r="T83" s="123"/>
      <c r="U83" s="123"/>
      <c r="V83" s="123"/>
      <c r="W83" s="123"/>
      <c r="X83" s="123"/>
      <c r="Y83" s="128"/>
    </row>
    <row r="84" spans="1:25" x14ac:dyDescent="0.45">
      <c r="A84" s="13">
        <v>926</v>
      </c>
      <c r="B84" s="13" t="s">
        <v>84</v>
      </c>
      <c r="C84" s="1"/>
      <c r="D84" s="1"/>
      <c r="K84" s="127">
        <f>IF(chosen_phase="Primary",INDEX(Pref_P_1,URI),INDEX(Pref_S_1,URI))</f>
        <v>90.6</v>
      </c>
      <c r="L84" s="123">
        <f>IF(chosen_phase="Primary",INDEX(Pref_P_2,URI),INDEX(Pref_S_2,URI))</f>
        <v>5.4</v>
      </c>
      <c r="M84" s="123">
        <f>IF(chosen_phase="Primary",INDEX(Pref_P_3,URI),INDEX(Pref_S_3,URI))</f>
        <v>1.5</v>
      </c>
      <c r="N84" s="123">
        <f>100-K84-L84-M84</f>
        <v>2.5000000000000053</v>
      </c>
      <c r="O84" s="123" t="str">
        <f>IF(OR(chosen_LA = "England",chosen_LA="Isles of Scilly",chosen_LA=""),"-",IF(chosen_phase="Primary",INDEX(Pref_P_T3,URI)&amp;"%",INDEX(Pref_S_T3,URI)&amp;"%"))</f>
        <v>-</v>
      </c>
      <c r="P84" s="123" t="str">
        <f>IF(chosen_phase="Primary",Data!DI2 &amp;"%",Data!DJ2 &amp;"%")</f>
        <v>97.5%</v>
      </c>
      <c r="Q84" s="123"/>
      <c r="R84" s="123"/>
      <c r="S84" s="123"/>
      <c r="T84" s="123"/>
      <c r="U84" s="123"/>
      <c r="V84" s="123"/>
      <c r="W84" s="123"/>
      <c r="X84" s="123"/>
      <c r="Y84" s="128"/>
    </row>
    <row r="85" spans="1:25" x14ac:dyDescent="0.45">
      <c r="A85" s="13">
        <v>812</v>
      </c>
      <c r="B85" s="13" t="s">
        <v>85</v>
      </c>
      <c r="C85" s="1"/>
      <c r="D85" s="1"/>
      <c r="K85" s="127"/>
      <c r="L85" s="123"/>
      <c r="M85" s="123"/>
      <c r="N85" s="123"/>
      <c r="O85" s="123"/>
      <c r="P85" s="123"/>
      <c r="Q85" s="123"/>
      <c r="R85" s="123"/>
      <c r="S85" s="123"/>
      <c r="T85" s="123"/>
      <c r="U85" s="123"/>
      <c r="V85" s="123"/>
      <c r="W85" s="123"/>
      <c r="X85" s="123"/>
      <c r="Y85" s="128"/>
    </row>
    <row r="86" spans="1:25" x14ac:dyDescent="0.45">
      <c r="A86" s="13">
        <v>813</v>
      </c>
      <c r="B86" s="13" t="s">
        <v>86</v>
      </c>
      <c r="C86" s="1"/>
      <c r="D86" s="1"/>
      <c r="K86" s="127"/>
      <c r="L86" s="123"/>
      <c r="M86" s="123"/>
      <c r="N86" s="123"/>
      <c r="O86" s="123"/>
      <c r="P86" s="123"/>
      <c r="Q86" s="123"/>
      <c r="R86" s="123"/>
      <c r="S86" s="123"/>
      <c r="T86" s="123"/>
      <c r="U86" s="123"/>
      <c r="V86" s="123"/>
      <c r="W86" s="123"/>
      <c r="X86" s="123"/>
      <c r="Y86" s="128"/>
    </row>
    <row r="87" spans="1:25" x14ac:dyDescent="0.45">
      <c r="A87" s="13">
        <v>802</v>
      </c>
      <c r="B87" s="13" t="s">
        <v>87</v>
      </c>
      <c r="C87" s="1"/>
      <c r="D87" s="1"/>
      <c r="K87" s="129"/>
      <c r="L87" s="130"/>
      <c r="M87" s="130"/>
      <c r="N87" s="130"/>
      <c r="O87" s="130"/>
      <c r="P87" s="130"/>
      <c r="Q87" s="130"/>
      <c r="R87" s="130"/>
      <c r="S87" s="130"/>
      <c r="T87" s="130"/>
      <c r="U87" s="130"/>
      <c r="V87" s="130"/>
      <c r="W87" s="130"/>
      <c r="X87" s="130"/>
      <c r="Y87" s="131"/>
    </row>
    <row r="88" spans="1:25" x14ac:dyDescent="0.45">
      <c r="A88" s="13">
        <v>392</v>
      </c>
      <c r="B88" s="13" t="s">
        <v>88</v>
      </c>
      <c r="C88" s="1"/>
      <c r="D88" s="1"/>
    </row>
    <row r="89" spans="1:25" x14ac:dyDescent="0.45">
      <c r="A89" s="13">
        <v>815</v>
      </c>
      <c r="B89" s="13" t="s">
        <v>89</v>
      </c>
      <c r="C89" s="1"/>
      <c r="D89" s="1"/>
    </row>
    <row r="90" spans="1:25" x14ac:dyDescent="0.45">
      <c r="A90" s="13">
        <v>928</v>
      </c>
      <c r="B90" s="13" t="s">
        <v>90</v>
      </c>
      <c r="C90" s="1"/>
      <c r="D90" s="1"/>
    </row>
    <row r="91" spans="1:25" x14ac:dyDescent="0.45">
      <c r="A91" s="13">
        <v>929</v>
      </c>
      <c r="B91" s="13" t="s">
        <v>91</v>
      </c>
      <c r="C91" s="1"/>
      <c r="D91" s="1"/>
    </row>
    <row r="92" spans="1:25" x14ac:dyDescent="0.45">
      <c r="A92" s="13">
        <v>892</v>
      </c>
      <c r="B92" s="13" t="s">
        <v>92</v>
      </c>
      <c r="C92" s="1"/>
      <c r="D92" s="1"/>
    </row>
    <row r="93" spans="1:25" x14ac:dyDescent="0.45">
      <c r="A93" s="13">
        <v>891</v>
      </c>
      <c r="B93" s="13" t="s">
        <v>93</v>
      </c>
      <c r="C93" s="1"/>
      <c r="D93" s="1"/>
    </row>
    <row r="94" spans="1:25" x14ac:dyDescent="0.45">
      <c r="A94" s="13">
        <v>353</v>
      </c>
      <c r="B94" s="13" t="s">
        <v>94</v>
      </c>
      <c r="C94" s="1"/>
      <c r="D94" s="1"/>
    </row>
    <row r="95" spans="1:25" x14ac:dyDescent="0.45">
      <c r="A95" s="13">
        <v>931</v>
      </c>
      <c r="B95" s="13" t="s">
        <v>95</v>
      </c>
      <c r="C95" s="1"/>
      <c r="D95" s="1"/>
    </row>
    <row r="96" spans="1:25" x14ac:dyDescent="0.45">
      <c r="A96" s="13">
        <v>874</v>
      </c>
      <c r="B96" s="13" t="s">
        <v>96</v>
      </c>
      <c r="C96" s="1"/>
      <c r="D96" s="1"/>
    </row>
    <row r="97" spans="1:4" x14ac:dyDescent="0.45">
      <c r="A97" s="13">
        <v>879</v>
      </c>
      <c r="B97" s="13" t="s">
        <v>97</v>
      </c>
      <c r="C97" s="1"/>
      <c r="D97" s="1"/>
    </row>
    <row r="98" spans="1:4" x14ac:dyDescent="0.45">
      <c r="A98" s="13">
        <v>851</v>
      </c>
      <c r="B98" s="13" t="s">
        <v>98</v>
      </c>
      <c r="C98" s="1"/>
      <c r="D98" s="1"/>
    </row>
    <row r="99" spans="1:4" x14ac:dyDescent="0.45">
      <c r="A99" s="13">
        <v>870</v>
      </c>
      <c r="B99" s="13" t="s">
        <v>99</v>
      </c>
      <c r="C99" s="1"/>
      <c r="D99" s="1"/>
    </row>
    <row r="100" spans="1:4" x14ac:dyDescent="0.45">
      <c r="A100" s="13">
        <v>317</v>
      </c>
      <c r="B100" s="13" t="s">
        <v>100</v>
      </c>
      <c r="C100" s="1"/>
      <c r="D100" s="1"/>
    </row>
    <row r="101" spans="1:4" x14ac:dyDescent="0.45">
      <c r="A101" s="13">
        <v>807</v>
      </c>
      <c r="B101" s="13" t="s">
        <v>101</v>
      </c>
      <c r="C101" s="1"/>
      <c r="D101" s="1"/>
    </row>
    <row r="102" spans="1:4" x14ac:dyDescent="0.45">
      <c r="A102" s="13">
        <v>318</v>
      </c>
      <c r="B102" s="13" t="s">
        <v>102</v>
      </c>
      <c r="C102" s="1"/>
      <c r="D102" s="1"/>
    </row>
    <row r="103" spans="1:4" x14ac:dyDescent="0.45">
      <c r="A103" s="13">
        <v>354</v>
      </c>
      <c r="B103" s="13" t="s">
        <v>103</v>
      </c>
      <c r="C103" s="1"/>
      <c r="D103" s="1"/>
    </row>
    <row r="104" spans="1:4" x14ac:dyDescent="0.45">
      <c r="A104" s="13">
        <v>372</v>
      </c>
      <c r="B104" s="13" t="s">
        <v>104</v>
      </c>
      <c r="C104" s="1"/>
      <c r="D104" s="1"/>
    </row>
    <row r="105" spans="1:4" x14ac:dyDescent="0.45">
      <c r="A105" s="13">
        <v>857</v>
      </c>
      <c r="B105" s="13" t="s">
        <v>105</v>
      </c>
      <c r="C105" s="1"/>
      <c r="D105" s="1"/>
    </row>
    <row r="106" spans="1:4" x14ac:dyDescent="0.45">
      <c r="A106" s="13">
        <v>355</v>
      </c>
      <c r="B106" s="13" t="s">
        <v>106</v>
      </c>
      <c r="C106" s="1"/>
      <c r="D106" s="1"/>
    </row>
    <row r="107" spans="1:4" x14ac:dyDescent="0.45">
      <c r="A107" s="13">
        <v>333</v>
      </c>
      <c r="B107" s="13" t="s">
        <v>107</v>
      </c>
      <c r="C107" s="1"/>
      <c r="D107" s="1"/>
    </row>
    <row r="108" spans="1:4" x14ac:dyDescent="0.45">
      <c r="A108" s="13">
        <v>343</v>
      </c>
      <c r="B108" s="13" t="s">
        <v>108</v>
      </c>
      <c r="C108" s="1"/>
      <c r="D108" s="1"/>
    </row>
    <row r="109" spans="1:4" x14ac:dyDescent="0.45">
      <c r="A109" s="13">
        <v>373</v>
      </c>
      <c r="B109" s="13" t="s">
        <v>109</v>
      </c>
      <c r="C109" s="1"/>
      <c r="D109" s="1"/>
    </row>
    <row r="110" spans="1:4" x14ac:dyDescent="0.45">
      <c r="A110" s="13">
        <v>893</v>
      </c>
      <c r="B110" s="13" t="s">
        <v>110</v>
      </c>
      <c r="C110" s="1"/>
      <c r="D110" s="1"/>
    </row>
    <row r="111" spans="1:4" x14ac:dyDescent="0.45">
      <c r="A111" s="13">
        <v>871</v>
      </c>
      <c r="B111" s="13" t="s">
        <v>111</v>
      </c>
      <c r="C111" s="1"/>
      <c r="D111" s="1"/>
    </row>
    <row r="112" spans="1:4" x14ac:dyDescent="0.45">
      <c r="A112" s="13">
        <v>334</v>
      </c>
      <c r="B112" s="13" t="s">
        <v>112</v>
      </c>
      <c r="C112" s="1"/>
      <c r="D112" s="1"/>
    </row>
    <row r="113" spans="1:4" x14ac:dyDescent="0.45">
      <c r="A113" s="13">
        <v>933</v>
      </c>
      <c r="B113" s="13" t="s">
        <v>113</v>
      </c>
      <c r="C113" s="1"/>
      <c r="D113" s="1"/>
    </row>
    <row r="114" spans="1:4" x14ac:dyDescent="0.45">
      <c r="A114" s="13">
        <v>803</v>
      </c>
      <c r="B114" s="13" t="s">
        <v>114</v>
      </c>
      <c r="C114" s="1"/>
      <c r="D114" s="1"/>
    </row>
    <row r="115" spans="1:4" x14ac:dyDescent="0.45">
      <c r="A115" s="13">
        <v>393</v>
      </c>
      <c r="B115" s="13" t="s">
        <v>115</v>
      </c>
      <c r="C115" s="1"/>
      <c r="D115" s="1"/>
    </row>
    <row r="116" spans="1:4" x14ac:dyDescent="0.45">
      <c r="A116" s="13">
        <v>852</v>
      </c>
      <c r="B116" s="13" t="s">
        <v>116</v>
      </c>
      <c r="C116" s="1"/>
      <c r="D116" s="1"/>
    </row>
    <row r="117" spans="1:4" x14ac:dyDescent="0.45">
      <c r="A117" s="13">
        <v>882</v>
      </c>
      <c r="B117" s="13" t="s">
        <v>117</v>
      </c>
      <c r="C117" s="1"/>
      <c r="D117" s="1"/>
    </row>
    <row r="118" spans="1:4" x14ac:dyDescent="0.45">
      <c r="A118" s="13">
        <v>210</v>
      </c>
      <c r="B118" s="13" t="s">
        <v>118</v>
      </c>
      <c r="C118" s="1"/>
      <c r="D118" s="1"/>
    </row>
    <row r="119" spans="1:4" x14ac:dyDescent="0.45">
      <c r="A119" s="13">
        <v>342</v>
      </c>
      <c r="B119" s="13" t="s">
        <v>119</v>
      </c>
      <c r="C119" s="1"/>
      <c r="D119" s="1"/>
    </row>
    <row r="120" spans="1:4" x14ac:dyDescent="0.45">
      <c r="A120" s="13">
        <v>860</v>
      </c>
      <c r="B120" s="13" t="s">
        <v>120</v>
      </c>
      <c r="C120" s="1"/>
      <c r="D120" s="1"/>
    </row>
    <row r="121" spans="1:4" x14ac:dyDescent="0.45">
      <c r="A121" s="13">
        <v>356</v>
      </c>
      <c r="B121" s="13" t="s">
        <v>121</v>
      </c>
      <c r="C121" s="1"/>
      <c r="D121" s="1"/>
    </row>
    <row r="122" spans="1:4" x14ac:dyDescent="0.45">
      <c r="A122" s="13">
        <v>808</v>
      </c>
      <c r="B122" s="13" t="s">
        <v>122</v>
      </c>
      <c r="C122" s="1"/>
      <c r="D122" s="1"/>
    </row>
    <row r="123" spans="1:4" x14ac:dyDescent="0.45">
      <c r="A123" s="13">
        <v>861</v>
      </c>
      <c r="B123" s="13" t="s">
        <v>123</v>
      </c>
      <c r="C123" s="1"/>
      <c r="D123" s="1"/>
    </row>
    <row r="124" spans="1:4" x14ac:dyDescent="0.45">
      <c r="A124" s="13">
        <v>935</v>
      </c>
      <c r="B124" s="13" t="s">
        <v>124</v>
      </c>
      <c r="C124" s="1"/>
      <c r="D124" s="1"/>
    </row>
    <row r="125" spans="1:4" x14ac:dyDescent="0.45">
      <c r="A125" s="13">
        <v>394</v>
      </c>
      <c r="B125" s="13" t="s">
        <v>125</v>
      </c>
      <c r="C125" s="1"/>
      <c r="D125" s="1"/>
    </row>
    <row r="126" spans="1:4" x14ac:dyDescent="0.45">
      <c r="A126" s="13">
        <v>936</v>
      </c>
      <c r="B126" s="13" t="s">
        <v>126</v>
      </c>
      <c r="C126" s="1"/>
      <c r="D126" s="1"/>
    </row>
    <row r="127" spans="1:4" x14ac:dyDescent="0.45">
      <c r="A127" s="13">
        <v>319</v>
      </c>
      <c r="B127" s="13" t="s">
        <v>127</v>
      </c>
      <c r="C127" s="1"/>
      <c r="D127" s="1"/>
    </row>
    <row r="128" spans="1:4" x14ac:dyDescent="0.45">
      <c r="A128" s="13">
        <v>866</v>
      </c>
      <c r="B128" s="13" t="s">
        <v>128</v>
      </c>
      <c r="C128" s="1"/>
      <c r="D128" s="1"/>
    </row>
    <row r="129" spans="1:4" x14ac:dyDescent="0.45">
      <c r="A129" s="13">
        <v>357</v>
      </c>
      <c r="B129" s="13" t="s">
        <v>129</v>
      </c>
      <c r="C129" s="1"/>
      <c r="D129" s="1"/>
    </row>
    <row r="130" spans="1:4" x14ac:dyDescent="0.45">
      <c r="A130" s="13">
        <v>894</v>
      </c>
      <c r="B130" s="13" t="s">
        <v>130</v>
      </c>
      <c r="C130" s="1"/>
      <c r="D130" s="1"/>
    </row>
    <row r="131" spans="1:4" x14ac:dyDescent="0.45">
      <c r="A131" s="13">
        <v>883</v>
      </c>
      <c r="B131" s="13" t="s">
        <v>131</v>
      </c>
      <c r="C131" s="1"/>
      <c r="D131" s="1"/>
    </row>
    <row r="132" spans="1:4" x14ac:dyDescent="0.45">
      <c r="A132" s="13">
        <v>880</v>
      </c>
      <c r="B132" s="13" t="s">
        <v>132</v>
      </c>
      <c r="C132" s="1"/>
      <c r="D132" s="1"/>
    </row>
    <row r="133" spans="1:4" x14ac:dyDescent="0.45">
      <c r="A133" s="13">
        <v>211</v>
      </c>
      <c r="B133" s="13" t="s">
        <v>133</v>
      </c>
      <c r="C133" s="1"/>
      <c r="D133" s="1"/>
    </row>
    <row r="134" spans="1:4" x14ac:dyDescent="0.45">
      <c r="A134" s="13">
        <v>358</v>
      </c>
      <c r="B134" s="13" t="s">
        <v>134</v>
      </c>
      <c r="C134" s="1"/>
      <c r="D134" s="1"/>
    </row>
    <row r="135" spans="1:4" x14ac:dyDescent="0.45">
      <c r="A135" s="13">
        <v>384</v>
      </c>
      <c r="B135" s="13" t="s">
        <v>135</v>
      </c>
      <c r="C135" s="1"/>
      <c r="D135" s="1"/>
    </row>
    <row r="136" spans="1:4" x14ac:dyDescent="0.45">
      <c r="A136" s="13">
        <v>335</v>
      </c>
      <c r="B136" s="13" t="s">
        <v>136</v>
      </c>
      <c r="C136" s="1"/>
      <c r="D136" s="1"/>
    </row>
    <row r="137" spans="1:4" x14ac:dyDescent="0.45">
      <c r="A137" s="13">
        <v>320</v>
      </c>
      <c r="B137" s="13" t="s">
        <v>137</v>
      </c>
      <c r="C137" s="1"/>
      <c r="D137" s="1"/>
    </row>
    <row r="138" spans="1:4" x14ac:dyDescent="0.45">
      <c r="A138" s="13">
        <v>212</v>
      </c>
      <c r="B138" s="13" t="s">
        <v>138</v>
      </c>
      <c r="C138" s="1"/>
      <c r="D138" s="1"/>
    </row>
    <row r="139" spans="1:4" x14ac:dyDescent="0.45">
      <c r="A139" s="13">
        <v>877</v>
      </c>
      <c r="B139" s="13" t="s">
        <v>139</v>
      </c>
      <c r="C139" s="1"/>
      <c r="D139" s="1"/>
    </row>
    <row r="140" spans="1:4" x14ac:dyDescent="0.45">
      <c r="A140" s="13">
        <v>937</v>
      </c>
      <c r="B140" s="13" t="s">
        <v>140</v>
      </c>
      <c r="C140" s="1"/>
      <c r="D140" s="1"/>
    </row>
    <row r="141" spans="1:4" x14ac:dyDescent="0.45">
      <c r="A141" s="13">
        <v>869</v>
      </c>
      <c r="B141" s="13" t="s">
        <v>141</v>
      </c>
      <c r="C141" s="1"/>
      <c r="D141" s="1"/>
    </row>
    <row r="142" spans="1:4" x14ac:dyDescent="0.45">
      <c r="A142" s="13">
        <v>938</v>
      </c>
      <c r="B142" s="13" t="s">
        <v>142</v>
      </c>
      <c r="C142" s="1"/>
      <c r="D142" s="1"/>
    </row>
    <row r="143" spans="1:4" x14ac:dyDescent="0.45">
      <c r="A143" s="13">
        <v>213</v>
      </c>
      <c r="B143" s="13" t="s">
        <v>143</v>
      </c>
      <c r="C143" s="1"/>
      <c r="D143" s="1"/>
    </row>
    <row r="144" spans="1:4" x14ac:dyDescent="0.45">
      <c r="A144" s="13">
        <v>359</v>
      </c>
      <c r="B144" s="13" t="s">
        <v>144</v>
      </c>
      <c r="C144" s="1"/>
      <c r="D144" s="1"/>
    </row>
    <row r="145" spans="1:4" x14ac:dyDescent="0.45">
      <c r="A145" s="13">
        <v>865</v>
      </c>
      <c r="B145" s="13" t="s">
        <v>145</v>
      </c>
      <c r="C145" s="1"/>
      <c r="D145" s="1"/>
    </row>
    <row r="146" spans="1:4" x14ac:dyDescent="0.45">
      <c r="A146" s="13">
        <v>868</v>
      </c>
      <c r="B146" s="13" t="s">
        <v>146</v>
      </c>
      <c r="C146" s="1"/>
      <c r="D146" s="1"/>
    </row>
    <row r="147" spans="1:4" x14ac:dyDescent="0.45">
      <c r="A147" s="13">
        <v>344</v>
      </c>
      <c r="B147" s="13" t="s">
        <v>147</v>
      </c>
      <c r="C147" s="1"/>
      <c r="D147" s="1"/>
    </row>
    <row r="148" spans="1:4" x14ac:dyDescent="0.45">
      <c r="A148" s="13">
        <v>872</v>
      </c>
      <c r="B148" s="13" t="s">
        <v>148</v>
      </c>
      <c r="C148" s="1"/>
      <c r="D148" s="1"/>
    </row>
    <row r="149" spans="1:4" x14ac:dyDescent="0.45">
      <c r="A149" s="13">
        <v>336</v>
      </c>
      <c r="B149" s="13" t="s">
        <v>149</v>
      </c>
      <c r="C149" s="1"/>
      <c r="D149" s="1"/>
    </row>
    <row r="150" spans="1:4" x14ac:dyDescent="0.45">
      <c r="A150" s="13">
        <v>885</v>
      </c>
      <c r="B150" s="13" t="s">
        <v>150</v>
      </c>
      <c r="C150" s="1"/>
      <c r="D150" s="1"/>
    </row>
    <row r="151" spans="1:4" x14ac:dyDescent="0.45">
      <c r="A151" s="13">
        <v>816</v>
      </c>
      <c r="B151" s="13" t="s">
        <v>151</v>
      </c>
      <c r="C151" s="1"/>
      <c r="D151" s="1"/>
    </row>
  </sheetData>
  <mergeCells count="2">
    <mergeCell ref="T19:U19"/>
    <mergeCell ref="V19:W19"/>
  </mergeCells>
  <pageMargins left="0.7" right="0.7" top="0.75" bottom="0.75" header="0.3" footer="0.3"/>
  <pageSetup paperSize="9" orientation="portrait" r:id="rId1"/>
  <ignoredErrors>
    <ignoredError sqref="L15"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I36"/>
  <sheetViews>
    <sheetView tabSelected="1" zoomScaleNormal="100" zoomScaleSheetLayoutView="90" zoomScalePageLayoutView="60" workbookViewId="0"/>
  </sheetViews>
  <sheetFormatPr defaultColWidth="0" defaultRowHeight="0" customHeight="1" zeroHeight="1" x14ac:dyDescent="0.45"/>
  <cols>
    <col min="1" max="1" width="0.86328125" customWidth="1"/>
    <col min="2" max="2" width="1.3984375" customWidth="1"/>
    <col min="3" max="13" width="6.86328125" customWidth="1"/>
    <col min="14" max="14" width="0.86328125" customWidth="1"/>
    <col min="15" max="15" width="1.3984375" customWidth="1"/>
    <col min="16" max="18" width="6.86328125" customWidth="1"/>
    <col min="19" max="19" width="7" customWidth="1"/>
    <col min="20" max="20" width="6.86328125" customWidth="1"/>
    <col min="21" max="21" width="5.1328125" customWidth="1"/>
    <col min="22" max="22" width="1" customWidth="1"/>
    <col min="23" max="23" width="6.86328125" customWidth="1"/>
    <col min="24" max="24" width="9.1328125" customWidth="1"/>
    <col min="25" max="25" width="11.1328125" customWidth="1"/>
    <col min="26" max="26" width="0.86328125" customWidth="1"/>
    <col min="27" max="27" width="2.59765625" hidden="1" customWidth="1"/>
    <col min="28" max="35" width="0" hidden="1" customWidth="1"/>
    <col min="36" max="16384" width="8.86328125" hidden="1"/>
  </cols>
  <sheetData>
    <row r="1" spans="1:26" ht="6" customHeight="1" x14ac:dyDescent="0.45">
      <c r="A1" s="1"/>
      <c r="B1" s="1"/>
      <c r="C1" s="1"/>
      <c r="D1" s="1"/>
      <c r="E1" s="1"/>
      <c r="F1" s="1"/>
      <c r="G1" s="1"/>
      <c r="H1" s="1"/>
      <c r="I1" s="1"/>
      <c r="J1" s="1"/>
      <c r="K1" s="1"/>
      <c r="L1" s="1"/>
      <c r="M1" s="1"/>
      <c r="N1" s="1"/>
      <c r="O1" s="1"/>
      <c r="P1" s="1"/>
      <c r="Q1" s="1"/>
      <c r="R1" s="1"/>
      <c r="S1" s="1"/>
      <c r="T1" s="1"/>
      <c r="U1" s="1"/>
      <c r="V1" s="1"/>
      <c r="W1" s="1"/>
      <c r="X1" s="1"/>
      <c r="Y1" s="1"/>
      <c r="Z1" s="1"/>
    </row>
    <row r="2" spans="1:26" ht="15" customHeight="1" x14ac:dyDescent="0.45">
      <c r="A2" s="1"/>
      <c r="B2" s="392" t="s">
        <v>248</v>
      </c>
      <c r="C2" s="392"/>
      <c r="D2" s="392"/>
      <c r="E2" s="25"/>
      <c r="F2" s="22"/>
      <c r="G2" s="22"/>
      <c r="H2" s="22"/>
      <c r="I2" s="23"/>
      <c r="J2" s="23"/>
      <c r="K2" s="23"/>
      <c r="L2" s="23"/>
      <c r="M2" s="23"/>
      <c r="N2" s="23"/>
      <c r="O2" s="23"/>
      <c r="P2" s="24"/>
      <c r="Q2" s="23"/>
      <c r="R2" s="23"/>
      <c r="S2" s="394"/>
      <c r="T2" s="394"/>
      <c r="U2" s="394"/>
      <c r="V2" s="394"/>
      <c r="W2" s="394"/>
      <c r="X2" s="23"/>
      <c r="Y2" s="23"/>
      <c r="Z2" s="1"/>
    </row>
    <row r="3" spans="1:26" ht="18" customHeight="1" x14ac:dyDescent="0.45">
      <c r="A3" s="1"/>
      <c r="B3" s="392"/>
      <c r="C3" s="392"/>
      <c r="D3" s="392"/>
      <c r="E3" s="25"/>
      <c r="F3" s="22"/>
      <c r="G3" s="22"/>
      <c r="H3" s="22"/>
      <c r="I3" s="23"/>
      <c r="J3" s="23"/>
      <c r="K3" s="23"/>
      <c r="L3" s="23"/>
      <c r="M3" s="23"/>
      <c r="N3" s="23"/>
      <c r="O3" s="23"/>
      <c r="P3" s="23"/>
      <c r="Q3" s="23"/>
      <c r="R3" s="23"/>
      <c r="S3" s="394"/>
      <c r="T3" s="394"/>
      <c r="U3" s="394"/>
      <c r="V3" s="394"/>
      <c r="W3" s="394"/>
      <c r="X3" s="23"/>
      <c r="Y3" s="23"/>
      <c r="Z3" s="1"/>
    </row>
    <row r="4" spans="1:26" ht="5.25" customHeight="1" thickBot="1" x14ac:dyDescent="0.5">
      <c r="A4" s="1"/>
      <c r="B4" s="1"/>
      <c r="C4" s="9"/>
      <c r="D4" s="9"/>
      <c r="E4" s="9"/>
      <c r="F4" s="1"/>
      <c r="G4" s="1"/>
      <c r="H4" s="1"/>
      <c r="I4" s="1"/>
      <c r="J4" s="1"/>
      <c r="K4" s="1"/>
      <c r="L4" s="1"/>
      <c r="M4" s="1"/>
      <c r="N4" s="1"/>
      <c r="O4" s="1"/>
      <c r="P4" s="1"/>
      <c r="Q4" s="1"/>
      <c r="R4" s="1"/>
      <c r="S4" s="1"/>
      <c r="T4" s="10"/>
      <c r="U4" s="10"/>
      <c r="V4" s="10"/>
      <c r="W4" s="10"/>
      <c r="X4" s="1"/>
      <c r="Y4" s="1"/>
      <c r="Z4" s="1"/>
    </row>
    <row r="5" spans="1:26" ht="15" customHeight="1" x14ac:dyDescent="0.45">
      <c r="A5" s="1"/>
      <c r="B5" s="39" t="s">
        <v>166</v>
      </c>
      <c r="C5" s="40"/>
      <c r="D5" s="33"/>
      <c r="E5" s="177"/>
      <c r="F5" s="177"/>
      <c r="G5" s="179"/>
      <c r="H5" s="182"/>
      <c r="I5" s="38"/>
      <c r="J5" s="183"/>
      <c r="K5" s="38"/>
      <c r="L5" s="40"/>
      <c r="M5" s="40"/>
      <c r="N5" s="106"/>
      <c r="O5" s="36" t="s">
        <v>189</v>
      </c>
      <c r="P5" s="106"/>
      <c r="Q5" s="64"/>
      <c r="R5" s="26"/>
      <c r="S5" s="26"/>
      <c r="T5" s="26"/>
      <c r="U5" s="26"/>
      <c r="V5" s="107"/>
      <c r="W5" s="39" t="s">
        <v>234</v>
      </c>
      <c r="X5" s="110"/>
      <c r="Y5" s="111"/>
      <c r="Z5" s="1"/>
    </row>
    <row r="6" spans="1:26" ht="18" customHeight="1" x14ac:dyDescent="0.45">
      <c r="A6" s="1"/>
      <c r="B6" s="34"/>
      <c r="C6" s="23"/>
      <c r="D6" s="23"/>
      <c r="E6" s="178"/>
      <c r="F6" s="178"/>
      <c r="G6" s="180"/>
      <c r="H6" s="184"/>
      <c r="I6" s="41"/>
      <c r="J6" s="185"/>
      <c r="K6" s="41"/>
      <c r="L6" s="23"/>
      <c r="M6" s="23"/>
      <c r="N6" s="18"/>
      <c r="O6" s="37" t="s">
        <v>190</v>
      </c>
      <c r="P6" s="18"/>
      <c r="Q6" s="3"/>
      <c r="R6" s="3"/>
      <c r="S6" s="3"/>
      <c r="T6" s="11"/>
      <c r="U6" s="11"/>
      <c r="V6" s="108"/>
      <c r="W6" s="23"/>
      <c r="X6" s="23"/>
      <c r="Y6" s="62"/>
      <c r="Z6" s="1"/>
    </row>
    <row r="7" spans="1:26" ht="15" customHeight="1" thickBot="1" x14ac:dyDescent="0.5">
      <c r="A7" s="1"/>
      <c r="B7" s="34"/>
      <c r="C7" s="365"/>
      <c r="D7" s="365"/>
      <c r="E7" s="365"/>
      <c r="F7" s="365"/>
      <c r="G7" s="393"/>
      <c r="H7" s="184"/>
      <c r="I7" s="41"/>
      <c r="J7" s="185"/>
      <c r="K7" s="41"/>
      <c r="L7" s="41"/>
      <c r="M7" s="41"/>
      <c r="N7" s="18"/>
      <c r="O7" s="35" t="s">
        <v>191</v>
      </c>
      <c r="P7" s="18"/>
      <c r="Q7" s="3"/>
      <c r="R7" s="3"/>
      <c r="S7" s="3"/>
      <c r="T7" s="3"/>
      <c r="U7" s="3"/>
      <c r="V7" s="109"/>
      <c r="W7" s="151"/>
      <c r="X7" s="152"/>
      <c r="Y7" s="153"/>
      <c r="Z7" s="1"/>
    </row>
    <row r="8" spans="1:26" ht="15" customHeight="1" x14ac:dyDescent="0.45">
      <c r="A8" s="1"/>
      <c r="B8" s="34"/>
      <c r="C8" s="34"/>
      <c r="D8" s="34"/>
      <c r="E8" s="34"/>
      <c r="F8" s="34"/>
      <c r="G8" s="181"/>
      <c r="H8" s="186"/>
      <c r="I8" s="34"/>
      <c r="J8" s="181"/>
      <c r="K8" s="62"/>
      <c r="L8" s="34"/>
      <c r="M8" s="34"/>
      <c r="N8" s="18"/>
      <c r="O8" s="18"/>
      <c r="P8" s="18"/>
      <c r="Q8" s="17"/>
      <c r="R8" s="3"/>
      <c r="S8" s="3"/>
      <c r="T8" s="3"/>
      <c r="U8" s="3"/>
      <c r="V8" s="109"/>
      <c r="W8" s="395"/>
      <c r="X8" s="396"/>
      <c r="Y8" s="360"/>
      <c r="Z8" s="1"/>
    </row>
    <row r="9" spans="1:26" ht="17.25" customHeight="1" thickBot="1" x14ac:dyDescent="0.5">
      <c r="A9" s="1"/>
      <c r="B9" s="28"/>
      <c r="C9" s="3"/>
      <c r="D9" s="3"/>
      <c r="E9" s="3"/>
      <c r="F9" s="3"/>
      <c r="G9" s="3"/>
      <c r="H9" s="3"/>
      <c r="I9" s="3"/>
      <c r="J9" s="3"/>
      <c r="K9" s="3"/>
      <c r="L9" s="3"/>
      <c r="M9" s="3"/>
      <c r="N9" s="18"/>
      <c r="O9" s="18"/>
      <c r="P9" s="18"/>
      <c r="Q9" s="17"/>
      <c r="R9" s="242" t="str">
        <f>IF(OR(chosen_LA="City of London",chosen_LA="Isles of Scilly"),"See Summary Data","")</f>
        <v/>
      </c>
      <c r="S9" s="3"/>
      <c r="T9" s="3"/>
      <c r="U9" s="3"/>
      <c r="V9" s="109"/>
      <c r="W9" s="395"/>
      <c r="X9" s="396"/>
      <c r="Y9" s="361"/>
      <c r="Z9" s="1"/>
    </row>
    <row r="10" spans="1:26" ht="15" customHeight="1" x14ac:dyDescent="0.45">
      <c r="A10" s="1"/>
      <c r="B10" s="28"/>
      <c r="C10" s="3"/>
      <c r="D10" s="3"/>
      <c r="E10" s="3"/>
      <c r="F10" s="3"/>
      <c r="G10" s="3"/>
      <c r="H10" s="3"/>
      <c r="I10" s="3"/>
      <c r="J10" s="3"/>
      <c r="K10" s="3"/>
      <c r="L10" s="3"/>
      <c r="M10" s="3"/>
      <c r="N10" s="3"/>
      <c r="O10" s="3"/>
      <c r="P10" s="3"/>
      <c r="Q10" s="3"/>
      <c r="R10" s="3"/>
      <c r="S10" s="3"/>
      <c r="T10" s="3"/>
      <c r="U10" s="3"/>
      <c r="V10" s="109"/>
      <c r="W10" s="395"/>
      <c r="X10" s="396"/>
      <c r="Y10" s="362"/>
      <c r="Z10" s="1"/>
    </row>
    <row r="11" spans="1:26" ht="15" customHeight="1" x14ac:dyDescent="0.45">
      <c r="A11" s="1"/>
      <c r="B11" s="28"/>
      <c r="C11" s="3"/>
      <c r="D11" s="3"/>
      <c r="E11" s="3"/>
      <c r="F11" s="3"/>
      <c r="G11" s="3"/>
      <c r="H11" s="3"/>
      <c r="I11" s="3"/>
      <c r="J11" s="3"/>
      <c r="K11" s="3"/>
      <c r="L11" s="3"/>
      <c r="M11" s="3"/>
      <c r="N11" s="18"/>
      <c r="O11" s="18"/>
      <c r="P11" s="18"/>
      <c r="Q11" s="17"/>
      <c r="R11" s="3"/>
      <c r="S11" s="3"/>
      <c r="T11" s="3"/>
      <c r="U11" s="3"/>
      <c r="V11" s="109"/>
      <c r="W11" s="395"/>
      <c r="X11" s="396"/>
      <c r="Y11" s="363"/>
      <c r="Z11" s="1"/>
    </row>
    <row r="12" spans="1:26" ht="15" customHeight="1" x14ac:dyDescent="0.45">
      <c r="A12" s="1"/>
      <c r="B12" s="28"/>
      <c r="C12" s="3"/>
      <c r="D12" s="3"/>
      <c r="E12" s="3"/>
      <c r="F12" s="3"/>
      <c r="G12" s="3"/>
      <c r="H12" s="3"/>
      <c r="I12" s="3"/>
      <c r="J12" s="3"/>
      <c r="K12" s="3"/>
      <c r="L12" s="3"/>
      <c r="M12" s="3"/>
      <c r="N12" s="18"/>
      <c r="O12" s="35" t="s">
        <v>189</v>
      </c>
      <c r="P12" s="18"/>
      <c r="Q12" s="17"/>
      <c r="R12" s="3"/>
      <c r="S12" s="3"/>
      <c r="T12" s="3"/>
      <c r="U12" s="3"/>
      <c r="V12" s="109"/>
      <c r="W12" s="113"/>
      <c r="X12" s="3"/>
      <c r="Y12" s="27"/>
      <c r="Z12" s="1"/>
    </row>
    <row r="13" spans="1:26" ht="15" customHeight="1" x14ac:dyDescent="0.45">
      <c r="A13" s="1"/>
      <c r="B13" s="28"/>
      <c r="C13" s="3"/>
      <c r="D13" s="3"/>
      <c r="E13" s="3"/>
      <c r="F13" s="3"/>
      <c r="G13" s="3"/>
      <c r="H13" s="3"/>
      <c r="I13" s="3"/>
      <c r="J13" s="3"/>
      <c r="K13" s="3"/>
      <c r="L13" s="3"/>
      <c r="M13" s="3"/>
      <c r="N13" s="18"/>
      <c r="O13" s="35" t="s">
        <v>192</v>
      </c>
      <c r="P13" s="18"/>
      <c r="Q13" s="3"/>
      <c r="R13" s="3"/>
      <c r="S13" s="3"/>
      <c r="T13" s="11"/>
      <c r="U13" s="11"/>
      <c r="V13" s="108"/>
      <c r="W13" s="3"/>
      <c r="X13" s="3"/>
      <c r="Y13" s="27"/>
      <c r="Z13" s="1"/>
    </row>
    <row r="14" spans="1:26" ht="15" customHeight="1" x14ac:dyDescent="0.45">
      <c r="A14" s="1"/>
      <c r="B14" s="28"/>
      <c r="C14" s="3"/>
      <c r="D14" s="3"/>
      <c r="E14" s="3"/>
      <c r="F14" s="3"/>
      <c r="G14" s="3"/>
      <c r="H14" s="3"/>
      <c r="I14" s="3"/>
      <c r="J14" s="3"/>
      <c r="K14" s="3"/>
      <c r="L14" s="3"/>
      <c r="M14" s="3"/>
      <c r="N14" s="18"/>
      <c r="O14" s="35" t="s">
        <v>191</v>
      </c>
      <c r="P14" s="18"/>
      <c r="Q14" s="17"/>
      <c r="R14" s="3"/>
      <c r="S14" s="3"/>
      <c r="T14" s="3"/>
      <c r="U14" s="3"/>
      <c r="V14" s="109"/>
      <c r="W14" s="3"/>
      <c r="X14" s="3"/>
      <c r="Y14" s="27"/>
      <c r="Z14" s="1"/>
    </row>
    <row r="15" spans="1:26" ht="15" customHeight="1" x14ac:dyDescent="0.45">
      <c r="A15" s="1"/>
      <c r="B15" s="28"/>
      <c r="C15" s="3"/>
      <c r="D15" s="3"/>
      <c r="E15" s="3"/>
      <c r="F15" s="3"/>
      <c r="G15" s="3"/>
      <c r="H15" s="3"/>
      <c r="I15" s="3"/>
      <c r="J15" s="3"/>
      <c r="K15" s="3"/>
      <c r="L15" s="3"/>
      <c r="M15" s="3"/>
      <c r="N15" s="18"/>
      <c r="O15" s="18"/>
      <c r="P15" s="18"/>
      <c r="Q15" s="17"/>
      <c r="R15" s="3"/>
      <c r="S15" s="3"/>
      <c r="T15" s="3"/>
      <c r="U15" s="3"/>
      <c r="V15" s="109"/>
      <c r="W15" s="3"/>
      <c r="X15" s="3"/>
      <c r="Y15" s="27"/>
      <c r="Z15" s="1"/>
    </row>
    <row r="16" spans="1:26" ht="15" customHeight="1" x14ac:dyDescent="0.45">
      <c r="A16" s="1"/>
      <c r="B16" s="28"/>
      <c r="C16" s="3"/>
      <c r="D16" s="3"/>
      <c r="E16" s="3"/>
      <c r="F16" s="3"/>
      <c r="G16" s="3"/>
      <c r="H16" s="3"/>
      <c r="I16" s="3"/>
      <c r="J16" s="3"/>
      <c r="K16" s="3"/>
      <c r="L16" s="3"/>
      <c r="M16" s="3"/>
      <c r="N16" s="18"/>
      <c r="O16" s="18"/>
      <c r="P16" s="18"/>
      <c r="Q16" s="3"/>
      <c r="R16" s="241" t="str">
        <f>IF(OR(chosen_LA="City of London",chosen_LA="Isles of Scilly"),"See Summary Data","")</f>
        <v/>
      </c>
      <c r="S16" s="112"/>
      <c r="T16" s="3"/>
      <c r="U16" s="3"/>
      <c r="V16" s="109"/>
      <c r="W16" s="112"/>
      <c r="X16" s="241" t="str">
        <f>IF(chosen_LA="Isles Of Scilly","See Summary Data Notes","")</f>
        <v/>
      </c>
      <c r="Y16" s="27"/>
      <c r="Z16" s="1"/>
    </row>
    <row r="17" spans="1:33" ht="15.75" customHeight="1" x14ac:dyDescent="0.45">
      <c r="A17" s="1"/>
      <c r="B17" s="28"/>
      <c r="C17" s="3"/>
      <c r="D17" s="3"/>
      <c r="E17" s="3"/>
      <c r="F17" s="3"/>
      <c r="G17" s="3"/>
      <c r="H17" s="3"/>
      <c r="I17" s="3"/>
      <c r="J17" s="3"/>
      <c r="K17" s="3"/>
      <c r="L17" s="3"/>
      <c r="M17" s="3"/>
      <c r="N17" s="3"/>
      <c r="O17" s="3"/>
      <c r="P17" s="3"/>
      <c r="Q17" s="3"/>
      <c r="R17" s="3"/>
      <c r="S17" s="3"/>
      <c r="T17" s="3"/>
      <c r="U17" s="3"/>
      <c r="V17" s="109"/>
      <c r="W17" s="380" t="s">
        <v>235</v>
      </c>
      <c r="X17" s="381"/>
      <c r="Y17" s="382"/>
      <c r="Z17" s="1"/>
    </row>
    <row r="18" spans="1:33" ht="4.5" customHeight="1" thickBot="1" x14ac:dyDescent="0.5">
      <c r="A18" s="1"/>
      <c r="B18" s="29"/>
      <c r="C18" s="30"/>
      <c r="D18" s="30"/>
      <c r="E18" s="30"/>
      <c r="F18" s="30"/>
      <c r="G18" s="30"/>
      <c r="H18" s="30"/>
      <c r="I18" s="30"/>
      <c r="J18" s="30"/>
      <c r="K18" s="30"/>
      <c r="L18" s="30"/>
      <c r="M18" s="30"/>
      <c r="N18" s="30"/>
      <c r="O18" s="30"/>
      <c r="P18" s="30"/>
      <c r="Q18" s="31"/>
      <c r="R18" s="30"/>
      <c r="S18" s="30"/>
      <c r="T18" s="30"/>
      <c r="U18" s="30"/>
      <c r="V18" s="109"/>
      <c r="W18" s="30"/>
      <c r="X18" s="30"/>
      <c r="Y18" s="32"/>
      <c r="Z18" s="1"/>
    </row>
    <row r="19" spans="1:33" ht="5.25" customHeight="1" thickBot="1" x14ac:dyDescent="0.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33" ht="15" customHeight="1" x14ac:dyDescent="0.45">
      <c r="A20" s="1"/>
      <c r="B20" s="51" t="s">
        <v>152</v>
      </c>
      <c r="C20" s="33"/>
      <c r="D20" s="33"/>
      <c r="E20" s="40"/>
      <c r="F20" s="149"/>
      <c r="G20" s="46"/>
      <c r="H20" s="40"/>
      <c r="I20" s="40"/>
      <c r="J20" s="47"/>
      <c r="K20" s="47"/>
      <c r="L20" s="47"/>
      <c r="M20" s="61"/>
      <c r="N20" s="1"/>
      <c r="O20" s="51" t="s">
        <v>153</v>
      </c>
      <c r="P20" s="33"/>
      <c r="Q20" s="33"/>
      <c r="R20" s="52"/>
      <c r="S20" s="40"/>
      <c r="T20" s="364"/>
      <c r="U20" s="364"/>
      <c r="V20" s="40"/>
      <c r="W20" s="40"/>
      <c r="X20" s="40"/>
      <c r="Y20" s="61"/>
      <c r="Z20" s="1"/>
    </row>
    <row r="21" spans="1:33" ht="18" customHeight="1" x14ac:dyDescent="0.85">
      <c r="A21" s="1"/>
      <c r="B21" s="34"/>
      <c r="C21" s="48"/>
      <c r="D21" s="48"/>
      <c r="E21" s="49"/>
      <c r="F21" s="150"/>
      <c r="G21" s="49"/>
      <c r="H21" s="49"/>
      <c r="I21" s="49"/>
      <c r="J21" s="50"/>
      <c r="K21" s="50"/>
      <c r="L21" s="50"/>
      <c r="M21" s="62"/>
      <c r="N21" s="1"/>
      <c r="O21" s="34"/>
      <c r="P21" s="23"/>
      <c r="Q21" s="23"/>
      <c r="R21" s="23"/>
      <c r="S21" s="23"/>
      <c r="T21" s="365"/>
      <c r="U21" s="365"/>
      <c r="V21" s="23"/>
      <c r="W21" s="23"/>
      <c r="X21" s="23"/>
      <c r="Y21" s="62"/>
      <c r="Z21" s="1"/>
    </row>
    <row r="22" spans="1:33" ht="15" customHeight="1" x14ac:dyDescent="0.85">
      <c r="A22" s="1"/>
      <c r="B22" s="397" t="str">
        <f>IF(AND(OR(Chosen_Qual="Reading progress",Chosen_Qual="Maths Progress"),chosen_phase="Secondary"),"Maths and reading progress ratings are relevant to the Primary phase only",IF(AND(Chosen_Qual="Progress 8 Score",chosen_phase="Primary"),"Progress 8 score is relevant to the Secondary phase only",IF(Chosen_Qual = "Ofsted Rating", "Select quality measure with drop down arrow:","")))</f>
        <v>Select quality measure with drop down arrow:</v>
      </c>
      <c r="C22" s="398"/>
      <c r="D22" s="398"/>
      <c r="E22" s="398"/>
      <c r="F22" s="398"/>
      <c r="G22" s="398"/>
      <c r="H22" s="398"/>
      <c r="I22" s="398"/>
      <c r="J22" s="398"/>
      <c r="K22" s="7"/>
      <c r="L22" s="7"/>
      <c r="M22" s="27"/>
      <c r="N22" s="1"/>
      <c r="O22" s="53"/>
      <c r="P22" s="3"/>
      <c r="Q22" s="3"/>
      <c r="R22" s="55"/>
      <c r="S22" s="3"/>
      <c r="T22" s="3"/>
      <c r="U22" s="3"/>
      <c r="V22" s="3"/>
      <c r="W22" s="55"/>
      <c r="X22" s="3"/>
      <c r="Y22" s="56"/>
      <c r="Z22" s="1"/>
    </row>
    <row r="23" spans="1:33" ht="15" customHeight="1" x14ac:dyDescent="0.75">
      <c r="A23" s="1"/>
      <c r="B23" s="378" t="str">
        <f>IF(chosen_LA="England","",chosen_LA)</f>
        <v/>
      </c>
      <c r="C23" s="379"/>
      <c r="D23" s="21"/>
      <c r="E23" s="6"/>
      <c r="F23" s="6"/>
      <c r="G23" s="6"/>
      <c r="H23" s="6"/>
      <c r="I23" s="6"/>
      <c r="J23" s="3"/>
      <c r="K23" s="3"/>
      <c r="L23" s="3"/>
      <c r="M23" s="27"/>
      <c r="N23" s="1"/>
      <c r="O23" s="54"/>
      <c r="P23" s="12"/>
      <c r="Q23" s="368" t="str">
        <f>IF(Calculations!K$45=5,IF(Calculations!O$45=5,Calculations!V$47,Calculations!K$47),IF(Calculations!O$45=5,Calculations!O47,""))</f>
        <v/>
      </c>
      <c r="R23" s="368"/>
      <c r="S23" s="12"/>
      <c r="T23" s="368" t="str">
        <f>IF(Calculations!L$45=5,IF(Calculations!P$45=5,Calculations!W$47,Calculations!L$47),IF(Calculations!P$45=5,Calculations!P47,""))</f>
        <v/>
      </c>
      <c r="U23" s="368"/>
      <c r="V23" s="368"/>
      <c r="W23" s="176"/>
      <c r="X23" s="366" t="str">
        <f>IF(Calculations!M$45=5,IF(Calculations!Q$45=5,Calculations!X$47,Calculations!M$47),IF(Calculations!Q$45=5,Calculations!Q47,""))</f>
        <v/>
      </c>
      <c r="Y23" s="367"/>
      <c r="Z23" s="1"/>
    </row>
    <row r="24" spans="1:33" ht="15" customHeight="1" x14ac:dyDescent="0.55000000000000004">
      <c r="A24" s="1"/>
      <c r="B24" s="378"/>
      <c r="C24" s="379"/>
      <c r="D24" s="3"/>
      <c r="E24" s="3"/>
      <c r="F24" s="3"/>
      <c r="G24" s="3"/>
      <c r="H24" s="3"/>
      <c r="I24" s="3"/>
      <c r="J24" s="3"/>
      <c r="K24" s="3"/>
      <c r="L24" s="3"/>
      <c r="M24" s="27"/>
      <c r="N24" s="1"/>
      <c r="O24" s="54"/>
      <c r="P24" s="12"/>
      <c r="Q24" s="368" t="str">
        <f>IF(Calculations!K$45=5,IF(Calculations!O$45=5,Calculations!S$47,""),"")</f>
        <v/>
      </c>
      <c r="R24" s="368"/>
      <c r="S24" s="12"/>
      <c r="T24" s="368" t="str">
        <f>IF(Calculations!L$45=5,IF(Calculations!P$45=5,Calculations!T$47,""),"")</f>
        <v/>
      </c>
      <c r="U24" s="368"/>
      <c r="V24" s="368"/>
      <c r="W24" s="176"/>
      <c r="X24" s="366" t="str">
        <f>IF(Calculations!M$45=5,IF(Calculations!Q$45=5,Calculations!U$47,""),"")</f>
        <v/>
      </c>
      <c r="Y24" s="367"/>
      <c r="Z24" s="1"/>
    </row>
    <row r="25" spans="1:33" ht="15" customHeight="1" x14ac:dyDescent="0.55000000000000004">
      <c r="A25" s="1"/>
      <c r="B25" s="378"/>
      <c r="C25" s="379"/>
      <c r="D25" s="3"/>
      <c r="E25" s="3"/>
      <c r="F25" s="3"/>
      <c r="G25" s="3"/>
      <c r="H25" s="3"/>
      <c r="I25" s="3"/>
      <c r="J25" s="3"/>
      <c r="K25" s="3"/>
      <c r="L25" s="3"/>
      <c r="M25" s="27"/>
      <c r="N25" s="1"/>
      <c r="O25" s="54"/>
      <c r="P25" s="12"/>
      <c r="Q25" s="368" t="str">
        <f>IF(Calculations!K$45=4,IF(Calculations!O$45=4,Calculations!V$47,Calculations!K$47),IF(Calculations!O$45=4,Calculations!O47,""))</f>
        <v/>
      </c>
      <c r="R25" s="368"/>
      <c r="S25" s="12"/>
      <c r="T25" s="368">
        <f>IF(Calculations!L$45=4,IF(Calculations!P$45=4,Calculations!W$47,Calculations!L$47),IF(Calculations!P$45=4,Calculations!P47,""))</f>
        <v>8196.4132493937668</v>
      </c>
      <c r="U25" s="368"/>
      <c r="V25" s="368"/>
      <c r="W25" s="176"/>
      <c r="X25" s="366" t="str">
        <f>IF(Calculations!M$45=4,IF(Calculations!Q$45=4,Calculations!X$47,Calculations!M$47),IF(Calculations!Q$45=4,Calculations!Q47,""))</f>
        <v/>
      </c>
      <c r="Y25" s="367"/>
      <c r="Z25" s="1"/>
      <c r="AC25" s="369"/>
      <c r="AD25" s="369"/>
      <c r="AE25" s="369"/>
    </row>
    <row r="26" spans="1:33" ht="15" customHeight="1" x14ac:dyDescent="0.55000000000000004">
      <c r="A26" s="1"/>
      <c r="B26" s="378"/>
      <c r="C26" s="379"/>
      <c r="D26" s="3"/>
      <c r="E26" s="3"/>
      <c r="F26" s="3"/>
      <c r="G26" s="3"/>
      <c r="H26" s="3"/>
      <c r="I26" s="3"/>
      <c r="J26" s="3"/>
      <c r="K26" s="3"/>
      <c r="L26" s="3"/>
      <c r="M26" s="27"/>
      <c r="N26" s="1"/>
      <c r="O26" s="54"/>
      <c r="P26" s="12"/>
      <c r="Q26" s="368" t="str">
        <f>IF(Calculations!K$45=4,IF(Calculations!O$45=4,Calculations!S$47,""),"")</f>
        <v/>
      </c>
      <c r="R26" s="368"/>
      <c r="S26" s="12"/>
      <c r="T26" s="368" t="str">
        <f>IF(Calculations!L$45=4,IF(Calculations!P$45=4,Calculations!T$47,""),"")</f>
        <v/>
      </c>
      <c r="U26" s="368"/>
      <c r="V26" s="368"/>
      <c r="W26" s="176"/>
      <c r="X26" s="366" t="str">
        <f>IF(Calculations!M$45=4,IF(Calculations!Q$45=4,Calculations!U$47,""),"")</f>
        <v/>
      </c>
      <c r="Y26" s="367"/>
      <c r="Z26" s="1"/>
      <c r="AC26" s="369"/>
      <c r="AD26" s="369"/>
      <c r="AE26" s="369"/>
    </row>
    <row r="27" spans="1:33" ht="15" customHeight="1" x14ac:dyDescent="0.55000000000000004">
      <c r="A27" s="1"/>
      <c r="B27" s="383" t="s">
        <v>193</v>
      </c>
      <c r="C27" s="384"/>
      <c r="D27" s="3"/>
      <c r="E27" s="3"/>
      <c r="F27" s="3"/>
      <c r="G27" s="3"/>
      <c r="H27" s="3"/>
      <c r="I27" s="3"/>
      <c r="J27" s="3"/>
      <c r="K27" s="3"/>
      <c r="L27" s="3"/>
      <c r="M27" s="27"/>
      <c r="N27" s="1"/>
      <c r="O27" s="54"/>
      <c r="P27" s="12"/>
      <c r="Q27" s="368">
        <f>IF(Calculations!K$45=3,IF(Calculations!O$45=3,Calculations!V$47,Calculations!K$47),IF(Calculations!O$45=3,Calculations!O$47,""))</f>
        <v>17267.57588910636</v>
      </c>
      <c r="R27" s="368"/>
      <c r="S27" s="12"/>
      <c r="T27" s="368" t="str">
        <f>IF(Calculations!L$45=3,IF(Calculations!P$45=3,Calculations!W$47,Calculations!L$47),IF(Calculations!P$45=3,Calculations!P47,""))</f>
        <v/>
      </c>
      <c r="U27" s="368"/>
      <c r="V27" s="368"/>
      <c r="W27" s="176"/>
      <c r="X27" s="366">
        <f>IF(Calculations!M$45=3,IF(Calculations!Q$45=3,Calculations!X$47,Calculations!M$47),IF(Calculations!Q$45=3,Calculations!Q47,""))</f>
        <v>20507.939240512173</v>
      </c>
      <c r="Y27" s="367"/>
      <c r="Z27" s="1"/>
      <c r="AC27" s="369"/>
      <c r="AD27" s="369"/>
      <c r="AE27" s="369"/>
    </row>
    <row r="28" spans="1:33" ht="15" customHeight="1" x14ac:dyDescent="0.55000000000000004">
      <c r="A28" s="1"/>
      <c r="B28" s="383"/>
      <c r="C28" s="384"/>
      <c r="D28" s="3"/>
      <c r="E28" s="3"/>
      <c r="F28" s="3"/>
      <c r="G28" s="3"/>
      <c r="H28" s="3"/>
      <c r="I28" s="3"/>
      <c r="J28" s="3"/>
      <c r="K28" s="3"/>
      <c r="L28" s="3"/>
      <c r="M28" s="27"/>
      <c r="N28" s="1"/>
      <c r="O28" s="54"/>
      <c r="P28" s="12"/>
      <c r="Q28" s="368" t="str">
        <f>IF(Calculations!K$45=3,IF(Calculations!O$45=3,Calculations!S$47,""),"")</f>
        <v/>
      </c>
      <c r="R28" s="368"/>
      <c r="S28" s="12"/>
      <c r="T28" s="368" t="str">
        <f>IF(Calculations!L$45=3,IF(Calculations!P$45=3,Calculations!T$47,""),"")</f>
        <v/>
      </c>
      <c r="U28" s="368"/>
      <c r="V28" s="368"/>
      <c r="W28" s="176"/>
      <c r="X28" s="366" t="str">
        <f>IF(Calculations!M$45=3,IF(Calculations!Q$45=3,Calculations!U$47,""),"")</f>
        <v/>
      </c>
      <c r="Y28" s="367"/>
      <c r="Z28" s="1"/>
      <c r="AC28" s="8"/>
      <c r="AD28" s="8"/>
      <c r="AE28" s="8"/>
      <c r="AF28" s="8"/>
      <c r="AG28" s="8"/>
    </row>
    <row r="29" spans="1:33" ht="15" customHeight="1" x14ac:dyDescent="0.55000000000000004">
      <c r="A29" s="1"/>
      <c r="B29" s="383"/>
      <c r="C29" s="384"/>
      <c r="D29" s="3"/>
      <c r="E29" s="3"/>
      <c r="F29" s="3"/>
      <c r="G29" s="3"/>
      <c r="H29" s="3"/>
      <c r="I29" s="3"/>
      <c r="J29" s="3"/>
      <c r="K29" s="3"/>
      <c r="L29" s="3"/>
      <c r="M29" s="27"/>
      <c r="N29" s="1"/>
      <c r="O29" s="54"/>
      <c r="P29" s="12"/>
      <c r="Q29" s="368" t="str">
        <f>IF(Calculations!K$45=2,IF(Calculations!O$45=2,Calculations!V$47,Calculations!K$47),IF(Calculations!O$45=2,Calculations!O47,""))</f>
        <v/>
      </c>
      <c r="R29" s="368"/>
      <c r="S29" s="12"/>
      <c r="T29" s="368" t="str">
        <f>IF(Calculations!L$45=2,IF(Calculations!P$45=2,Calculations!W$47,Calculations!L$47),IF(Calculations!P$45=2,Calculations!P47,""))</f>
        <v/>
      </c>
      <c r="U29" s="368"/>
      <c r="V29" s="368"/>
      <c r="W29" s="176"/>
      <c r="X29" s="366" t="str">
        <f>IF(Calculations!M$45=2,IF(Calculations!Q$45=2,Calculations!X$47,Calculations!M$47),IF(Calculations!Q$45=2,Calculations!Q47,""))</f>
        <v/>
      </c>
      <c r="Y29" s="367"/>
      <c r="Z29" s="1"/>
      <c r="AC29" s="8"/>
      <c r="AD29" s="8"/>
      <c r="AE29" s="8"/>
      <c r="AF29" s="8"/>
      <c r="AG29" s="8"/>
    </row>
    <row r="30" spans="1:33" ht="15" customHeight="1" x14ac:dyDescent="0.55000000000000004">
      <c r="A30" s="1"/>
      <c r="B30" s="383"/>
      <c r="C30" s="384"/>
      <c r="D30" s="3"/>
      <c r="E30" s="3"/>
      <c r="F30" s="3"/>
      <c r="G30" s="3"/>
      <c r="H30" s="3"/>
      <c r="I30" s="3"/>
      <c r="J30" s="3"/>
      <c r="K30" s="3"/>
      <c r="L30" s="3"/>
      <c r="M30" s="27"/>
      <c r="N30" s="1"/>
      <c r="O30" s="54"/>
      <c r="P30" s="12"/>
      <c r="Q30" s="368" t="str">
        <f>IF(Calculations!K$45=2,IF(Calculations!O$45=2,Calculations!S$47,""),"")</f>
        <v/>
      </c>
      <c r="R30" s="368"/>
      <c r="S30" s="12"/>
      <c r="T30" s="368" t="str">
        <f>IF(Calculations!L$45=2,IF(Calculations!P$45=2,Calculations!T$47,""),"")</f>
        <v/>
      </c>
      <c r="U30" s="368"/>
      <c r="V30" s="368"/>
      <c r="W30" s="176"/>
      <c r="X30" s="366" t="str">
        <f>IF(Calculations!M$45=2,IF(Calculations!Q$45=2,Calculations!U$47,""),"")</f>
        <v/>
      </c>
      <c r="Y30" s="367"/>
      <c r="Z30" s="1"/>
    </row>
    <row r="31" spans="1:33" ht="15" customHeight="1" x14ac:dyDescent="0.55000000000000004">
      <c r="A31" s="1"/>
      <c r="B31" s="28"/>
      <c r="C31" s="385"/>
      <c r="D31" s="385"/>
      <c r="E31" s="386"/>
      <c r="F31" s="387"/>
      <c r="G31" s="387"/>
      <c r="I31" s="58"/>
      <c r="J31" s="58"/>
      <c r="K31" s="59"/>
      <c r="L31" s="59"/>
      <c r="M31" s="60"/>
      <c r="N31" s="1"/>
      <c r="O31" s="53"/>
      <c r="P31" s="12"/>
      <c r="Q31" s="368" t="str">
        <f>IF(Calculations!K$45=1,IF(Calculations!O$45=1,Calculations!V$47,Calculations!K$47),IF(Calculations!O$45=1,Calculations!O47,""))</f>
        <v/>
      </c>
      <c r="R31" s="368"/>
      <c r="S31" s="12"/>
      <c r="T31" s="368" t="str">
        <f>IF(Calculations!L$45=1,IF(Calculations!P$45=1,Calculations!W$47,Calculations!L$47),IF(Calculations!P$45=1,Calculations!P47,""))</f>
        <v/>
      </c>
      <c r="U31" s="368"/>
      <c r="V31" s="368"/>
      <c r="W31" s="176"/>
      <c r="X31" s="366" t="str">
        <f>IF(Calculations!M$45=1,IF(Calculations!Q$45=1,Calculations!X$47,Calculations!M$47),IF(Calculations!Q$45=1,Calculations!Q47,""))</f>
        <v/>
      </c>
      <c r="Y31" s="367"/>
      <c r="Z31" s="1"/>
    </row>
    <row r="32" spans="1:33" ht="15" customHeight="1" x14ac:dyDescent="0.55000000000000004">
      <c r="A32" s="1"/>
      <c r="B32" s="42"/>
      <c r="C32" s="385"/>
      <c r="D32" s="385"/>
      <c r="E32" s="387"/>
      <c r="F32" s="387"/>
      <c r="G32" s="387"/>
      <c r="H32" s="16"/>
      <c r="I32" s="58"/>
      <c r="J32" s="58"/>
      <c r="K32" s="59"/>
      <c r="L32" s="59"/>
      <c r="M32" s="60"/>
      <c r="N32" s="1"/>
      <c r="O32" s="54"/>
      <c r="P32" s="12"/>
      <c r="Q32" s="368" t="str">
        <f>IF(Calculations!K$45=1,IF(Calculations!O$45=1,Calculations!S$47,""),"")</f>
        <v/>
      </c>
      <c r="R32" s="368"/>
      <c r="S32" s="12"/>
      <c r="T32" s="368" t="str">
        <f>IF(Calculations!L$45=1,IF(Calculations!P$45=1,Calculations!T$47,""),"")</f>
        <v/>
      </c>
      <c r="U32" s="368"/>
      <c r="V32" s="368"/>
      <c r="W32" s="176"/>
      <c r="X32" s="366" t="str">
        <f>IF(Calculations!M$45=1,IF(Calculations!Q$45=1,Calculations!U$47,""),"")</f>
        <v/>
      </c>
      <c r="Y32" s="367"/>
      <c r="Z32" s="1"/>
    </row>
    <row r="33" spans="1:26" ht="15" customHeight="1" x14ac:dyDescent="0.45">
      <c r="A33" s="1"/>
      <c r="B33" s="42"/>
      <c r="C33" s="385"/>
      <c r="D33" s="385"/>
      <c r="E33" s="387"/>
      <c r="F33" s="387"/>
      <c r="G33" s="387"/>
      <c r="H33" s="16"/>
      <c r="I33" s="58"/>
      <c r="J33" s="58"/>
      <c r="K33" s="59"/>
      <c r="L33" s="59"/>
      <c r="M33" s="60"/>
      <c r="N33" s="1"/>
      <c r="O33" s="28"/>
      <c r="P33" s="20"/>
      <c r="Q33" s="376"/>
      <c r="R33" s="376"/>
      <c r="S33" s="20"/>
      <c r="T33" s="377"/>
      <c r="U33" s="377"/>
      <c r="V33" s="377"/>
      <c r="W33" s="377"/>
      <c r="X33" s="19"/>
      <c r="Y33" s="57"/>
      <c r="Z33" s="1"/>
    </row>
    <row r="34" spans="1:26" ht="15" customHeight="1" x14ac:dyDescent="0.45">
      <c r="A34" s="1"/>
      <c r="B34" s="42"/>
      <c r="C34" s="385"/>
      <c r="D34" s="385"/>
      <c r="E34" s="16"/>
      <c r="F34" s="16"/>
      <c r="G34" s="16"/>
      <c r="I34" s="390" t="str">
        <f>"New places with no rating = "&amp;Calculations!R24&amp;"     "</f>
        <v xml:space="preserve">New places with no rating = 9555     </v>
      </c>
      <c r="J34" s="390"/>
      <c r="K34" s="390"/>
      <c r="L34" s="390"/>
      <c r="M34" s="391"/>
      <c r="N34" s="1"/>
      <c r="O34" s="28"/>
      <c r="P34" s="374" t="s">
        <v>303</v>
      </c>
      <c r="Q34" s="374"/>
      <c r="R34" s="374"/>
      <c r="S34" s="388" t="s">
        <v>539</v>
      </c>
      <c r="T34" s="388"/>
      <c r="U34" s="388"/>
      <c r="V34" s="388"/>
      <c r="W34" s="388"/>
      <c r="X34" s="370"/>
      <c r="Y34" s="371"/>
      <c r="Z34" s="1"/>
    </row>
    <row r="35" spans="1:26" ht="5.25" customHeight="1" thickBot="1" x14ac:dyDescent="0.5">
      <c r="A35" s="1"/>
      <c r="B35" s="43"/>
      <c r="C35" s="44"/>
      <c r="D35" s="44"/>
      <c r="E35" s="44"/>
      <c r="F35" s="44"/>
      <c r="G35" s="45"/>
      <c r="H35" s="45"/>
      <c r="I35" s="45"/>
      <c r="J35" s="30"/>
      <c r="K35" s="30"/>
      <c r="L35" s="30"/>
      <c r="M35" s="32"/>
      <c r="N35" s="1"/>
      <c r="O35" s="29"/>
      <c r="P35" s="375"/>
      <c r="Q35" s="375"/>
      <c r="R35" s="375"/>
      <c r="S35" s="389"/>
      <c r="T35" s="389"/>
      <c r="U35" s="389"/>
      <c r="V35" s="389"/>
      <c r="W35" s="389"/>
      <c r="X35" s="372"/>
      <c r="Y35" s="373"/>
      <c r="Z35" s="1"/>
    </row>
    <row r="36" spans="1:26" ht="6.75" customHeight="1" x14ac:dyDescent="0.45">
      <c r="A36" s="1"/>
      <c r="B36" s="1"/>
      <c r="C36" s="1"/>
      <c r="D36" s="1"/>
      <c r="E36" s="1"/>
      <c r="F36" s="1"/>
      <c r="G36" s="1"/>
      <c r="H36" s="1"/>
      <c r="I36" s="1"/>
      <c r="J36" s="1"/>
      <c r="K36" s="1"/>
      <c r="L36" s="1"/>
      <c r="M36" s="1"/>
      <c r="N36" s="1"/>
      <c r="O36" s="1"/>
      <c r="P36" s="1"/>
      <c r="Q36" s="1"/>
      <c r="R36" s="1"/>
      <c r="S36" s="1"/>
      <c r="T36" s="1"/>
      <c r="U36" s="1"/>
      <c r="V36" s="1"/>
      <c r="W36" s="1"/>
      <c r="X36" s="1"/>
      <c r="Y36" s="1"/>
      <c r="Z36" s="1"/>
    </row>
  </sheetData>
  <sheetProtection selectLockedCells="1" selectUnlockedCells="1"/>
  <mergeCells count="51">
    <mergeCell ref="B22:J22"/>
    <mergeCell ref="T29:V29"/>
    <mergeCell ref="T30:V30"/>
    <mergeCell ref="T31:V31"/>
    <mergeCell ref="T32:V32"/>
    <mergeCell ref="Q24:R24"/>
    <mergeCell ref="T25:V25"/>
    <mergeCell ref="B2:D3"/>
    <mergeCell ref="C7:G7"/>
    <mergeCell ref="S2:W3"/>
    <mergeCell ref="W10:X11"/>
    <mergeCell ref="W8:X9"/>
    <mergeCell ref="Q33:R33"/>
    <mergeCell ref="T33:W33"/>
    <mergeCell ref="B23:C26"/>
    <mergeCell ref="W17:Y17"/>
    <mergeCell ref="B27:C30"/>
    <mergeCell ref="C31:D34"/>
    <mergeCell ref="E31:G33"/>
    <mergeCell ref="S34:W35"/>
    <mergeCell ref="I34:M34"/>
    <mergeCell ref="X27:Y27"/>
    <mergeCell ref="X28:Y28"/>
    <mergeCell ref="X29:Y29"/>
    <mergeCell ref="X30:Y30"/>
    <mergeCell ref="X31:Y31"/>
    <mergeCell ref="X32:Y32"/>
    <mergeCell ref="Q23:R23"/>
    <mergeCell ref="AC25:AE27"/>
    <mergeCell ref="X34:Y35"/>
    <mergeCell ref="P34:R35"/>
    <mergeCell ref="Q32:R32"/>
    <mergeCell ref="Q31:R31"/>
    <mergeCell ref="Q30:R30"/>
    <mergeCell ref="Q29:R29"/>
    <mergeCell ref="Q28:R28"/>
    <mergeCell ref="Q27:R27"/>
    <mergeCell ref="Q26:R26"/>
    <mergeCell ref="Q25:R25"/>
    <mergeCell ref="T26:V26"/>
    <mergeCell ref="T27:V27"/>
    <mergeCell ref="T28:V28"/>
    <mergeCell ref="X25:Y25"/>
    <mergeCell ref="X26:Y26"/>
    <mergeCell ref="Y8:Y9"/>
    <mergeCell ref="Y10:Y11"/>
    <mergeCell ref="T20:U21"/>
    <mergeCell ref="X23:Y23"/>
    <mergeCell ref="X24:Y24"/>
    <mergeCell ref="T23:V23"/>
    <mergeCell ref="T24:V24"/>
  </mergeCells>
  <pageMargins left="0.23622047244094491" right="0.23622047244094491" top="0.74803149606299213" bottom="0.74803149606299213" header="0.31496062992125984" footer="0.31496062992125984"/>
  <pageSetup paperSize="9" scale="96" orientation="landscape" r:id="rId1"/>
  <headerFooter differentOddEven="1"/>
  <drawing r:id="rId2"/>
  <legacyDrawing r:id="rId3"/>
  <controls>
    <mc:AlternateContent xmlns:mc="http://schemas.openxmlformats.org/markup-compatibility/2006">
      <mc:Choice Requires="x14">
        <control shapeId="7258" r:id="rId4" name="TextBox40">
          <controlPr defaultSize="0" autoLine="0" r:id="rId5">
            <anchor moveWithCells="1">
              <from>
                <xdr:col>15</xdr:col>
                <xdr:colOff>400050</xdr:colOff>
                <xdr:row>20</xdr:row>
                <xdr:rowOff>47625</xdr:rowOff>
              </from>
              <to>
                <xdr:col>24</xdr:col>
                <xdr:colOff>714375</xdr:colOff>
                <xdr:row>21</xdr:row>
                <xdr:rowOff>33338</xdr:rowOff>
              </to>
            </anchor>
          </controlPr>
        </control>
      </mc:Choice>
      <mc:Fallback>
        <control shapeId="7258" r:id="rId4" name="TextBox40"/>
      </mc:Fallback>
    </mc:AlternateContent>
    <mc:AlternateContent xmlns:mc="http://schemas.openxmlformats.org/markup-compatibility/2006">
      <mc:Choice Requires="x14">
        <control shapeId="7253" r:id="rId6" name="TextBox22">
          <controlPr defaultSize="0" autoLine="0" autoPict="0" linkedCell="Qn_KeySu" r:id="rId7">
            <anchor>
              <from>
                <xdr:col>10</xdr:col>
                <xdr:colOff>104775</xdr:colOff>
                <xdr:row>3</xdr:row>
                <xdr:rowOff>66675</xdr:rowOff>
              </from>
              <to>
                <xdr:col>12</xdr:col>
                <xdr:colOff>409575</xdr:colOff>
                <xdr:row>6</xdr:row>
                <xdr:rowOff>0</xdr:rowOff>
              </to>
            </anchor>
          </controlPr>
        </control>
      </mc:Choice>
      <mc:Fallback>
        <control shapeId="7253" r:id="rId6" name="TextBox22"/>
      </mc:Fallback>
    </mc:AlternateContent>
    <mc:AlternateContent xmlns:mc="http://schemas.openxmlformats.org/markup-compatibility/2006">
      <mc:Choice Requires="x14">
        <control shapeId="7250" r:id="rId8" name="TextBox27">
          <controlPr defaultSize="0" autoLine="0" linkedCell="Quan_lab2" r:id="rId9">
            <anchor>
              <from>
                <xdr:col>10</xdr:col>
                <xdr:colOff>304800</xdr:colOff>
                <xdr:row>6</xdr:row>
                <xdr:rowOff>28575</xdr:rowOff>
              </from>
              <to>
                <xdr:col>12</xdr:col>
                <xdr:colOff>76200</xdr:colOff>
                <xdr:row>7</xdr:row>
                <xdr:rowOff>104775</xdr:rowOff>
              </to>
            </anchor>
          </controlPr>
        </control>
      </mc:Choice>
      <mc:Fallback>
        <control shapeId="7250" r:id="rId8" name="TextBox27"/>
      </mc:Fallback>
    </mc:AlternateContent>
    <mc:AlternateContent xmlns:mc="http://schemas.openxmlformats.org/markup-compatibility/2006">
      <mc:Choice Requires="x14">
        <control shapeId="7248" r:id="rId10" name="TextBox34">
          <controlPr defaultSize="0" autoLine="0" linkedCell="Qual_NoNplaces" r:id="rId11">
            <anchor>
              <from>
                <xdr:col>7</xdr:col>
                <xdr:colOff>0</xdr:colOff>
                <xdr:row>22</xdr:row>
                <xdr:rowOff>152400</xdr:rowOff>
              </from>
              <to>
                <xdr:col>9</xdr:col>
                <xdr:colOff>100013</xdr:colOff>
                <xdr:row>24</xdr:row>
                <xdr:rowOff>0</xdr:rowOff>
              </to>
            </anchor>
          </controlPr>
        </control>
      </mc:Choice>
      <mc:Fallback>
        <control shapeId="7248" r:id="rId10" name="TextBox34"/>
      </mc:Fallback>
    </mc:AlternateContent>
    <mc:AlternateContent xmlns:mc="http://schemas.openxmlformats.org/markup-compatibility/2006">
      <mc:Choice Requires="x14">
        <control shapeId="7243" r:id="rId12" name="TextBox39">
          <controlPr defaultSize="0" autoLine="0" autoPict="0" r:id="rId13">
            <anchor>
              <from>
                <xdr:col>22</xdr:col>
                <xdr:colOff>9525</xdr:colOff>
                <xdr:row>7</xdr:row>
                <xdr:rowOff>114300</xdr:rowOff>
              </from>
              <to>
                <xdr:col>23</xdr:col>
                <xdr:colOff>485775</xdr:colOff>
                <xdr:row>8</xdr:row>
                <xdr:rowOff>190500</xdr:rowOff>
              </to>
            </anchor>
          </controlPr>
        </control>
      </mc:Choice>
      <mc:Fallback>
        <control shapeId="7243" r:id="rId12" name="TextBox39"/>
      </mc:Fallback>
    </mc:AlternateContent>
    <mc:AlternateContent xmlns:mc="http://schemas.openxmlformats.org/markup-compatibility/2006">
      <mc:Choice Requires="x14">
        <control shapeId="7242" r:id="rId14" name="TextBox38">
          <controlPr defaultSize="0" autoLine="0" autoPict="0" linkedCell="Pref_eng" r:id="rId15">
            <anchor>
              <from>
                <xdr:col>23</xdr:col>
                <xdr:colOff>466725</xdr:colOff>
                <xdr:row>7</xdr:row>
                <xdr:rowOff>76200</xdr:rowOff>
              </from>
              <to>
                <xdr:col>24</xdr:col>
                <xdr:colOff>419100</xdr:colOff>
                <xdr:row>8</xdr:row>
                <xdr:rowOff>152400</xdr:rowOff>
              </to>
            </anchor>
          </controlPr>
        </control>
      </mc:Choice>
      <mc:Fallback>
        <control shapeId="7242" r:id="rId14" name="TextBox38"/>
      </mc:Fallback>
    </mc:AlternateContent>
    <mc:AlternateContent xmlns:mc="http://schemas.openxmlformats.org/markup-compatibility/2006">
      <mc:Choice Requires="x14">
        <control shapeId="7241" r:id="rId16" name="TextBox37">
          <controlPr defaultSize="0" autoLine="0" autoPict="0" linkedCell="Pref_LA" r:id="rId17">
            <anchor>
              <from>
                <xdr:col>22</xdr:col>
                <xdr:colOff>9525</xdr:colOff>
                <xdr:row>9</xdr:row>
                <xdr:rowOff>19050</xdr:rowOff>
              </from>
              <to>
                <xdr:col>23</xdr:col>
                <xdr:colOff>466725</xdr:colOff>
                <xdr:row>10</xdr:row>
                <xdr:rowOff>95250</xdr:rowOff>
              </to>
            </anchor>
          </controlPr>
        </control>
      </mc:Choice>
      <mc:Fallback>
        <control shapeId="7241" r:id="rId16" name="TextBox37"/>
      </mc:Fallback>
    </mc:AlternateContent>
    <mc:AlternateContent xmlns:mc="http://schemas.openxmlformats.org/markup-compatibility/2006">
      <mc:Choice Requires="x14">
        <control shapeId="7239" r:id="rId18" name="TextBox36">
          <controlPr defaultSize="0" autoLine="0" autoPict="0" linkedCell="Pref_T3" r:id="rId19">
            <anchor>
              <from>
                <xdr:col>23</xdr:col>
                <xdr:colOff>466725</xdr:colOff>
                <xdr:row>8</xdr:row>
                <xdr:rowOff>219075</xdr:rowOff>
              </from>
              <to>
                <xdr:col>24</xdr:col>
                <xdr:colOff>419100</xdr:colOff>
                <xdr:row>10</xdr:row>
                <xdr:rowOff>76200</xdr:rowOff>
              </to>
            </anchor>
          </controlPr>
        </control>
      </mc:Choice>
      <mc:Fallback>
        <control shapeId="7239" r:id="rId18" name="TextBox36"/>
      </mc:Fallback>
    </mc:AlternateContent>
    <mc:AlternateContent xmlns:mc="http://schemas.openxmlformats.org/markup-compatibility/2006">
      <mc:Choice Requires="x14">
        <control shapeId="7238" r:id="rId20" name="TextBox35">
          <controlPr defaultSize="0" autoLine="0" autoPict="0" linkedCell="Pref_lab1" r:id="rId21">
            <anchor>
              <from>
                <xdr:col>22</xdr:col>
                <xdr:colOff>9525</xdr:colOff>
                <xdr:row>4</xdr:row>
                <xdr:rowOff>180975</xdr:rowOff>
              </from>
              <to>
                <xdr:col>24</xdr:col>
                <xdr:colOff>609600</xdr:colOff>
                <xdr:row>7</xdr:row>
                <xdr:rowOff>47625</xdr:rowOff>
              </to>
            </anchor>
          </controlPr>
        </control>
      </mc:Choice>
      <mc:Fallback>
        <control shapeId="7238" r:id="rId20" name="TextBox35"/>
      </mc:Fallback>
    </mc:AlternateContent>
    <mc:AlternateContent xmlns:mc="http://schemas.openxmlformats.org/markup-compatibility/2006">
      <mc:Choice Requires="x14">
        <control shapeId="7236" r:id="rId22" name="Qualitygraphhider">
          <controlPr defaultSize="0" autoLine="0" linkedCell="obscurer" r:id="rId23">
            <anchor>
              <from>
                <xdr:col>2</xdr:col>
                <xdr:colOff>38100</xdr:colOff>
                <xdr:row>31</xdr:row>
                <xdr:rowOff>28575</xdr:rowOff>
              </from>
              <to>
                <xdr:col>2</xdr:col>
                <xdr:colOff>409575</xdr:colOff>
                <xdr:row>32</xdr:row>
                <xdr:rowOff>180975</xdr:rowOff>
              </to>
            </anchor>
          </controlPr>
        </control>
      </mc:Choice>
      <mc:Fallback>
        <control shapeId="7236" r:id="rId22" name="Qualitygraphhider"/>
      </mc:Fallback>
    </mc:AlternateContent>
    <mc:AlternateContent xmlns:mc="http://schemas.openxmlformats.org/markup-compatibility/2006">
      <mc:Choice Requires="x14">
        <control shapeId="7235" r:id="rId24" name="TextBox33">
          <controlPr defaultSize="0" autoLine="0" linkedCell="Existing" r:id="rId25">
            <anchor>
              <from>
                <xdr:col>3</xdr:col>
                <xdr:colOff>28575</xdr:colOff>
                <xdr:row>24</xdr:row>
                <xdr:rowOff>19050</xdr:rowOff>
              </from>
              <to>
                <xdr:col>4</xdr:col>
                <xdr:colOff>61913</xdr:colOff>
                <xdr:row>25</xdr:row>
                <xdr:rowOff>180975</xdr:rowOff>
              </to>
            </anchor>
          </controlPr>
        </control>
      </mc:Choice>
      <mc:Fallback>
        <control shapeId="7235" r:id="rId24" name="TextBox33"/>
      </mc:Fallback>
    </mc:AlternateContent>
    <mc:AlternateContent xmlns:mc="http://schemas.openxmlformats.org/markup-compatibility/2006">
      <mc:Choice Requires="x14">
        <control shapeId="7234" r:id="rId26" name="TextBox32">
          <controlPr defaultSize="0" autoLine="0" linkedCell="Existing" r:id="rId27">
            <anchor>
              <from>
                <xdr:col>3</xdr:col>
                <xdr:colOff>28575</xdr:colOff>
                <xdr:row>27</xdr:row>
                <xdr:rowOff>152400</xdr:rowOff>
              </from>
              <to>
                <xdr:col>4</xdr:col>
                <xdr:colOff>61913</xdr:colOff>
                <xdr:row>29</xdr:row>
                <xdr:rowOff>128588</xdr:rowOff>
              </to>
            </anchor>
          </controlPr>
        </control>
      </mc:Choice>
      <mc:Fallback>
        <control shapeId="7234" r:id="rId26" name="TextBox32"/>
      </mc:Fallback>
    </mc:AlternateContent>
    <mc:AlternateContent xmlns:mc="http://schemas.openxmlformats.org/markup-compatibility/2006">
      <mc:Choice Requires="x14">
        <control shapeId="7233" r:id="rId28" name="TextBox30">
          <controlPr defaultSize="0" autoLine="0" linkedCell="New" r:id="rId29">
            <anchor>
              <from>
                <xdr:col>3</xdr:col>
                <xdr:colOff>28575</xdr:colOff>
                <xdr:row>25</xdr:row>
                <xdr:rowOff>180975</xdr:rowOff>
              </from>
              <to>
                <xdr:col>4</xdr:col>
                <xdr:colOff>61913</xdr:colOff>
                <xdr:row>27</xdr:row>
                <xdr:rowOff>157163</xdr:rowOff>
              </to>
            </anchor>
          </controlPr>
        </control>
      </mc:Choice>
      <mc:Fallback>
        <control shapeId="7233" r:id="rId28" name="TextBox30"/>
      </mc:Fallback>
    </mc:AlternateContent>
    <mc:AlternateContent xmlns:mc="http://schemas.openxmlformats.org/markup-compatibility/2006">
      <mc:Choice Requires="x14">
        <control shapeId="7232" r:id="rId30" name="TextBox12">
          <controlPr defaultSize="0" autoLine="0" linkedCell="New" r:id="rId31">
            <anchor>
              <from>
                <xdr:col>3</xdr:col>
                <xdr:colOff>28575</xdr:colOff>
                <xdr:row>22</xdr:row>
                <xdr:rowOff>47625</xdr:rowOff>
              </from>
              <to>
                <xdr:col>4</xdr:col>
                <xdr:colOff>61913</xdr:colOff>
                <xdr:row>24</xdr:row>
                <xdr:rowOff>19050</xdr:rowOff>
              </to>
            </anchor>
          </controlPr>
        </control>
      </mc:Choice>
      <mc:Fallback>
        <control shapeId="7232" r:id="rId30" name="TextBox12"/>
      </mc:Fallback>
    </mc:AlternateContent>
    <mc:AlternateContent xmlns:mc="http://schemas.openxmlformats.org/markup-compatibility/2006">
      <mc:Choice Requires="x14">
        <control shapeId="7230" r:id="rId32" name="TextBox29">
          <controlPr defaultSize="0" autoLine="0" linkedCell="qual_key_6" r:id="rId33">
            <anchor>
              <from>
                <xdr:col>11</xdr:col>
                <xdr:colOff>333375</xdr:colOff>
                <xdr:row>18</xdr:row>
                <xdr:rowOff>28575</xdr:rowOff>
              </from>
              <to>
                <xdr:col>12</xdr:col>
                <xdr:colOff>361950</xdr:colOff>
                <xdr:row>19</xdr:row>
                <xdr:rowOff>152400</xdr:rowOff>
              </to>
            </anchor>
          </controlPr>
        </control>
      </mc:Choice>
      <mc:Fallback>
        <control shapeId="7230" r:id="rId32" name="TextBox29"/>
      </mc:Fallback>
    </mc:AlternateContent>
    <mc:AlternateContent xmlns:mc="http://schemas.openxmlformats.org/markup-compatibility/2006">
      <mc:Choice Requires="x14">
        <control shapeId="7229" r:id="rId34" name="TextBox28">
          <controlPr defaultSize="0" autoLine="0" linkedCell="qual_key3" r:id="rId35">
            <anchor>
              <from>
                <xdr:col>8</xdr:col>
                <xdr:colOff>352425</xdr:colOff>
                <xdr:row>19</xdr:row>
                <xdr:rowOff>123825</xdr:rowOff>
              </from>
              <to>
                <xdr:col>9</xdr:col>
                <xdr:colOff>481013</xdr:colOff>
                <xdr:row>20</xdr:row>
                <xdr:rowOff>161925</xdr:rowOff>
              </to>
            </anchor>
          </controlPr>
        </control>
      </mc:Choice>
      <mc:Fallback>
        <control shapeId="7229" r:id="rId34" name="TextBox28"/>
      </mc:Fallback>
    </mc:AlternateContent>
    <mc:AlternateContent xmlns:mc="http://schemas.openxmlformats.org/markup-compatibility/2006">
      <mc:Choice Requires="x14">
        <control shapeId="7226" r:id="rId36" name="TextBox26">
          <controlPr defaultSize="0" autoLine="0" linkedCell="ql_lab9" r:id="rId37">
            <anchor>
              <from>
                <xdr:col>8</xdr:col>
                <xdr:colOff>409575</xdr:colOff>
                <xdr:row>18</xdr:row>
                <xdr:rowOff>38100</xdr:rowOff>
              </from>
              <to>
                <xdr:col>9</xdr:col>
                <xdr:colOff>438150</xdr:colOff>
                <xdr:row>19</xdr:row>
                <xdr:rowOff>161925</xdr:rowOff>
              </to>
            </anchor>
          </controlPr>
        </control>
      </mc:Choice>
      <mc:Fallback>
        <control shapeId="7226" r:id="rId36" name="TextBox26"/>
      </mc:Fallback>
    </mc:AlternateContent>
    <mc:AlternateContent xmlns:mc="http://schemas.openxmlformats.org/markup-compatibility/2006">
      <mc:Choice Requires="x14">
        <control shapeId="7225" r:id="rId38" name="TextBox25">
          <controlPr defaultSize="0" autoLine="0" linkedCell="ql_lab8" r:id="rId39">
            <anchor>
              <from>
                <xdr:col>10</xdr:col>
                <xdr:colOff>142875</xdr:colOff>
                <xdr:row>18</xdr:row>
                <xdr:rowOff>38100</xdr:rowOff>
              </from>
              <to>
                <xdr:col>11</xdr:col>
                <xdr:colOff>171450</xdr:colOff>
                <xdr:row>19</xdr:row>
                <xdr:rowOff>161925</xdr:rowOff>
              </to>
            </anchor>
          </controlPr>
        </control>
      </mc:Choice>
      <mc:Fallback>
        <control shapeId="7225" r:id="rId38" name="TextBox25"/>
      </mc:Fallback>
    </mc:AlternateContent>
    <mc:AlternateContent xmlns:mc="http://schemas.openxmlformats.org/markup-compatibility/2006">
      <mc:Choice Requires="x14">
        <control shapeId="7224" r:id="rId40" name="TextBox24">
          <controlPr defaultSize="0" autoLine="0" linkedCell="Qual_key5" r:id="rId41">
            <anchor>
              <from>
                <xdr:col>11</xdr:col>
                <xdr:colOff>295275</xdr:colOff>
                <xdr:row>19</xdr:row>
                <xdr:rowOff>133350</xdr:rowOff>
              </from>
              <to>
                <xdr:col>12</xdr:col>
                <xdr:colOff>423863</xdr:colOff>
                <xdr:row>20</xdr:row>
                <xdr:rowOff>171450</xdr:rowOff>
              </to>
            </anchor>
          </controlPr>
        </control>
      </mc:Choice>
      <mc:Fallback>
        <control shapeId="7224" r:id="rId40" name="TextBox24"/>
      </mc:Fallback>
    </mc:AlternateContent>
    <mc:AlternateContent xmlns:mc="http://schemas.openxmlformats.org/markup-compatibility/2006">
      <mc:Choice Requires="x14">
        <control shapeId="7222" r:id="rId42" name="TextBox23">
          <controlPr defaultSize="0" autoLine="0" autoPict="0" linkedCell="qn_lab2" r:id="rId43">
            <anchor>
              <from>
                <xdr:col>3</xdr:col>
                <xdr:colOff>447675</xdr:colOff>
                <xdr:row>4</xdr:row>
                <xdr:rowOff>0</xdr:rowOff>
              </from>
              <to>
                <xdr:col>6</xdr:col>
                <xdr:colOff>485775</xdr:colOff>
                <xdr:row>7</xdr:row>
                <xdr:rowOff>142875</xdr:rowOff>
              </to>
            </anchor>
          </controlPr>
        </control>
      </mc:Choice>
      <mc:Fallback>
        <control shapeId="7222" r:id="rId42" name="TextBox23"/>
      </mc:Fallback>
    </mc:AlternateContent>
    <mc:AlternateContent xmlns:mc="http://schemas.openxmlformats.org/markup-compatibility/2006">
      <mc:Choice Requires="x14">
        <control shapeId="7221" r:id="rId44" name="TextBox15">
          <controlPr defaultSize="0" autoLine="0" linkedCell="Qn_key3" r:id="rId45">
            <anchor>
              <from>
                <xdr:col>7</xdr:col>
                <xdr:colOff>85725</xdr:colOff>
                <xdr:row>4</xdr:row>
                <xdr:rowOff>0</xdr:rowOff>
              </from>
              <to>
                <xdr:col>9</xdr:col>
                <xdr:colOff>390525</xdr:colOff>
                <xdr:row>6</xdr:row>
                <xdr:rowOff>0</xdr:rowOff>
              </to>
            </anchor>
          </controlPr>
        </control>
      </mc:Choice>
      <mc:Fallback>
        <control shapeId="7221" r:id="rId44" name="TextBox15"/>
      </mc:Fallback>
    </mc:AlternateContent>
    <mc:AlternateContent xmlns:mc="http://schemas.openxmlformats.org/markup-compatibility/2006">
      <mc:Choice Requires="x14">
        <control shapeId="7219" r:id="rId46" name="TextBox21">
          <controlPr defaultSize="0" autoLine="0" linkedCell="ct_key1" r:id="rId47">
            <anchor>
              <from>
                <xdr:col>16</xdr:col>
                <xdr:colOff>0</xdr:colOff>
                <xdr:row>18</xdr:row>
                <xdr:rowOff>38100</xdr:rowOff>
              </from>
              <to>
                <xdr:col>24</xdr:col>
                <xdr:colOff>781050</xdr:colOff>
                <xdr:row>20</xdr:row>
                <xdr:rowOff>85725</xdr:rowOff>
              </to>
            </anchor>
          </controlPr>
        </control>
      </mc:Choice>
      <mc:Fallback>
        <control shapeId="7219" r:id="rId46" name="TextBox21"/>
      </mc:Fallback>
    </mc:AlternateContent>
    <mc:AlternateContent xmlns:mc="http://schemas.openxmlformats.org/markup-compatibility/2006">
      <mc:Choice Requires="x14">
        <control shapeId="7218" r:id="rId48" name="TextBox20">
          <controlPr defaultSize="0" autoLine="0" linkedCell="ql_key2" r:id="rId49">
            <anchor>
              <from>
                <xdr:col>6</xdr:col>
                <xdr:colOff>38100</xdr:colOff>
                <xdr:row>18</xdr:row>
                <xdr:rowOff>28575</xdr:rowOff>
              </from>
              <to>
                <xdr:col>8</xdr:col>
                <xdr:colOff>214313</xdr:colOff>
                <xdr:row>20</xdr:row>
                <xdr:rowOff>180975</xdr:rowOff>
              </to>
            </anchor>
          </controlPr>
        </control>
      </mc:Choice>
      <mc:Fallback>
        <control shapeId="7218" r:id="rId48" name="TextBox20"/>
      </mc:Fallback>
    </mc:AlternateContent>
    <mc:AlternateContent xmlns:mc="http://schemas.openxmlformats.org/markup-compatibility/2006">
      <mc:Choice Requires="x14">
        <control shapeId="7217" r:id="rId50" name="TextBox19">
          <controlPr defaultSize="0" autoLine="0" linkedCell="Qual_key4" r:id="rId51">
            <anchor>
              <from>
                <xdr:col>10</xdr:col>
                <xdr:colOff>85725</xdr:colOff>
                <xdr:row>19</xdr:row>
                <xdr:rowOff>123825</xdr:rowOff>
              </from>
              <to>
                <xdr:col>11</xdr:col>
                <xdr:colOff>214313</xdr:colOff>
                <xdr:row>20</xdr:row>
                <xdr:rowOff>161925</xdr:rowOff>
              </to>
            </anchor>
          </controlPr>
        </control>
      </mc:Choice>
      <mc:Fallback>
        <control shapeId="7217" r:id="rId50" name="TextBox19"/>
      </mc:Fallback>
    </mc:AlternateContent>
    <mc:AlternateContent xmlns:mc="http://schemas.openxmlformats.org/markup-compatibility/2006">
      <mc:Choice Requires="x14">
        <control shapeId="7216" r:id="rId52" name="TextBox16">
          <controlPr defaultSize="0" autoLine="0" linkedCell="ql_key1" r:id="rId53">
            <anchor>
              <from>
                <xdr:col>3</xdr:col>
                <xdr:colOff>304800</xdr:colOff>
                <xdr:row>18</xdr:row>
                <xdr:rowOff>38100</xdr:rowOff>
              </from>
              <to>
                <xdr:col>5</xdr:col>
                <xdr:colOff>400050</xdr:colOff>
                <xdr:row>20</xdr:row>
                <xdr:rowOff>190500</xdr:rowOff>
              </to>
            </anchor>
          </controlPr>
        </control>
      </mc:Choice>
      <mc:Fallback>
        <control shapeId="7216" r:id="rId52" name="TextBox16"/>
      </mc:Fallback>
    </mc:AlternateContent>
    <mc:AlternateContent xmlns:mc="http://schemas.openxmlformats.org/markup-compatibility/2006">
      <mc:Choice Requires="x14">
        <control shapeId="7215" r:id="rId54" name="TextBox9">
          <controlPr defaultSize="0" autoLine="0" linkedCell="Qn_key3" r:id="rId55">
            <anchor>
              <from>
                <xdr:col>9</xdr:col>
                <xdr:colOff>104775</xdr:colOff>
                <xdr:row>15</xdr:row>
                <xdr:rowOff>123825</xdr:rowOff>
              </from>
              <to>
                <xdr:col>12</xdr:col>
                <xdr:colOff>376238</xdr:colOff>
                <xdr:row>18</xdr:row>
                <xdr:rowOff>9525</xdr:rowOff>
              </to>
            </anchor>
          </controlPr>
        </control>
      </mc:Choice>
      <mc:Fallback>
        <control shapeId="7215" r:id="rId54" name="TextBox9"/>
      </mc:Fallback>
    </mc:AlternateContent>
    <mc:AlternateContent xmlns:mc="http://schemas.openxmlformats.org/markup-compatibility/2006">
      <mc:Choice Requires="x14">
        <control shapeId="7214" r:id="rId56" name="TextBox7">
          <controlPr defaultSize="0" autoLine="0" linkedCell="Quan_lab1" r:id="rId57">
            <anchor>
              <from>
                <xdr:col>7</xdr:col>
                <xdr:colOff>428625</xdr:colOff>
                <xdr:row>6</xdr:row>
                <xdr:rowOff>28575</xdr:rowOff>
              </from>
              <to>
                <xdr:col>9</xdr:col>
                <xdr:colOff>200025</xdr:colOff>
                <xdr:row>7</xdr:row>
                <xdr:rowOff>104775</xdr:rowOff>
              </to>
            </anchor>
          </controlPr>
        </control>
      </mc:Choice>
      <mc:Fallback>
        <control shapeId="7214" r:id="rId56" name="TextBox7"/>
      </mc:Fallback>
    </mc:AlternateContent>
    <mc:AlternateContent xmlns:mc="http://schemas.openxmlformats.org/markup-compatibility/2006">
      <mc:Choice Requires="x14">
        <control shapeId="7213" r:id="rId58" name="TextBox10">
          <controlPr defaultSize="0" autoLine="0" linkedCell="cost_lab3" r:id="rId59">
            <anchor>
              <from>
                <xdr:col>22</xdr:col>
                <xdr:colOff>152400</xdr:colOff>
                <xdr:row>31</xdr:row>
                <xdr:rowOff>104775</xdr:rowOff>
              </from>
              <to>
                <xdr:col>24</xdr:col>
                <xdr:colOff>28575</xdr:colOff>
                <xdr:row>32</xdr:row>
                <xdr:rowOff>95250</xdr:rowOff>
              </to>
            </anchor>
          </controlPr>
        </control>
      </mc:Choice>
      <mc:Fallback>
        <control shapeId="7213" r:id="rId58" name="TextBox10"/>
      </mc:Fallback>
    </mc:AlternateContent>
    <mc:AlternateContent xmlns:mc="http://schemas.openxmlformats.org/markup-compatibility/2006">
      <mc:Choice Requires="x14">
        <control shapeId="7212" r:id="rId60" name="TextBox6">
          <controlPr defaultSize="0" autoLine="0" linkedCell="cost_lab2" r:id="rId61">
            <anchor>
              <from>
                <xdr:col>18</xdr:col>
                <xdr:colOff>0</xdr:colOff>
                <xdr:row>31</xdr:row>
                <xdr:rowOff>104775</xdr:rowOff>
              </from>
              <to>
                <xdr:col>20</xdr:col>
                <xdr:colOff>28575</xdr:colOff>
                <xdr:row>32</xdr:row>
                <xdr:rowOff>95250</xdr:rowOff>
              </to>
            </anchor>
          </controlPr>
        </control>
      </mc:Choice>
      <mc:Fallback>
        <control shapeId="7212" r:id="rId60" name="TextBox6"/>
      </mc:Fallback>
    </mc:AlternateContent>
    <mc:AlternateContent xmlns:mc="http://schemas.openxmlformats.org/markup-compatibility/2006">
      <mc:Choice Requires="x14">
        <control shapeId="7210" r:id="rId62" name="for_lab3">
          <controlPr defaultSize="0" autoLine="0" linkedCell="for_lab3" r:id="rId63">
            <anchor>
              <from>
                <xdr:col>18</xdr:col>
                <xdr:colOff>447675</xdr:colOff>
                <xdr:row>14</xdr:row>
                <xdr:rowOff>152400</xdr:rowOff>
              </from>
              <to>
                <xdr:col>20</xdr:col>
                <xdr:colOff>152400</xdr:colOff>
                <xdr:row>17</xdr:row>
                <xdr:rowOff>4763</xdr:rowOff>
              </to>
            </anchor>
          </controlPr>
        </control>
      </mc:Choice>
      <mc:Fallback>
        <control shapeId="7210" r:id="rId62" name="for_lab3"/>
      </mc:Fallback>
    </mc:AlternateContent>
    <mc:AlternateContent xmlns:mc="http://schemas.openxmlformats.org/markup-compatibility/2006">
      <mc:Choice Requires="x14">
        <control shapeId="7211" r:id="rId64" name="for_lab4">
          <controlPr defaultSize="0" autoLine="0" linkedCell="for_lab4" r:id="rId65">
            <anchor>
              <from>
                <xdr:col>14</xdr:col>
                <xdr:colOff>28575</xdr:colOff>
                <xdr:row>14</xdr:row>
                <xdr:rowOff>152400</xdr:rowOff>
              </from>
              <to>
                <xdr:col>16</xdr:col>
                <xdr:colOff>209550</xdr:colOff>
                <xdr:row>17</xdr:row>
                <xdr:rowOff>14288</xdr:rowOff>
              </to>
            </anchor>
          </controlPr>
        </control>
      </mc:Choice>
      <mc:Fallback>
        <control shapeId="7211" r:id="rId64" name="for_lab4"/>
      </mc:Fallback>
    </mc:AlternateContent>
    <mc:AlternateContent xmlns:mc="http://schemas.openxmlformats.org/markup-compatibility/2006">
      <mc:Choice Requires="x14">
        <control shapeId="7208" r:id="rId66" name="For_lab2">
          <controlPr defaultSize="0" autoLine="0" linkedCell="for_lab2" r:id="rId67">
            <anchor>
              <from>
                <xdr:col>14</xdr:col>
                <xdr:colOff>28575</xdr:colOff>
                <xdr:row>8</xdr:row>
                <xdr:rowOff>66675</xdr:rowOff>
              </from>
              <to>
                <xdr:col>16</xdr:col>
                <xdr:colOff>209550</xdr:colOff>
                <xdr:row>11</xdr:row>
                <xdr:rowOff>28575</xdr:rowOff>
              </to>
            </anchor>
          </controlPr>
        </control>
      </mc:Choice>
      <mc:Fallback>
        <control shapeId="7208" r:id="rId66" name="For_lab2"/>
      </mc:Fallback>
    </mc:AlternateContent>
    <mc:AlternateContent xmlns:mc="http://schemas.openxmlformats.org/markup-compatibility/2006">
      <mc:Choice Requires="x14">
        <control shapeId="7207" r:id="rId68" name="for_lab1">
          <controlPr defaultSize="0" autoLine="0" linkedCell="for_lab1" r:id="rId69">
            <anchor>
              <from>
                <xdr:col>18</xdr:col>
                <xdr:colOff>447675</xdr:colOff>
                <xdr:row>8</xdr:row>
                <xdr:rowOff>66675</xdr:rowOff>
              </from>
              <to>
                <xdr:col>20</xdr:col>
                <xdr:colOff>171450</xdr:colOff>
                <xdr:row>11</xdr:row>
                <xdr:rowOff>23813</xdr:rowOff>
              </to>
            </anchor>
          </controlPr>
        </control>
      </mc:Choice>
      <mc:Fallback>
        <control shapeId="7207" r:id="rId68" name="for_lab1"/>
      </mc:Fallback>
    </mc:AlternateContent>
    <mc:AlternateContent xmlns:mc="http://schemas.openxmlformats.org/markup-compatibility/2006">
      <mc:Choice Requires="x14">
        <control shapeId="7205" r:id="rId70" name="TextBox31">
          <controlPr defaultSize="0" autoLine="0" linkedCell="cost_lab1" r:id="rId71">
            <anchor>
              <from>
                <xdr:col>15</xdr:col>
                <xdr:colOff>66675</xdr:colOff>
                <xdr:row>31</xdr:row>
                <xdr:rowOff>104775</xdr:rowOff>
              </from>
              <to>
                <xdr:col>17</xdr:col>
                <xdr:colOff>104775</xdr:colOff>
                <xdr:row>32</xdr:row>
                <xdr:rowOff>104775</xdr:rowOff>
              </to>
            </anchor>
          </controlPr>
        </control>
      </mc:Choice>
      <mc:Fallback>
        <control shapeId="7205" r:id="rId70" name="TextBox31"/>
      </mc:Fallback>
    </mc:AlternateContent>
    <mc:AlternateContent xmlns:mc="http://schemas.openxmlformats.org/markup-compatibility/2006">
      <mc:Choice Requires="x14">
        <control shapeId="7189" r:id="rId72" name="TextBox18">
          <controlPr defaultSize="0" autoLine="0" linkedCell="Funding_lab1" r:id="rId73">
            <anchor>
              <from>
                <xdr:col>18</xdr:col>
                <xdr:colOff>180975</xdr:colOff>
                <xdr:row>1</xdr:row>
                <xdr:rowOff>0</xdr:rowOff>
              </from>
              <to>
                <xdr:col>20</xdr:col>
                <xdr:colOff>152400</xdr:colOff>
                <xdr:row>2</xdr:row>
                <xdr:rowOff>219075</xdr:rowOff>
              </to>
            </anchor>
          </controlPr>
        </control>
      </mc:Choice>
      <mc:Fallback>
        <control shapeId="7189" r:id="rId72" name="TextBox18"/>
      </mc:Fallback>
    </mc:AlternateContent>
    <mc:AlternateContent xmlns:mc="http://schemas.openxmlformats.org/markup-compatibility/2006">
      <mc:Choice Requires="x14">
        <control shapeId="7188" r:id="rId74" name="TextBox17">
          <controlPr defaultSize="0" autoLine="0" linkedCell="PG_lab" r:id="rId75">
            <anchor>
              <from>
                <xdr:col>23</xdr:col>
                <xdr:colOff>47625</xdr:colOff>
                <xdr:row>1</xdr:row>
                <xdr:rowOff>0</xdr:rowOff>
              </from>
              <to>
                <xdr:col>24</xdr:col>
                <xdr:colOff>395288</xdr:colOff>
                <xdr:row>2</xdr:row>
                <xdr:rowOff>219075</xdr:rowOff>
              </to>
            </anchor>
          </controlPr>
        </control>
      </mc:Choice>
      <mc:Fallback>
        <control shapeId="7188" r:id="rId74" name="TextBox17"/>
      </mc:Fallback>
    </mc:AlternateContent>
    <mc:AlternateContent xmlns:mc="http://schemas.openxmlformats.org/markup-compatibility/2006">
      <mc:Choice Requires="x14">
        <control shapeId="7184" r:id="rId76" name="TextBox3">
          <controlPr defaultSize="0" autoLine="0" linkedCell="EP_desc" r:id="rId77">
            <anchor>
              <from>
                <xdr:col>15</xdr:col>
                <xdr:colOff>28575</xdr:colOff>
                <xdr:row>20</xdr:row>
                <xdr:rowOff>190500</xdr:rowOff>
              </from>
              <to>
                <xdr:col>17</xdr:col>
                <xdr:colOff>390525</xdr:colOff>
                <xdr:row>21</xdr:row>
                <xdr:rowOff>114300</xdr:rowOff>
              </to>
            </anchor>
          </controlPr>
        </control>
      </mc:Choice>
      <mc:Fallback>
        <control shapeId="7184" r:id="rId76" name="TextBox3"/>
      </mc:Fallback>
    </mc:AlternateContent>
    <mc:AlternateContent xmlns:mc="http://schemas.openxmlformats.org/markup-compatibility/2006">
      <mc:Choice Requires="x14">
        <control shapeId="7183" r:id="rId78" name="TextBox2">
          <controlPr defaultSize="0" autoLine="0" linkedCell="ET_desc" r:id="rId79">
            <anchor>
              <from>
                <xdr:col>17</xdr:col>
                <xdr:colOff>447675</xdr:colOff>
                <xdr:row>20</xdr:row>
                <xdr:rowOff>200025</xdr:rowOff>
              </from>
              <to>
                <xdr:col>20</xdr:col>
                <xdr:colOff>300038</xdr:colOff>
                <xdr:row>21</xdr:row>
                <xdr:rowOff>152400</xdr:rowOff>
              </to>
            </anchor>
          </controlPr>
        </control>
      </mc:Choice>
      <mc:Fallback>
        <control shapeId="7183" r:id="rId78" name="TextBox2"/>
      </mc:Fallback>
    </mc:AlternateContent>
    <mc:AlternateContent xmlns:mc="http://schemas.openxmlformats.org/markup-compatibility/2006">
      <mc:Choice Requires="x14">
        <control shapeId="7182" r:id="rId80" name="TextBox1">
          <controlPr defaultSize="0" autoLine="0" linkedCell="NS_desc" r:id="rId81">
            <anchor>
              <from>
                <xdr:col>22</xdr:col>
                <xdr:colOff>142875</xdr:colOff>
                <xdr:row>20</xdr:row>
                <xdr:rowOff>200025</xdr:rowOff>
              </from>
              <to>
                <xdr:col>24</xdr:col>
                <xdr:colOff>400050</xdr:colOff>
                <xdr:row>21</xdr:row>
                <xdr:rowOff>152400</xdr:rowOff>
              </to>
            </anchor>
          </controlPr>
        </control>
      </mc:Choice>
      <mc:Fallback>
        <control shapeId="7182" r:id="rId80" name="TextBox1"/>
      </mc:Fallback>
    </mc:AlternateContent>
    <mc:AlternateContent xmlns:mc="http://schemas.openxmlformats.org/markup-compatibility/2006">
      <mc:Choice Requires="x14">
        <control shapeId="7181" r:id="rId82" name="qaulitytype">
          <controlPr locked="0" defaultSize="0" autoLine="0" linkedCell="Chosen_Qual" listFillRange="Qual_mets" r:id="rId83">
            <anchor moveWithCells="1" sizeWithCells="1">
              <from>
                <xdr:col>10</xdr:col>
                <xdr:colOff>19050</xdr:colOff>
                <xdr:row>21</xdr:row>
                <xdr:rowOff>9525</xdr:rowOff>
              </from>
              <to>
                <xdr:col>13</xdr:col>
                <xdr:colOff>0</xdr:colOff>
                <xdr:row>22</xdr:row>
                <xdr:rowOff>76200</xdr:rowOff>
              </to>
            </anchor>
          </controlPr>
        </control>
      </mc:Choice>
      <mc:Fallback>
        <control shapeId="7181" r:id="rId82" name="qaulitytype"/>
      </mc:Fallback>
    </mc:AlternateContent>
    <mc:AlternateContent xmlns:mc="http://schemas.openxmlformats.org/markup-compatibility/2006">
      <mc:Choice Requires="x14">
        <control shapeId="7179" r:id="rId84" name="TextBox14">
          <controlPr defaultSize="0" autoLine="0" linkedCell="Qn_key2" r:id="rId85">
            <anchor>
              <from>
                <xdr:col>5</xdr:col>
                <xdr:colOff>381000</xdr:colOff>
                <xdr:row>15</xdr:row>
                <xdr:rowOff>123825</xdr:rowOff>
              </from>
              <to>
                <xdr:col>8</xdr:col>
                <xdr:colOff>257175</xdr:colOff>
                <xdr:row>18</xdr:row>
                <xdr:rowOff>4763</xdr:rowOff>
              </to>
            </anchor>
          </controlPr>
        </control>
      </mc:Choice>
      <mc:Fallback>
        <control shapeId="7179" r:id="rId84" name="TextBox14"/>
      </mc:Fallback>
    </mc:AlternateContent>
    <mc:AlternateContent xmlns:mc="http://schemas.openxmlformats.org/markup-compatibility/2006">
      <mc:Choice Requires="x14">
        <control shapeId="7178" r:id="rId86" name="TextBox13">
          <controlPr defaultSize="0" autoLine="0" linkedCell="Qn_key1" r:id="rId87">
            <anchor>
              <from>
                <xdr:col>2</xdr:col>
                <xdr:colOff>180975</xdr:colOff>
                <xdr:row>15</xdr:row>
                <xdr:rowOff>123825</xdr:rowOff>
              </from>
              <to>
                <xdr:col>5</xdr:col>
                <xdr:colOff>80963</xdr:colOff>
                <xdr:row>18</xdr:row>
                <xdr:rowOff>4763</xdr:rowOff>
              </to>
            </anchor>
          </controlPr>
        </control>
      </mc:Choice>
      <mc:Fallback>
        <control shapeId="7178" r:id="rId86" name="TextBox13"/>
      </mc:Fallback>
    </mc:AlternateContent>
    <mc:AlternateContent xmlns:mc="http://schemas.openxmlformats.org/markup-compatibility/2006">
      <mc:Choice Requires="x14">
        <control shapeId="7175" r:id="rId88" name="TextBox11">
          <controlPr defaultSize="0" autoLine="0" linkedCell="Pupil_Growth" r:id="rId89">
            <anchor>
              <from>
                <xdr:col>20</xdr:col>
                <xdr:colOff>180975</xdr:colOff>
                <xdr:row>1</xdr:row>
                <xdr:rowOff>47625</xdr:rowOff>
              </from>
              <to>
                <xdr:col>23</xdr:col>
                <xdr:colOff>0</xdr:colOff>
                <xdr:row>2</xdr:row>
                <xdr:rowOff>185738</xdr:rowOff>
              </to>
            </anchor>
          </controlPr>
        </control>
      </mc:Choice>
      <mc:Fallback>
        <control shapeId="7175" r:id="rId88" name="TextBox11"/>
      </mc:Fallback>
    </mc:AlternateContent>
    <mc:AlternateContent xmlns:mc="http://schemas.openxmlformats.org/markup-compatibility/2006">
      <mc:Choice Requires="x14">
        <control shapeId="7174" r:id="rId90" name="TextBox8">
          <controlPr defaultSize="0" autoLine="0" autoPict="0" linkedCell="BNfunding" r:id="rId91">
            <anchor>
              <from>
                <xdr:col>16</xdr:col>
                <xdr:colOff>28575</xdr:colOff>
                <xdr:row>1</xdr:row>
                <xdr:rowOff>47625</xdr:rowOff>
              </from>
              <to>
                <xdr:col>18</xdr:col>
                <xdr:colOff>161925</xdr:colOff>
                <xdr:row>2</xdr:row>
                <xdr:rowOff>190500</xdr:rowOff>
              </to>
            </anchor>
          </controlPr>
        </control>
      </mc:Choice>
      <mc:Fallback>
        <control shapeId="7174" r:id="rId90" name="TextBox8"/>
      </mc:Fallback>
    </mc:AlternateContent>
    <mc:AlternateContent xmlns:mc="http://schemas.openxmlformats.org/markup-compatibility/2006">
      <mc:Choice Requires="x14">
        <control shapeId="7171" r:id="rId92" name="LA">
          <controlPr locked="0" defaultSize="0" autoLine="0" autoPict="0" linkedCell="chosen_LA" listFillRange="Authorities" r:id="rId93">
            <anchor>
              <from>
                <xdr:col>4</xdr:col>
                <xdr:colOff>161925</xdr:colOff>
                <xdr:row>1</xdr:row>
                <xdr:rowOff>47625</xdr:rowOff>
              </from>
              <to>
                <xdr:col>11</xdr:col>
                <xdr:colOff>28575</xdr:colOff>
                <xdr:row>2</xdr:row>
                <xdr:rowOff>190500</xdr:rowOff>
              </to>
            </anchor>
          </controlPr>
        </control>
      </mc:Choice>
      <mc:Fallback>
        <control shapeId="7171" r:id="rId92" name="LA"/>
      </mc:Fallback>
    </mc:AlternateContent>
    <mc:AlternateContent xmlns:mc="http://schemas.openxmlformats.org/markup-compatibility/2006">
      <mc:Choice Requires="x14">
        <control shapeId="7170" r:id="rId94" name="Phase">
          <controlPr locked="0" defaultSize="0" autoLine="0" autoPict="0" linkedCell="chosen_phase" listFillRange="Phases" r:id="rId95">
            <anchor>
              <from>
                <xdr:col>11</xdr:col>
                <xdr:colOff>123825</xdr:colOff>
                <xdr:row>1</xdr:row>
                <xdr:rowOff>47625</xdr:rowOff>
              </from>
              <to>
                <xdr:col>15</xdr:col>
                <xdr:colOff>447675</xdr:colOff>
                <xdr:row>2</xdr:row>
                <xdr:rowOff>190500</xdr:rowOff>
              </to>
            </anchor>
          </controlPr>
        </control>
      </mc:Choice>
      <mc:Fallback>
        <control shapeId="7170" r:id="rId94" name="Phase"/>
      </mc:Fallback>
    </mc:AlternateContent>
    <mc:AlternateContent xmlns:mc="http://schemas.openxmlformats.org/markup-compatibility/2006">
      <mc:Choice Requires="x14">
        <control shapeId="7172" r:id="rId96" name="Three-year-fore">
          <controlPr defaultSize="0" autoLine="0" linkedCell="for_3_value" r:id="rId97">
            <anchor>
              <from>
                <xdr:col>14</xdr:col>
                <xdr:colOff>28575</xdr:colOff>
                <xdr:row>14</xdr:row>
                <xdr:rowOff>114300</xdr:rowOff>
              </from>
              <to>
                <xdr:col>20</xdr:col>
                <xdr:colOff>95250</xdr:colOff>
                <xdr:row>16</xdr:row>
                <xdr:rowOff>190500</xdr:rowOff>
              </to>
            </anchor>
          </controlPr>
        </control>
      </mc:Choice>
      <mc:Fallback>
        <control shapeId="7172" r:id="rId96" name="Three-year-fore"/>
      </mc:Fallback>
    </mc:AlternateContent>
    <mc:AlternateContent xmlns:mc="http://schemas.openxmlformats.org/markup-compatibility/2006">
      <mc:Choice Requires="x14">
        <control shapeId="7169" r:id="rId98" name="One-year-fore">
          <controlPr defaultSize="0" autoLine="0" linkedCell="for_1_value" r:id="rId99">
            <anchor>
              <from>
                <xdr:col>14</xdr:col>
                <xdr:colOff>28575</xdr:colOff>
                <xdr:row>8</xdr:row>
                <xdr:rowOff>66675</xdr:rowOff>
              </from>
              <to>
                <xdr:col>20</xdr:col>
                <xdr:colOff>95250</xdr:colOff>
                <xdr:row>10</xdr:row>
                <xdr:rowOff>114300</xdr:rowOff>
              </to>
            </anchor>
          </controlPr>
        </control>
      </mc:Choice>
      <mc:Fallback>
        <control shapeId="7169" r:id="rId98" name="One-year-fore"/>
      </mc:Fallback>
    </mc:AlternateContent>
  </control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G41"/>
  <sheetViews>
    <sheetView topLeftCell="A39" zoomScaleNormal="100" workbookViewId="0"/>
  </sheetViews>
  <sheetFormatPr defaultColWidth="0" defaultRowHeight="14.25" x14ac:dyDescent="0.45"/>
  <cols>
    <col min="1" max="1" width="27.86328125" style="350" customWidth="1"/>
    <col min="2" max="2" width="27.3984375" style="350" customWidth="1"/>
    <col min="3" max="3" width="25.73046875" style="350" customWidth="1"/>
    <col min="4" max="4" width="23.59765625" style="350" customWidth="1"/>
    <col min="5" max="5" width="94.86328125" style="350" customWidth="1"/>
    <col min="6" max="6" width="44.3984375" style="350" bestFit="1" customWidth="1"/>
    <col min="7" max="16384" width="8.86328125" style="135" hidden="1"/>
  </cols>
  <sheetData>
    <row r="1" spans="1:7" customFormat="1" ht="20.25" customHeight="1" x14ac:dyDescent="0.45">
      <c r="A1" s="317" t="s">
        <v>767</v>
      </c>
      <c r="B1" s="134"/>
      <c r="C1" s="134"/>
      <c r="D1" s="134"/>
      <c r="E1" s="134"/>
      <c r="F1" s="134"/>
    </row>
    <row r="2" spans="1:7" s="233" customFormat="1" ht="28.5" x14ac:dyDescent="0.45">
      <c r="A2" s="323" t="s">
        <v>285</v>
      </c>
      <c r="B2" s="323" t="s">
        <v>286</v>
      </c>
      <c r="C2" s="323" t="s">
        <v>287</v>
      </c>
      <c r="D2" s="323" t="s">
        <v>288</v>
      </c>
      <c r="E2" s="323" t="s">
        <v>279</v>
      </c>
      <c r="F2" s="323" t="s">
        <v>631</v>
      </c>
    </row>
    <row r="3" spans="1:7" ht="127.5" customHeight="1" thickBot="1" x14ac:dyDescent="0.5">
      <c r="A3" s="330" t="s">
        <v>660</v>
      </c>
      <c r="B3" s="331" t="s">
        <v>661</v>
      </c>
      <c r="C3" s="331"/>
      <c r="D3" s="332" t="s">
        <v>289</v>
      </c>
      <c r="E3" s="331" t="s">
        <v>662</v>
      </c>
      <c r="F3" s="333" t="s">
        <v>768</v>
      </c>
      <c r="G3" s="322"/>
    </row>
    <row r="4" spans="1:7" ht="67.5" customHeight="1" x14ac:dyDescent="0.45">
      <c r="A4" s="399" t="s">
        <v>765</v>
      </c>
      <c r="B4" s="401" t="s">
        <v>663</v>
      </c>
      <c r="C4" s="334" t="s">
        <v>388</v>
      </c>
      <c r="D4" s="319" t="s">
        <v>290</v>
      </c>
      <c r="E4" s="334" t="s">
        <v>769</v>
      </c>
      <c r="F4" s="403" t="s">
        <v>770</v>
      </c>
    </row>
    <row r="5" spans="1:7" ht="142.5" customHeight="1" thickBot="1" x14ac:dyDescent="0.5">
      <c r="A5" s="400"/>
      <c r="B5" s="402"/>
      <c r="C5" s="335" t="s">
        <v>664</v>
      </c>
      <c r="D5" s="321" t="s">
        <v>754</v>
      </c>
      <c r="E5" s="335" t="s">
        <v>771</v>
      </c>
      <c r="F5" s="404"/>
    </row>
    <row r="6" spans="1:7" ht="63" customHeight="1" x14ac:dyDescent="0.45">
      <c r="A6" s="405" t="s">
        <v>772</v>
      </c>
      <c r="B6" s="408" t="s">
        <v>766</v>
      </c>
      <c r="C6" s="334" t="s">
        <v>291</v>
      </c>
      <c r="D6" s="319" t="s">
        <v>736</v>
      </c>
      <c r="E6" s="408" t="s">
        <v>773</v>
      </c>
      <c r="F6" s="410" t="s">
        <v>774</v>
      </c>
    </row>
    <row r="7" spans="1:7" ht="98.25" customHeight="1" x14ac:dyDescent="0.45">
      <c r="A7" s="406"/>
      <c r="B7" s="409"/>
      <c r="C7" s="324" t="s">
        <v>665</v>
      </c>
      <c r="D7" s="320" t="s">
        <v>737</v>
      </c>
      <c r="E7" s="409"/>
      <c r="F7" s="411"/>
    </row>
    <row r="8" spans="1:7" ht="139.5" customHeight="1" x14ac:dyDescent="0.45">
      <c r="A8" s="406"/>
      <c r="B8" s="412" t="s">
        <v>775</v>
      </c>
      <c r="C8" s="324" t="s">
        <v>776</v>
      </c>
      <c r="D8" s="320" t="s">
        <v>738</v>
      </c>
      <c r="E8" s="324" t="s">
        <v>777</v>
      </c>
      <c r="F8" s="414" t="s">
        <v>778</v>
      </c>
    </row>
    <row r="9" spans="1:7" ht="61.5" customHeight="1" x14ac:dyDescent="0.45">
      <c r="A9" s="406"/>
      <c r="B9" s="413"/>
      <c r="C9" s="324" t="s">
        <v>779</v>
      </c>
      <c r="D9" s="324" t="s">
        <v>292</v>
      </c>
      <c r="E9" s="324" t="s">
        <v>780</v>
      </c>
      <c r="F9" s="415"/>
    </row>
    <row r="10" spans="1:7" ht="151.5" customHeight="1" x14ac:dyDescent="0.45">
      <c r="A10" s="406"/>
      <c r="B10" s="413"/>
      <c r="C10" s="324" t="s">
        <v>668</v>
      </c>
      <c r="D10" s="324" t="s">
        <v>292</v>
      </c>
      <c r="E10" s="324" t="s">
        <v>781</v>
      </c>
      <c r="F10" s="415"/>
    </row>
    <row r="11" spans="1:7" ht="85.5" x14ac:dyDescent="0.45">
      <c r="A11" s="406"/>
      <c r="B11" s="413"/>
      <c r="C11" s="324" t="s">
        <v>782</v>
      </c>
      <c r="D11" s="324" t="s">
        <v>292</v>
      </c>
      <c r="E11" s="324" t="s">
        <v>783</v>
      </c>
      <c r="F11" s="415"/>
    </row>
    <row r="12" spans="1:7" ht="111" customHeight="1" x14ac:dyDescent="0.45">
      <c r="A12" s="406"/>
      <c r="B12" s="409"/>
      <c r="C12" s="324" t="s">
        <v>669</v>
      </c>
      <c r="D12" s="324"/>
      <c r="E12" s="324" t="s">
        <v>784</v>
      </c>
      <c r="F12" s="411"/>
    </row>
    <row r="13" spans="1:7" ht="142.5" customHeight="1" x14ac:dyDescent="0.45">
      <c r="A13" s="406"/>
      <c r="B13" s="324" t="s">
        <v>666</v>
      </c>
      <c r="C13" s="412" t="s">
        <v>785</v>
      </c>
      <c r="D13" s="416" t="s">
        <v>753</v>
      </c>
      <c r="E13" s="412" t="s">
        <v>786</v>
      </c>
      <c r="F13" s="414" t="s">
        <v>757</v>
      </c>
    </row>
    <row r="14" spans="1:7" ht="313.5" customHeight="1" x14ac:dyDescent="0.45">
      <c r="A14" s="406"/>
      <c r="B14" s="324" t="s">
        <v>667</v>
      </c>
      <c r="C14" s="409"/>
      <c r="D14" s="417"/>
      <c r="E14" s="409"/>
      <c r="F14" s="411"/>
    </row>
    <row r="15" spans="1:7" ht="69.75" customHeight="1" x14ac:dyDescent="0.45">
      <c r="A15" s="406"/>
      <c r="B15" s="412" t="s">
        <v>787</v>
      </c>
      <c r="C15" s="324" t="s">
        <v>788</v>
      </c>
      <c r="D15" s="320" t="s">
        <v>752</v>
      </c>
      <c r="E15" s="412" t="s">
        <v>789</v>
      </c>
      <c r="F15" s="414" t="s">
        <v>790</v>
      </c>
    </row>
    <row r="16" spans="1:7" ht="117" customHeight="1" x14ac:dyDescent="0.45">
      <c r="A16" s="406"/>
      <c r="B16" s="409"/>
      <c r="C16" s="324" t="s">
        <v>791</v>
      </c>
      <c r="D16" s="320" t="s">
        <v>670</v>
      </c>
      <c r="E16" s="409"/>
      <c r="F16" s="411"/>
    </row>
    <row r="17" spans="1:6" ht="70.5" customHeight="1" x14ac:dyDescent="0.45">
      <c r="A17" s="406"/>
      <c r="B17" s="412" t="s">
        <v>792</v>
      </c>
      <c r="C17" s="324" t="s">
        <v>793</v>
      </c>
      <c r="D17" s="325" t="s">
        <v>671</v>
      </c>
      <c r="E17" s="412" t="s">
        <v>794</v>
      </c>
      <c r="F17" s="418" t="s">
        <v>795</v>
      </c>
    </row>
    <row r="18" spans="1:6" ht="120.75" customHeight="1" thickBot="1" x14ac:dyDescent="0.5">
      <c r="A18" s="407"/>
      <c r="B18" s="430"/>
      <c r="C18" s="335" t="s">
        <v>796</v>
      </c>
      <c r="D18" s="321" t="s">
        <v>670</v>
      </c>
      <c r="E18" s="430"/>
      <c r="F18" s="419"/>
    </row>
    <row r="19" spans="1:6" ht="146.25" customHeight="1" thickBot="1" x14ac:dyDescent="0.5">
      <c r="A19" s="336" t="s">
        <v>235</v>
      </c>
      <c r="B19" s="337" t="s">
        <v>588</v>
      </c>
      <c r="C19" s="337"/>
      <c r="D19" s="338" t="s">
        <v>293</v>
      </c>
      <c r="E19" s="337" t="s">
        <v>672</v>
      </c>
      <c r="F19" s="339" t="s">
        <v>797</v>
      </c>
    </row>
    <row r="20" spans="1:6" ht="181.5" customHeight="1" x14ac:dyDescent="0.45">
      <c r="A20" s="420" t="s">
        <v>798</v>
      </c>
      <c r="B20" s="423" t="s">
        <v>799</v>
      </c>
      <c r="C20" s="327" t="s">
        <v>673</v>
      </c>
      <c r="D20" s="319" t="s">
        <v>589</v>
      </c>
      <c r="E20" s="423" t="s">
        <v>800</v>
      </c>
      <c r="F20" s="403" t="s">
        <v>801</v>
      </c>
    </row>
    <row r="21" spans="1:6" ht="232.5" customHeight="1" x14ac:dyDescent="0.45">
      <c r="A21" s="421"/>
      <c r="B21" s="424"/>
      <c r="C21" s="328" t="s">
        <v>674</v>
      </c>
      <c r="D21" s="320" t="s">
        <v>675</v>
      </c>
      <c r="E21" s="424"/>
      <c r="F21" s="414"/>
    </row>
    <row r="22" spans="1:6" ht="123.75" customHeight="1" x14ac:dyDescent="0.45">
      <c r="A22" s="421"/>
      <c r="B22" s="425" t="s">
        <v>802</v>
      </c>
      <c r="C22" s="328" t="s">
        <v>294</v>
      </c>
      <c r="D22" s="320" t="s">
        <v>295</v>
      </c>
      <c r="E22" s="328" t="s">
        <v>803</v>
      </c>
      <c r="F22" s="340" t="s">
        <v>804</v>
      </c>
    </row>
    <row r="23" spans="1:6" ht="237" customHeight="1" x14ac:dyDescent="0.45">
      <c r="A23" s="421"/>
      <c r="B23" s="426"/>
      <c r="C23" s="341" t="s">
        <v>630</v>
      </c>
      <c r="D23" s="320" t="s">
        <v>296</v>
      </c>
      <c r="E23" s="341" t="s">
        <v>805</v>
      </c>
      <c r="F23" s="340" t="s">
        <v>806</v>
      </c>
    </row>
    <row r="24" spans="1:6" ht="185.25" x14ac:dyDescent="0.45">
      <c r="A24" s="421"/>
      <c r="B24" s="427"/>
      <c r="C24" s="328" t="s">
        <v>807</v>
      </c>
      <c r="D24" s="320" t="s">
        <v>296</v>
      </c>
      <c r="E24" s="328" t="s">
        <v>808</v>
      </c>
      <c r="F24" s="326" t="s">
        <v>758</v>
      </c>
    </row>
    <row r="25" spans="1:6" ht="71.25" x14ac:dyDescent="0.45">
      <c r="A25" s="421"/>
      <c r="B25" s="328" t="s">
        <v>809</v>
      </c>
      <c r="C25" s="328" t="s">
        <v>810</v>
      </c>
      <c r="D25" s="328"/>
      <c r="E25" s="328" t="s">
        <v>297</v>
      </c>
      <c r="F25" s="329" t="s">
        <v>811</v>
      </c>
    </row>
    <row r="26" spans="1:6" ht="85.5" x14ac:dyDescent="0.45">
      <c r="A26" s="421"/>
      <c r="B26" s="328" t="s">
        <v>812</v>
      </c>
      <c r="C26" s="328"/>
      <c r="D26" s="328"/>
      <c r="E26" s="328" t="s">
        <v>813</v>
      </c>
      <c r="F26" s="342" t="s">
        <v>814</v>
      </c>
    </row>
    <row r="27" spans="1:6" ht="99.75" x14ac:dyDescent="0.45">
      <c r="A27" s="421"/>
      <c r="B27" s="328" t="s">
        <v>815</v>
      </c>
      <c r="C27" s="328" t="s">
        <v>816</v>
      </c>
      <c r="D27" s="328"/>
      <c r="E27" s="328" t="s">
        <v>632</v>
      </c>
      <c r="F27" s="343" t="s">
        <v>817</v>
      </c>
    </row>
    <row r="28" spans="1:6" ht="71.25" x14ac:dyDescent="0.45">
      <c r="A28" s="421"/>
      <c r="B28" s="328" t="s">
        <v>818</v>
      </c>
      <c r="C28" s="328" t="s">
        <v>819</v>
      </c>
      <c r="D28" s="328"/>
      <c r="E28" s="328" t="s">
        <v>633</v>
      </c>
      <c r="F28" s="343" t="s">
        <v>758</v>
      </c>
    </row>
    <row r="29" spans="1:6" ht="128.25" x14ac:dyDescent="0.45">
      <c r="A29" s="421"/>
      <c r="B29" s="328" t="s">
        <v>820</v>
      </c>
      <c r="C29" s="328"/>
      <c r="D29" s="328"/>
      <c r="E29" s="328" t="s">
        <v>821</v>
      </c>
      <c r="F29" s="342" t="s">
        <v>822</v>
      </c>
    </row>
    <row r="30" spans="1:6" ht="121.5" customHeight="1" x14ac:dyDescent="0.45">
      <c r="A30" s="421"/>
      <c r="B30" s="328" t="s">
        <v>823</v>
      </c>
      <c r="C30" s="328"/>
      <c r="D30" s="328"/>
      <c r="E30" s="328" t="s">
        <v>824</v>
      </c>
      <c r="F30" s="343" t="s">
        <v>758</v>
      </c>
    </row>
    <row r="31" spans="1:6" ht="72" customHeight="1" x14ac:dyDescent="0.45">
      <c r="A31" s="421"/>
      <c r="B31" s="424" t="s">
        <v>298</v>
      </c>
      <c r="C31" s="328" t="s">
        <v>825</v>
      </c>
      <c r="D31" s="424"/>
      <c r="E31" s="424" t="s">
        <v>676</v>
      </c>
      <c r="F31" s="343" t="s">
        <v>759</v>
      </c>
    </row>
    <row r="32" spans="1:6" ht="76.5" customHeight="1" x14ac:dyDescent="0.45">
      <c r="A32" s="421"/>
      <c r="B32" s="424"/>
      <c r="C32" s="328" t="s">
        <v>826</v>
      </c>
      <c r="D32" s="424"/>
      <c r="E32" s="424"/>
      <c r="F32" s="343" t="s">
        <v>760</v>
      </c>
    </row>
    <row r="33" spans="1:6" ht="84" customHeight="1" x14ac:dyDescent="0.45">
      <c r="A33" s="421"/>
      <c r="B33" s="424"/>
      <c r="C33" s="328" t="s">
        <v>827</v>
      </c>
      <c r="D33" s="424"/>
      <c r="E33" s="424" t="s">
        <v>299</v>
      </c>
      <c r="F33" s="418" t="s">
        <v>761</v>
      </c>
    </row>
    <row r="34" spans="1:6" ht="78" customHeight="1" x14ac:dyDescent="0.45">
      <c r="A34" s="421"/>
      <c r="B34" s="424"/>
      <c r="C34" s="328" t="s">
        <v>828</v>
      </c>
      <c r="D34" s="424"/>
      <c r="E34" s="424"/>
      <c r="F34" s="428"/>
    </row>
    <row r="35" spans="1:6" ht="119.25" customHeight="1" thickBot="1" x14ac:dyDescent="0.5">
      <c r="A35" s="422"/>
      <c r="B35" s="344" t="s">
        <v>829</v>
      </c>
      <c r="C35" s="344"/>
      <c r="D35" s="344"/>
      <c r="E35" s="344" t="s">
        <v>629</v>
      </c>
      <c r="F35" s="345" t="s">
        <v>830</v>
      </c>
    </row>
    <row r="36" spans="1:6" ht="390.75" customHeight="1" x14ac:dyDescent="0.45">
      <c r="A36" s="420" t="s">
        <v>734</v>
      </c>
      <c r="B36" s="327" t="s">
        <v>634</v>
      </c>
      <c r="C36" s="327"/>
      <c r="D36" s="327" t="s">
        <v>831</v>
      </c>
      <c r="E36" s="423" t="s">
        <v>836</v>
      </c>
      <c r="F36" s="355" t="s">
        <v>832</v>
      </c>
    </row>
    <row r="37" spans="1:6" ht="335.25" customHeight="1" x14ac:dyDescent="0.45">
      <c r="A37" s="421"/>
      <c r="B37" s="328" t="s">
        <v>635</v>
      </c>
      <c r="C37" s="328"/>
      <c r="D37" s="328" t="s">
        <v>831</v>
      </c>
      <c r="E37" s="424"/>
      <c r="F37" s="340" t="s">
        <v>833</v>
      </c>
    </row>
    <row r="38" spans="1:6" ht="378.75" customHeight="1" x14ac:dyDescent="0.45">
      <c r="A38" s="421"/>
      <c r="B38" s="328" t="s">
        <v>636</v>
      </c>
      <c r="C38" s="328"/>
      <c r="D38" s="346" t="s">
        <v>831</v>
      </c>
      <c r="E38" s="424"/>
      <c r="F38" s="340" t="s">
        <v>563</v>
      </c>
    </row>
    <row r="39" spans="1:6" ht="178.5" customHeight="1" x14ac:dyDescent="0.45">
      <c r="A39" s="421"/>
      <c r="B39" s="424" t="s">
        <v>298</v>
      </c>
      <c r="C39" s="328" t="s">
        <v>300</v>
      </c>
      <c r="D39" s="328" t="s">
        <v>831</v>
      </c>
      <c r="E39" s="328" t="s">
        <v>835</v>
      </c>
      <c r="F39" s="340" t="s">
        <v>762</v>
      </c>
    </row>
    <row r="40" spans="1:6" ht="178.5" customHeight="1" thickBot="1" x14ac:dyDescent="0.5">
      <c r="A40" s="429"/>
      <c r="B40" s="425"/>
      <c r="C40" s="347" t="s">
        <v>756</v>
      </c>
      <c r="D40" s="347" t="s">
        <v>831</v>
      </c>
      <c r="E40" s="347" t="s">
        <v>834</v>
      </c>
      <c r="F40" s="348" t="s">
        <v>764</v>
      </c>
    </row>
    <row r="41" spans="1:6" x14ac:dyDescent="0.45">
      <c r="A41" s="349"/>
      <c r="B41" s="349"/>
      <c r="C41" s="349"/>
      <c r="D41" s="349"/>
      <c r="E41" s="349"/>
      <c r="F41" s="349"/>
    </row>
  </sheetData>
  <mergeCells count="32">
    <mergeCell ref="A36:A40"/>
    <mergeCell ref="E36:E38"/>
    <mergeCell ref="B39:B40"/>
    <mergeCell ref="B17:B18"/>
    <mergeCell ref="E17:E18"/>
    <mergeCell ref="F17:F18"/>
    <mergeCell ref="A20:A35"/>
    <mergeCell ref="B20:B21"/>
    <mergeCell ref="E20:E21"/>
    <mergeCell ref="F20:F21"/>
    <mergeCell ref="B22:B24"/>
    <mergeCell ref="B31:B34"/>
    <mergeCell ref="D31:D34"/>
    <mergeCell ref="E31:E32"/>
    <mergeCell ref="E33:E34"/>
    <mergeCell ref="F33:F34"/>
    <mergeCell ref="A4:A5"/>
    <mergeCell ref="B4:B5"/>
    <mergeCell ref="F4:F5"/>
    <mergeCell ref="A6:A18"/>
    <mergeCell ref="B6:B7"/>
    <mergeCell ref="E6:E7"/>
    <mergeCell ref="F6:F7"/>
    <mergeCell ref="B8:B12"/>
    <mergeCell ref="F8:F12"/>
    <mergeCell ref="C13:C14"/>
    <mergeCell ref="D13:D14"/>
    <mergeCell ref="E13:E14"/>
    <mergeCell ref="F13:F14"/>
    <mergeCell ref="B15:B16"/>
    <mergeCell ref="E15:E16"/>
    <mergeCell ref="F15:F16"/>
  </mergeCells>
  <hyperlinks>
    <hyperlink ref="D3" r:id="rId1" xr:uid="{00000000-0004-0000-0600-000000000000}"/>
    <hyperlink ref="D19" r:id="rId2" xr:uid="{00000000-0004-0000-0600-000006000000}"/>
    <hyperlink ref="D20" r:id="rId3" xr:uid="{FB5BBC5E-6F01-4A30-96E9-87CD4C260088}"/>
    <hyperlink ref="D21" r:id="rId4" xr:uid="{0D6930D9-75C7-4817-8E5E-34C1516FC958}"/>
    <hyperlink ref="D22" r:id="rId5" xr:uid="{E3406839-D3A4-4452-993F-31DB7299671C}"/>
    <hyperlink ref="D24" r:id="rId6" xr:uid="{5878742C-619C-414F-B694-AC076AD69993}"/>
    <hyperlink ref="D23" r:id="rId7" xr:uid="{BA7935AF-CBA6-4FCA-A699-8208E7B7D4C3}"/>
    <hyperlink ref="D5" r:id="rId8" display="Local authority data provided through the the School Capacity (SCAP) Collection 2017" xr:uid="{A7A0E473-FB8F-4322-9FBF-7383DC962ABF}"/>
    <hyperlink ref="D4" r:id="rId9" xr:uid="{51E8FAF5-1121-4E43-8BF6-36C2DE496D64}"/>
    <hyperlink ref="D7" r:id="rId10" xr:uid="{E5D0E6C9-7084-4DF3-BF59-A447F012C9A6}"/>
    <hyperlink ref="D8" r:id="rId11" xr:uid="{7C395586-953A-48CE-9E96-932FCB66687D}"/>
    <hyperlink ref="D15" r:id="rId12" display="Local authority data provided through the School Capacity (SCAP) Collection 2018" xr:uid="{6278147C-ACB4-4B1A-8F18-87B67F8189E1}"/>
    <hyperlink ref="D17" r:id="rId13" xr:uid="{C4BFC289-3673-4EA9-9C8E-EA213321B090}"/>
    <hyperlink ref="D18" r:id="rId14" xr:uid="{0F7E678B-2FCD-44C4-95D1-F5C22ABCEFB6}"/>
    <hyperlink ref="D13:D14" r:id="rId15" display="2018/19 school place planning published tables" xr:uid="{8EC2651E-8C77-48FE-BBFD-6A8CE8D27C48}"/>
    <hyperlink ref="D6" r:id="rId16" xr:uid="{71E495CF-750F-4DEB-B4B8-8FCA04F0782A}"/>
    <hyperlink ref="D16" r:id="rId17" xr:uid="{0ACD85A7-F867-476F-9C64-0FD7FAEBF29B}"/>
  </hyperlinks>
  <pageMargins left="0.70866141732283472" right="0.70866141732283472" top="0.74803149606299213" bottom="0.74803149606299213" header="0.31496062992125984" footer="0.31496062992125984"/>
  <pageSetup paperSize="9" scale="47" orientation="landscape" r:id="rId1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1"/>
  <dimension ref="A1:BP172"/>
  <sheetViews>
    <sheetView showGridLines="0" zoomScaleNormal="100" workbookViewId="0">
      <selection activeCell="B7" sqref="B7"/>
    </sheetView>
  </sheetViews>
  <sheetFormatPr defaultColWidth="8.86328125" defaultRowHeight="14.25" x14ac:dyDescent="0.45"/>
  <cols>
    <col min="1" max="1" width="25.73046875" customWidth="1"/>
    <col min="2" max="2" width="40.59765625" customWidth="1"/>
    <col min="3" max="3" width="28.1328125" customWidth="1"/>
    <col min="4" max="11" width="23.73046875" customWidth="1"/>
    <col min="12" max="12" width="24.265625" customWidth="1"/>
    <col min="13" max="68" width="23.73046875" customWidth="1"/>
  </cols>
  <sheetData>
    <row r="1" spans="1:68" s="15" customFormat="1" ht="14.65" thickBot="1" x14ac:dyDescent="0.5">
      <c r="A1" s="351" t="s">
        <v>748</v>
      </c>
      <c r="B1" s="351" t="s">
        <v>748</v>
      </c>
      <c r="C1" s="351" t="s">
        <v>748</v>
      </c>
      <c r="D1" s="352" t="s">
        <v>255</v>
      </c>
      <c r="E1" s="353" t="s">
        <v>255</v>
      </c>
      <c r="F1" s="353" t="s">
        <v>255</v>
      </c>
      <c r="G1" s="354" t="s">
        <v>255</v>
      </c>
      <c r="H1" s="352" t="s">
        <v>253</v>
      </c>
      <c r="I1" s="353" t="s">
        <v>253</v>
      </c>
      <c r="J1" s="353" t="s">
        <v>253</v>
      </c>
      <c r="K1" s="353" t="s">
        <v>253</v>
      </c>
      <c r="L1" s="353" t="s">
        <v>253</v>
      </c>
      <c r="M1" s="354" t="s">
        <v>253</v>
      </c>
      <c r="N1" s="352" t="s">
        <v>257</v>
      </c>
      <c r="O1" s="353" t="s">
        <v>257</v>
      </c>
      <c r="P1" s="353" t="s">
        <v>257</v>
      </c>
      <c r="Q1" s="353" t="s">
        <v>257</v>
      </c>
      <c r="R1" s="354" t="s">
        <v>257</v>
      </c>
      <c r="S1" s="352" t="s">
        <v>301</v>
      </c>
      <c r="T1" s="353" t="s">
        <v>301</v>
      </c>
      <c r="U1" s="353" t="s">
        <v>301</v>
      </c>
      <c r="V1" s="354" t="s">
        <v>301</v>
      </c>
      <c r="W1" s="352" t="s">
        <v>260</v>
      </c>
      <c r="X1" s="353" t="s">
        <v>837</v>
      </c>
      <c r="Y1" s="353" t="s">
        <v>837</v>
      </c>
      <c r="Z1" s="353" t="s">
        <v>837</v>
      </c>
      <c r="AA1" s="353" t="s">
        <v>837</v>
      </c>
      <c r="AB1" s="353" t="s">
        <v>837</v>
      </c>
      <c r="AC1" s="353" t="s">
        <v>837</v>
      </c>
      <c r="AD1" s="353" t="s">
        <v>837</v>
      </c>
      <c r="AE1" s="353" t="s">
        <v>837</v>
      </c>
      <c r="AF1" s="354" t="s">
        <v>837</v>
      </c>
      <c r="AG1" s="352" t="s">
        <v>623</v>
      </c>
      <c r="AH1" s="353" t="s">
        <v>838</v>
      </c>
      <c r="AI1" s="353" t="s">
        <v>838</v>
      </c>
      <c r="AJ1" s="353" t="s">
        <v>838</v>
      </c>
      <c r="AK1" s="353" t="s">
        <v>838</v>
      </c>
      <c r="AL1" s="353" t="s">
        <v>838</v>
      </c>
      <c r="AM1" s="353" t="s">
        <v>838</v>
      </c>
      <c r="AN1" s="353" t="s">
        <v>838</v>
      </c>
      <c r="AO1" s="353" t="s">
        <v>838</v>
      </c>
      <c r="AP1" s="353" t="s">
        <v>838</v>
      </c>
      <c r="AQ1" s="353" t="s">
        <v>838</v>
      </c>
      <c r="AR1" s="353" t="s">
        <v>838</v>
      </c>
      <c r="AS1" s="352" t="s">
        <v>626</v>
      </c>
      <c r="AT1" s="353" t="s">
        <v>839</v>
      </c>
      <c r="AU1" s="353" t="s">
        <v>839</v>
      </c>
      <c r="AV1" s="353" t="s">
        <v>839</v>
      </c>
      <c r="AW1" s="353" t="s">
        <v>839</v>
      </c>
      <c r="AX1" s="353" t="s">
        <v>839</v>
      </c>
      <c r="AY1" s="353" t="s">
        <v>839</v>
      </c>
      <c r="AZ1" s="353" t="s">
        <v>839</v>
      </c>
      <c r="BA1" s="353" t="s">
        <v>839</v>
      </c>
      <c r="BB1" s="353" t="s">
        <v>839</v>
      </c>
      <c r="BC1" s="353" t="s">
        <v>839</v>
      </c>
      <c r="BD1" s="353" t="s">
        <v>839</v>
      </c>
      <c r="BE1" s="352" t="s">
        <v>268</v>
      </c>
      <c r="BF1" s="353" t="s">
        <v>268</v>
      </c>
      <c r="BG1" s="353" t="s">
        <v>268</v>
      </c>
      <c r="BH1" s="353" t="s">
        <v>268</v>
      </c>
      <c r="BI1" s="353" t="s">
        <v>268</v>
      </c>
      <c r="BJ1" s="353" t="s">
        <v>268</v>
      </c>
      <c r="BK1" s="353" t="s">
        <v>268</v>
      </c>
      <c r="BL1" s="353" t="s">
        <v>268</v>
      </c>
      <c r="BM1" s="353" t="s">
        <v>268</v>
      </c>
      <c r="BN1" s="353" t="s">
        <v>268</v>
      </c>
      <c r="BO1" s="353" t="s">
        <v>268</v>
      </c>
      <c r="BP1" s="354" t="s">
        <v>268</v>
      </c>
    </row>
    <row r="2" spans="1:68" ht="94.5" customHeight="1" thickBot="1" x14ac:dyDescent="0.5">
      <c r="A2" s="356" t="s">
        <v>686</v>
      </c>
      <c r="B2" s="138" t="s">
        <v>284</v>
      </c>
      <c r="C2" s="139" t="s">
        <v>252</v>
      </c>
      <c r="D2" s="155" t="s">
        <v>648</v>
      </c>
      <c r="E2" s="156" t="s">
        <v>256</v>
      </c>
      <c r="F2" s="156" t="s">
        <v>649</v>
      </c>
      <c r="G2" s="156" t="s">
        <v>650</v>
      </c>
      <c r="H2" s="199" t="s">
        <v>254</v>
      </c>
      <c r="I2" s="200" t="s">
        <v>651</v>
      </c>
      <c r="J2" s="200" t="s">
        <v>652</v>
      </c>
      <c r="K2" s="200" t="s">
        <v>653</v>
      </c>
      <c r="L2" s="200" t="s">
        <v>654</v>
      </c>
      <c r="M2" s="200" t="s">
        <v>643</v>
      </c>
      <c r="N2" s="199" t="s">
        <v>655</v>
      </c>
      <c r="O2" s="200" t="s">
        <v>657</v>
      </c>
      <c r="P2" s="200" t="s">
        <v>515</v>
      </c>
      <c r="Q2" s="200" t="s">
        <v>656</v>
      </c>
      <c r="R2" s="201" t="s">
        <v>516</v>
      </c>
      <c r="S2" s="156" t="s">
        <v>258</v>
      </c>
      <c r="T2" s="156" t="s">
        <v>274</v>
      </c>
      <c r="U2" s="156" t="s">
        <v>259</v>
      </c>
      <c r="V2" s="157" t="s">
        <v>275</v>
      </c>
      <c r="W2" s="155" t="s">
        <v>261</v>
      </c>
      <c r="X2" s="156" t="s">
        <v>276</v>
      </c>
      <c r="Y2" s="156" t="s">
        <v>262</v>
      </c>
      <c r="Z2" s="156" t="s">
        <v>263</v>
      </c>
      <c r="AA2" s="156" t="s">
        <v>277</v>
      </c>
      <c r="AB2" s="156" t="s">
        <v>264</v>
      </c>
      <c r="AC2" s="156" t="s">
        <v>278</v>
      </c>
      <c r="AD2" s="156" t="s">
        <v>265</v>
      </c>
      <c r="AE2" s="156" t="s">
        <v>266</v>
      </c>
      <c r="AF2" s="156" t="s">
        <v>267</v>
      </c>
      <c r="AG2" s="155" t="s">
        <v>518</v>
      </c>
      <c r="AH2" s="156" t="s">
        <v>519</v>
      </c>
      <c r="AI2" s="156" t="s">
        <v>520</v>
      </c>
      <c r="AJ2" s="156" t="s">
        <v>521</v>
      </c>
      <c r="AK2" s="156" t="s">
        <v>522</v>
      </c>
      <c r="AL2" s="156" t="s">
        <v>624</v>
      </c>
      <c r="AM2" s="156" t="s">
        <v>523</v>
      </c>
      <c r="AN2" s="156" t="s">
        <v>524</v>
      </c>
      <c r="AO2" s="156" t="s">
        <v>525</v>
      </c>
      <c r="AP2" s="156" t="s">
        <v>526</v>
      </c>
      <c r="AQ2" s="156" t="s">
        <v>527</v>
      </c>
      <c r="AR2" s="156" t="s">
        <v>625</v>
      </c>
      <c r="AS2" s="155" t="s">
        <v>518</v>
      </c>
      <c r="AT2" s="156" t="s">
        <v>519</v>
      </c>
      <c r="AU2" s="156" t="s">
        <v>520</v>
      </c>
      <c r="AV2" s="156" t="s">
        <v>521</v>
      </c>
      <c r="AW2" s="156" t="s">
        <v>522</v>
      </c>
      <c r="AX2" s="156" t="s">
        <v>624</v>
      </c>
      <c r="AY2" s="156" t="s">
        <v>523</v>
      </c>
      <c r="AZ2" s="156" t="s">
        <v>524</v>
      </c>
      <c r="BA2" s="156" t="s">
        <v>525</v>
      </c>
      <c r="BB2" s="156" t="s">
        <v>526</v>
      </c>
      <c r="BC2" s="156" t="s">
        <v>527</v>
      </c>
      <c r="BD2" s="156" t="s">
        <v>625</v>
      </c>
      <c r="BE2" s="155" t="s">
        <v>271</v>
      </c>
      <c r="BF2" s="156" t="s">
        <v>548</v>
      </c>
      <c r="BG2" s="156" t="s">
        <v>638</v>
      </c>
      <c r="BH2" s="156" t="s">
        <v>729</v>
      </c>
      <c r="BI2" s="156" t="s">
        <v>272</v>
      </c>
      <c r="BJ2" s="156" t="s">
        <v>549</v>
      </c>
      <c r="BK2" s="156" t="s">
        <v>269</v>
      </c>
      <c r="BL2" s="156" t="s">
        <v>730</v>
      </c>
      <c r="BM2" s="156" t="s">
        <v>273</v>
      </c>
      <c r="BN2" s="156" t="s">
        <v>550</v>
      </c>
      <c r="BO2" s="156" t="s">
        <v>270</v>
      </c>
      <c r="BP2" s="157" t="s">
        <v>731</v>
      </c>
    </row>
    <row r="3" spans="1:68" ht="19.5" customHeight="1" thickBot="1" x14ac:dyDescent="0.5">
      <c r="A3" s="357" t="s">
        <v>687</v>
      </c>
      <c r="B3" s="138" t="s">
        <v>590</v>
      </c>
      <c r="C3" s="358" t="s">
        <v>687</v>
      </c>
      <c r="D3" s="315">
        <v>12304980119.809992</v>
      </c>
      <c r="E3" s="209">
        <v>3845231</v>
      </c>
      <c r="F3" s="284">
        <v>4581167</v>
      </c>
      <c r="G3" s="289">
        <v>0.19138928194430971</v>
      </c>
      <c r="H3" s="218">
        <v>4227527</v>
      </c>
      <c r="I3" s="219">
        <v>4896469</v>
      </c>
      <c r="J3" s="219">
        <v>66227</v>
      </c>
      <c r="K3" s="219">
        <v>40970</v>
      </c>
      <c r="L3" s="219">
        <v>514230</v>
      </c>
      <c r="M3" s="228">
        <v>0.101737615734069</v>
      </c>
      <c r="N3" s="266">
        <v>4517464</v>
      </c>
      <c r="O3" s="267">
        <v>4561554</v>
      </c>
      <c r="P3" s="268">
        <v>9.7599006876424466E-3</v>
      </c>
      <c r="Q3" s="267">
        <v>4637791</v>
      </c>
      <c r="R3" s="269">
        <v>2.6635962123881893E-2</v>
      </c>
      <c r="S3" s="250">
        <v>90.6</v>
      </c>
      <c r="T3" s="250">
        <v>5.4</v>
      </c>
      <c r="U3" s="250">
        <v>1.5</v>
      </c>
      <c r="V3" s="264">
        <v>97.5</v>
      </c>
      <c r="W3" s="218">
        <v>7123</v>
      </c>
      <c r="X3" s="219">
        <v>25883</v>
      </c>
      <c r="Y3" s="219">
        <v>2961</v>
      </c>
      <c r="Z3" s="219">
        <v>313</v>
      </c>
      <c r="AA3" s="219">
        <v>9555</v>
      </c>
      <c r="AB3" s="219">
        <v>884730</v>
      </c>
      <c r="AC3" s="219">
        <v>3353249</v>
      </c>
      <c r="AD3" s="219">
        <v>474787</v>
      </c>
      <c r="AE3" s="219">
        <v>65767</v>
      </c>
      <c r="AF3" s="219">
        <v>12060</v>
      </c>
      <c r="AG3" s="218">
        <v>3147</v>
      </c>
      <c r="AH3" s="219">
        <v>3976</v>
      </c>
      <c r="AI3" s="219">
        <v>19432</v>
      </c>
      <c r="AJ3" s="219">
        <v>3271</v>
      </c>
      <c r="AK3" s="219">
        <v>2325</v>
      </c>
      <c r="AL3" s="219">
        <v>13684</v>
      </c>
      <c r="AM3" s="219">
        <v>408154</v>
      </c>
      <c r="AN3" s="219">
        <v>505782</v>
      </c>
      <c r="AO3" s="219">
        <v>2564183</v>
      </c>
      <c r="AP3" s="219">
        <v>402100</v>
      </c>
      <c r="AQ3" s="219">
        <v>361566</v>
      </c>
      <c r="AR3" s="222">
        <v>548808</v>
      </c>
      <c r="AS3" s="219">
        <v>3675</v>
      </c>
      <c r="AT3" s="219">
        <v>4181</v>
      </c>
      <c r="AU3" s="219">
        <v>17620</v>
      </c>
      <c r="AV3" s="219">
        <v>4217</v>
      </c>
      <c r="AW3" s="219">
        <v>2458</v>
      </c>
      <c r="AX3" s="219">
        <v>13684</v>
      </c>
      <c r="AY3" s="219">
        <v>477667</v>
      </c>
      <c r="AZ3" s="219">
        <v>653106</v>
      </c>
      <c r="BA3" s="219">
        <v>2282397</v>
      </c>
      <c r="BB3" s="219">
        <v>519730</v>
      </c>
      <c r="BC3" s="219">
        <v>308099</v>
      </c>
      <c r="BD3" s="219">
        <v>549594</v>
      </c>
      <c r="BE3" s="220">
        <v>2217778376.8932643</v>
      </c>
      <c r="BF3" s="219">
        <v>1204</v>
      </c>
      <c r="BG3" s="219">
        <v>128436</v>
      </c>
      <c r="BH3" s="221">
        <v>17267.57588910636</v>
      </c>
      <c r="BI3" s="221">
        <v>174534423.73259088</v>
      </c>
      <c r="BJ3" s="219">
        <v>616</v>
      </c>
      <c r="BK3" s="219">
        <v>21294</v>
      </c>
      <c r="BL3" s="221">
        <v>8196.4132493937668</v>
      </c>
      <c r="BM3" s="221">
        <v>487330160.17229074</v>
      </c>
      <c r="BN3" s="219">
        <v>70</v>
      </c>
      <c r="BO3" s="219">
        <v>23763</v>
      </c>
      <c r="BP3" s="306">
        <v>20507.939240512173</v>
      </c>
    </row>
    <row r="4" spans="1:68" x14ac:dyDescent="0.45">
      <c r="A4">
        <v>301</v>
      </c>
      <c r="B4" t="s">
        <v>1</v>
      </c>
      <c r="C4" s="238" t="s">
        <v>564</v>
      </c>
      <c r="D4" s="280">
        <v>194835734.56999999</v>
      </c>
      <c r="E4" s="158">
        <v>17772</v>
      </c>
      <c r="F4" s="282">
        <v>26403</v>
      </c>
      <c r="G4" s="224">
        <v>0.48565158676569886</v>
      </c>
      <c r="H4" s="160">
        <v>18107</v>
      </c>
      <c r="I4" s="203">
        <v>26896</v>
      </c>
      <c r="J4" s="159">
        <v>840</v>
      </c>
      <c r="K4" s="203">
        <v>420</v>
      </c>
      <c r="L4" s="203">
        <v>4060</v>
      </c>
      <c r="M4" s="171">
        <v>0.13514991272122101</v>
      </c>
      <c r="N4" s="270">
        <v>25049</v>
      </c>
      <c r="O4" s="273">
        <v>25759</v>
      </c>
      <c r="P4" s="274">
        <v>2.8344444888019502E-2</v>
      </c>
      <c r="Q4" s="273">
        <v>27557</v>
      </c>
      <c r="R4" s="278">
        <v>0.10012375743542699</v>
      </c>
      <c r="S4" s="265">
        <v>94.9</v>
      </c>
      <c r="T4" s="265">
        <v>3.3</v>
      </c>
      <c r="U4" s="265">
        <v>0.7</v>
      </c>
      <c r="V4" s="265">
        <v>98.9</v>
      </c>
      <c r="W4" s="160">
        <v>124</v>
      </c>
      <c r="X4" s="203">
        <v>0</v>
      </c>
      <c r="Y4" s="203">
        <v>0</v>
      </c>
      <c r="Z4" s="203">
        <v>0</v>
      </c>
      <c r="AA4" s="203">
        <v>0</v>
      </c>
      <c r="AB4" s="203">
        <v>2876</v>
      </c>
      <c r="AC4" s="203">
        <v>23626</v>
      </c>
      <c r="AD4" s="203">
        <v>1740</v>
      </c>
      <c r="AE4" s="203">
        <v>0</v>
      </c>
      <c r="AF4" s="161">
        <v>0</v>
      </c>
      <c r="AG4" s="203">
        <v>0</v>
      </c>
      <c r="AH4" s="203">
        <v>124</v>
      </c>
      <c r="AI4" s="203">
        <v>0</v>
      </c>
      <c r="AJ4" s="203">
        <v>0</v>
      </c>
      <c r="AK4" s="203">
        <v>0</v>
      </c>
      <c r="AL4" s="203">
        <v>0</v>
      </c>
      <c r="AM4" s="203">
        <v>2255</v>
      </c>
      <c r="AN4" s="203">
        <v>4466</v>
      </c>
      <c r="AO4" s="203">
        <v>13883</v>
      </c>
      <c r="AP4" s="203">
        <v>3168</v>
      </c>
      <c r="AQ4" s="203">
        <v>480</v>
      </c>
      <c r="AR4" s="203">
        <v>3990</v>
      </c>
      <c r="AS4" s="160">
        <v>0</v>
      </c>
      <c r="AT4" s="203">
        <v>124</v>
      </c>
      <c r="AU4" s="203">
        <v>0</v>
      </c>
      <c r="AV4" s="203">
        <v>0</v>
      </c>
      <c r="AW4" s="203">
        <v>0</v>
      </c>
      <c r="AX4" s="203">
        <v>0</v>
      </c>
      <c r="AY4" s="203">
        <v>2550</v>
      </c>
      <c r="AZ4" s="203">
        <v>10108</v>
      </c>
      <c r="BA4" s="203">
        <v>8096</v>
      </c>
      <c r="BB4" s="203">
        <v>3498</v>
      </c>
      <c r="BC4" s="203">
        <v>0</v>
      </c>
      <c r="BD4" s="203">
        <v>3990</v>
      </c>
      <c r="BE4" s="162">
        <v>27330072.264044739</v>
      </c>
      <c r="BF4" s="203">
        <v>6</v>
      </c>
      <c r="BG4" s="203">
        <v>1348</v>
      </c>
      <c r="BH4" s="217">
        <v>20274.534320507966</v>
      </c>
      <c r="BI4" s="217">
        <v>559869.07250522613</v>
      </c>
      <c r="BJ4" s="203">
        <v>2</v>
      </c>
      <c r="BK4" s="203">
        <v>60</v>
      </c>
      <c r="BL4" s="217">
        <v>9331.1512084204351</v>
      </c>
      <c r="BM4" s="217">
        <v>0</v>
      </c>
      <c r="BN4" s="203">
        <v>0</v>
      </c>
      <c r="BO4" s="158">
        <v>0</v>
      </c>
      <c r="BP4" s="307" t="s">
        <v>687</v>
      </c>
    </row>
    <row r="5" spans="1:68" x14ac:dyDescent="0.45">
      <c r="A5">
        <v>302</v>
      </c>
      <c r="B5" t="s">
        <v>4</v>
      </c>
      <c r="C5" s="238" t="s">
        <v>564</v>
      </c>
      <c r="D5" s="280">
        <v>112361168.95</v>
      </c>
      <c r="E5" s="203">
        <v>24401</v>
      </c>
      <c r="F5" s="282">
        <v>30713</v>
      </c>
      <c r="G5" s="225">
        <v>0.25867792303594117</v>
      </c>
      <c r="H5" s="160">
        <v>25503</v>
      </c>
      <c r="I5" s="159">
        <v>31738</v>
      </c>
      <c r="J5" s="159">
        <v>315</v>
      </c>
      <c r="K5" s="159">
        <v>40</v>
      </c>
      <c r="L5" s="159">
        <v>2790</v>
      </c>
      <c r="M5" s="171">
        <v>8.3438399134912494E-2</v>
      </c>
      <c r="N5" s="270">
        <v>30240</v>
      </c>
      <c r="O5" s="273">
        <v>30534</v>
      </c>
      <c r="P5" s="274">
        <v>9.7222222222222206E-3</v>
      </c>
      <c r="Q5" s="273">
        <v>31953</v>
      </c>
      <c r="R5" s="278">
        <v>5.6646825396825397E-2</v>
      </c>
      <c r="S5" s="265">
        <v>85.2</v>
      </c>
      <c r="T5" s="265">
        <v>7.8</v>
      </c>
      <c r="U5" s="265">
        <v>2.6</v>
      </c>
      <c r="V5" s="265">
        <v>95.6</v>
      </c>
      <c r="W5" s="160">
        <v>0</v>
      </c>
      <c r="X5" s="159">
        <v>0</v>
      </c>
      <c r="Y5" s="159">
        <v>0</v>
      </c>
      <c r="Z5" s="159">
        <v>0</v>
      </c>
      <c r="AA5" s="159">
        <v>0</v>
      </c>
      <c r="AB5" s="159">
        <v>10086</v>
      </c>
      <c r="AC5" s="159">
        <v>20912</v>
      </c>
      <c r="AD5" s="159">
        <v>1525</v>
      </c>
      <c r="AE5" s="159">
        <v>0</v>
      </c>
      <c r="AF5" s="161">
        <v>0</v>
      </c>
      <c r="AG5" s="203">
        <v>0</v>
      </c>
      <c r="AH5" s="203">
        <v>0</v>
      </c>
      <c r="AI5" s="203">
        <v>0</v>
      </c>
      <c r="AJ5" s="203">
        <v>0</v>
      </c>
      <c r="AK5" s="203">
        <v>0</v>
      </c>
      <c r="AL5" s="203">
        <v>0</v>
      </c>
      <c r="AM5" s="203">
        <v>8514</v>
      </c>
      <c r="AN5" s="203">
        <v>4202</v>
      </c>
      <c r="AO5" s="203">
        <v>14086</v>
      </c>
      <c r="AP5" s="203">
        <v>573</v>
      </c>
      <c r="AQ5" s="203">
        <v>0</v>
      </c>
      <c r="AR5" s="203">
        <v>5148</v>
      </c>
      <c r="AS5" s="160">
        <v>0</v>
      </c>
      <c r="AT5" s="203">
        <v>0</v>
      </c>
      <c r="AU5" s="203">
        <v>0</v>
      </c>
      <c r="AV5" s="203">
        <v>0</v>
      </c>
      <c r="AW5" s="203">
        <v>0</v>
      </c>
      <c r="AX5" s="203">
        <v>0</v>
      </c>
      <c r="AY5" s="203">
        <v>8099</v>
      </c>
      <c r="AZ5" s="203">
        <v>8281</v>
      </c>
      <c r="BA5" s="203">
        <v>9942</v>
      </c>
      <c r="BB5" s="203">
        <v>1053</v>
      </c>
      <c r="BC5" s="203">
        <v>0</v>
      </c>
      <c r="BD5" s="203">
        <v>5148</v>
      </c>
      <c r="BE5" s="162">
        <v>10730629.959710684</v>
      </c>
      <c r="BF5" s="203">
        <v>4</v>
      </c>
      <c r="BG5" s="203">
        <v>645</v>
      </c>
      <c r="BH5" s="217">
        <v>16636.635596450673</v>
      </c>
      <c r="BI5" s="217">
        <v>2011128.9349489063</v>
      </c>
      <c r="BJ5" s="203">
        <v>9</v>
      </c>
      <c r="BK5" s="203">
        <v>270</v>
      </c>
      <c r="BL5" s="217">
        <v>7448.6256849959491</v>
      </c>
      <c r="BM5" s="217">
        <v>20734065.763262957</v>
      </c>
      <c r="BN5" s="203">
        <v>2</v>
      </c>
      <c r="BO5" s="203">
        <v>840</v>
      </c>
      <c r="BP5" s="307">
        <v>24683.411622932093</v>
      </c>
    </row>
    <row r="6" spans="1:68" x14ac:dyDescent="0.45">
      <c r="A6">
        <v>370</v>
      </c>
      <c r="B6" t="s">
        <v>5</v>
      </c>
      <c r="C6" s="238" t="s">
        <v>565</v>
      </c>
      <c r="D6" s="280">
        <v>30289536.73</v>
      </c>
      <c r="E6" s="203">
        <v>16933</v>
      </c>
      <c r="F6" s="282">
        <v>20299</v>
      </c>
      <c r="G6" s="225">
        <v>0.19878344061890982</v>
      </c>
      <c r="H6" s="160">
        <v>19184</v>
      </c>
      <c r="I6" s="159">
        <v>20917</v>
      </c>
      <c r="J6" s="159">
        <v>0</v>
      </c>
      <c r="K6" s="159">
        <v>110</v>
      </c>
      <c r="L6" s="159">
        <v>1150</v>
      </c>
      <c r="M6" s="171">
        <v>5.3983841960806397E-2</v>
      </c>
      <c r="N6" s="270">
        <v>20013</v>
      </c>
      <c r="O6" s="273">
        <v>20063</v>
      </c>
      <c r="P6" s="274">
        <v>2.49837605556388E-3</v>
      </c>
      <c r="Q6" s="273">
        <v>19170</v>
      </c>
      <c r="R6" s="278">
        <v>-4.2122620296807099E-2</v>
      </c>
      <c r="S6" s="265">
        <v>90.5</v>
      </c>
      <c r="T6" s="265">
        <v>6</v>
      </c>
      <c r="U6" s="265">
        <v>0.9</v>
      </c>
      <c r="V6" s="265">
        <v>97.4</v>
      </c>
      <c r="W6" s="160">
        <v>0</v>
      </c>
      <c r="X6" s="159">
        <v>30</v>
      </c>
      <c r="Y6" s="159">
        <v>0</v>
      </c>
      <c r="Z6" s="159">
        <v>0</v>
      </c>
      <c r="AA6" s="159">
        <v>0</v>
      </c>
      <c r="AB6" s="159">
        <v>4755</v>
      </c>
      <c r="AC6" s="159">
        <v>12025</v>
      </c>
      <c r="AD6" s="159">
        <v>3841</v>
      </c>
      <c r="AE6" s="159">
        <v>0</v>
      </c>
      <c r="AF6" s="161">
        <v>0</v>
      </c>
      <c r="AG6" s="203">
        <v>0</v>
      </c>
      <c r="AH6" s="203">
        <v>0</v>
      </c>
      <c r="AI6" s="203">
        <v>30</v>
      </c>
      <c r="AJ6" s="203">
        <v>0</v>
      </c>
      <c r="AK6" s="203">
        <v>0</v>
      </c>
      <c r="AL6" s="203">
        <v>0</v>
      </c>
      <c r="AM6" s="203">
        <v>1045</v>
      </c>
      <c r="AN6" s="203">
        <v>2195</v>
      </c>
      <c r="AO6" s="203">
        <v>13855</v>
      </c>
      <c r="AP6" s="203">
        <v>1610</v>
      </c>
      <c r="AQ6" s="203">
        <v>1916</v>
      </c>
      <c r="AR6" s="203">
        <v>0</v>
      </c>
      <c r="AS6" s="160">
        <v>30</v>
      </c>
      <c r="AT6" s="203">
        <v>0</v>
      </c>
      <c r="AU6" s="203">
        <v>0</v>
      </c>
      <c r="AV6" s="203">
        <v>0</v>
      </c>
      <c r="AW6" s="203">
        <v>0</v>
      </c>
      <c r="AX6" s="203">
        <v>0</v>
      </c>
      <c r="AY6" s="203">
        <v>4045</v>
      </c>
      <c r="AZ6" s="203">
        <v>3260</v>
      </c>
      <c r="BA6" s="203">
        <v>10525</v>
      </c>
      <c r="BB6" s="203">
        <v>1226</v>
      </c>
      <c r="BC6" s="203">
        <v>1565</v>
      </c>
      <c r="BD6" s="203">
        <v>0</v>
      </c>
      <c r="BE6" s="162">
        <v>8258599.9355941005</v>
      </c>
      <c r="BF6" s="203">
        <v>10</v>
      </c>
      <c r="BG6" s="203">
        <v>625</v>
      </c>
      <c r="BH6" s="217">
        <v>13213.759896950562</v>
      </c>
      <c r="BI6" s="217">
        <v>1545563.2706603296</v>
      </c>
      <c r="BJ6" s="203">
        <v>8</v>
      </c>
      <c r="BK6" s="203">
        <v>205</v>
      </c>
      <c r="BL6" s="217">
        <v>7539.3330276113638</v>
      </c>
      <c r="BM6" s="217">
        <v>0</v>
      </c>
      <c r="BN6" s="203">
        <v>0</v>
      </c>
      <c r="BO6" s="203">
        <v>0</v>
      </c>
      <c r="BP6" s="307" t="s">
        <v>687</v>
      </c>
    </row>
    <row r="7" spans="1:68" x14ac:dyDescent="0.45">
      <c r="A7">
        <v>800</v>
      </c>
      <c r="B7" t="s">
        <v>6</v>
      </c>
      <c r="C7" s="238" t="s">
        <v>566</v>
      </c>
      <c r="D7" s="280">
        <v>41983924.130000003</v>
      </c>
      <c r="E7" s="203">
        <v>11504</v>
      </c>
      <c r="F7" s="282">
        <v>13801</v>
      </c>
      <c r="G7" s="225">
        <v>0.19966968011126565</v>
      </c>
      <c r="H7" s="160">
        <v>12808</v>
      </c>
      <c r="I7" s="159">
        <v>14996</v>
      </c>
      <c r="J7" s="159">
        <v>577</v>
      </c>
      <c r="K7" s="159">
        <v>80</v>
      </c>
      <c r="L7" s="159">
        <v>1860</v>
      </c>
      <c r="M7" s="171">
        <v>0.119181614797662</v>
      </c>
      <c r="N7" s="270">
        <v>12931</v>
      </c>
      <c r="O7" s="273">
        <v>13241</v>
      </c>
      <c r="P7" s="274">
        <v>2.3973397262392698E-2</v>
      </c>
      <c r="Q7" s="273">
        <v>13775</v>
      </c>
      <c r="R7" s="278">
        <v>6.5269507385353004E-2</v>
      </c>
      <c r="S7" s="265">
        <v>93.6</v>
      </c>
      <c r="T7" s="265">
        <v>3.9</v>
      </c>
      <c r="U7" s="265">
        <v>1.3</v>
      </c>
      <c r="V7" s="265">
        <v>98.8</v>
      </c>
      <c r="W7" s="160">
        <v>25</v>
      </c>
      <c r="X7" s="159">
        <v>0</v>
      </c>
      <c r="Y7" s="159">
        <v>60</v>
      </c>
      <c r="Z7" s="159">
        <v>0</v>
      </c>
      <c r="AA7" s="159">
        <v>210</v>
      </c>
      <c r="AB7" s="159">
        <v>2984</v>
      </c>
      <c r="AC7" s="159">
        <v>8838</v>
      </c>
      <c r="AD7" s="159">
        <v>1274</v>
      </c>
      <c r="AE7" s="159">
        <v>525</v>
      </c>
      <c r="AF7" s="161">
        <v>420</v>
      </c>
      <c r="AG7" s="203">
        <v>0</v>
      </c>
      <c r="AH7" s="203">
        <v>0</v>
      </c>
      <c r="AI7" s="203">
        <v>25</v>
      </c>
      <c r="AJ7" s="203">
        <v>60</v>
      </c>
      <c r="AK7" s="203">
        <v>0</v>
      </c>
      <c r="AL7" s="203">
        <v>210</v>
      </c>
      <c r="AM7" s="203">
        <v>1153</v>
      </c>
      <c r="AN7" s="203">
        <v>1616</v>
      </c>
      <c r="AO7" s="203">
        <v>6760</v>
      </c>
      <c r="AP7" s="203">
        <v>839</v>
      </c>
      <c r="AQ7" s="203">
        <v>240</v>
      </c>
      <c r="AR7" s="203">
        <v>3433</v>
      </c>
      <c r="AS7" s="160">
        <v>0</v>
      </c>
      <c r="AT7" s="203">
        <v>0</v>
      </c>
      <c r="AU7" s="203">
        <v>25</v>
      </c>
      <c r="AV7" s="203">
        <v>60</v>
      </c>
      <c r="AW7" s="203">
        <v>0</v>
      </c>
      <c r="AX7" s="203">
        <v>210</v>
      </c>
      <c r="AY7" s="203">
        <v>630</v>
      </c>
      <c r="AZ7" s="203">
        <v>1050</v>
      </c>
      <c r="BA7" s="203">
        <v>6137</v>
      </c>
      <c r="BB7" s="203">
        <v>1020</v>
      </c>
      <c r="BC7" s="203">
        <v>1596</v>
      </c>
      <c r="BD7" s="203">
        <v>3608</v>
      </c>
      <c r="BE7" s="162">
        <v>8762597.1741844732</v>
      </c>
      <c r="BF7" s="203">
        <v>11</v>
      </c>
      <c r="BG7" s="203">
        <v>594</v>
      </c>
      <c r="BH7" s="217">
        <v>14751.847094586656</v>
      </c>
      <c r="BI7" s="217">
        <v>511731.81985678093</v>
      </c>
      <c r="BJ7" s="203">
        <v>3</v>
      </c>
      <c r="BK7" s="203">
        <v>75</v>
      </c>
      <c r="BL7" s="217">
        <v>6823.090931423746</v>
      </c>
      <c r="BM7" s="217">
        <v>0</v>
      </c>
      <c r="BN7" s="203">
        <v>0</v>
      </c>
      <c r="BO7" s="203">
        <v>0</v>
      </c>
      <c r="BP7" s="307" t="s">
        <v>687</v>
      </c>
    </row>
    <row r="8" spans="1:68" x14ac:dyDescent="0.45">
      <c r="A8">
        <v>822</v>
      </c>
      <c r="B8" t="s">
        <v>7</v>
      </c>
      <c r="C8" s="238" t="s">
        <v>567</v>
      </c>
      <c r="D8" s="280">
        <v>53898320.190000005</v>
      </c>
      <c r="E8" s="203">
        <v>12403</v>
      </c>
      <c r="F8" s="282">
        <v>16871</v>
      </c>
      <c r="G8" s="225">
        <v>0.36023542691284366</v>
      </c>
      <c r="H8" s="160">
        <v>9558</v>
      </c>
      <c r="I8" s="159">
        <v>17911</v>
      </c>
      <c r="J8" s="159">
        <v>1140</v>
      </c>
      <c r="K8" s="159">
        <v>160</v>
      </c>
      <c r="L8" s="159">
        <v>2530</v>
      </c>
      <c r="M8" s="171">
        <v>0.13165338797505499</v>
      </c>
      <c r="N8" s="270">
        <v>15714</v>
      </c>
      <c r="O8" s="273">
        <v>16101</v>
      </c>
      <c r="P8" s="274">
        <v>2.4627720504009201E-2</v>
      </c>
      <c r="Q8" s="273">
        <v>15932</v>
      </c>
      <c r="R8" s="278">
        <v>1.3872979508718301E-2</v>
      </c>
      <c r="S8" s="265">
        <v>94.4</v>
      </c>
      <c r="T8" s="265">
        <v>4.3</v>
      </c>
      <c r="U8" s="265">
        <v>0.7</v>
      </c>
      <c r="V8" s="265">
        <v>99.4</v>
      </c>
      <c r="W8" s="160">
        <v>0</v>
      </c>
      <c r="X8" s="159">
        <v>328</v>
      </c>
      <c r="Y8" s="159">
        <v>150</v>
      </c>
      <c r="Z8" s="159">
        <v>0</v>
      </c>
      <c r="AA8" s="159">
        <v>0</v>
      </c>
      <c r="AB8" s="159">
        <v>2607</v>
      </c>
      <c r="AC8" s="159">
        <v>10641</v>
      </c>
      <c r="AD8" s="159">
        <v>3430</v>
      </c>
      <c r="AE8" s="159">
        <v>0</v>
      </c>
      <c r="AF8" s="161">
        <v>840</v>
      </c>
      <c r="AG8" s="203">
        <v>0</v>
      </c>
      <c r="AH8" s="203">
        <v>0</v>
      </c>
      <c r="AI8" s="203">
        <v>238</v>
      </c>
      <c r="AJ8" s="203">
        <v>0</v>
      </c>
      <c r="AK8" s="203">
        <v>150</v>
      </c>
      <c r="AL8" s="203">
        <v>90</v>
      </c>
      <c r="AM8" s="203">
        <v>0</v>
      </c>
      <c r="AN8" s="203">
        <v>0</v>
      </c>
      <c r="AO8" s="203">
        <v>9088</v>
      </c>
      <c r="AP8" s="203">
        <v>3180</v>
      </c>
      <c r="AQ8" s="203">
        <v>3515</v>
      </c>
      <c r="AR8" s="203">
        <v>1735</v>
      </c>
      <c r="AS8" s="160">
        <v>0</v>
      </c>
      <c r="AT8" s="203">
        <v>0</v>
      </c>
      <c r="AU8" s="203">
        <v>0</v>
      </c>
      <c r="AV8" s="203">
        <v>388</v>
      </c>
      <c r="AW8" s="203">
        <v>0</v>
      </c>
      <c r="AX8" s="203">
        <v>90</v>
      </c>
      <c r="AY8" s="203">
        <v>0</v>
      </c>
      <c r="AZ8" s="203">
        <v>840</v>
      </c>
      <c r="BA8" s="203">
        <v>6015</v>
      </c>
      <c r="BB8" s="203">
        <v>4060</v>
      </c>
      <c r="BC8" s="203">
        <v>4868</v>
      </c>
      <c r="BD8" s="203">
        <v>1735</v>
      </c>
      <c r="BE8" s="162">
        <v>23053302.39082678</v>
      </c>
      <c r="BF8" s="203">
        <v>23</v>
      </c>
      <c r="BG8" s="203">
        <v>2044</v>
      </c>
      <c r="BH8" s="217">
        <v>11278.523674572789</v>
      </c>
      <c r="BI8" s="217">
        <v>0</v>
      </c>
      <c r="BJ8" s="203">
        <v>0</v>
      </c>
      <c r="BK8" s="203">
        <v>0</v>
      </c>
      <c r="BL8" s="217" t="s">
        <v>687</v>
      </c>
      <c r="BM8" s="217">
        <v>0</v>
      </c>
      <c r="BN8" s="203">
        <v>0</v>
      </c>
      <c r="BO8" s="203">
        <v>0</v>
      </c>
      <c r="BP8" s="307" t="s">
        <v>687</v>
      </c>
    </row>
    <row r="9" spans="1:68" x14ac:dyDescent="0.45">
      <c r="A9">
        <v>303</v>
      </c>
      <c r="B9" t="s">
        <v>8</v>
      </c>
      <c r="C9" s="238" t="s">
        <v>564</v>
      </c>
      <c r="D9" s="280">
        <v>57825284.169999994</v>
      </c>
      <c r="E9" s="203">
        <v>18657</v>
      </c>
      <c r="F9" s="282">
        <v>22857</v>
      </c>
      <c r="G9" s="225">
        <v>0.22511657822801093</v>
      </c>
      <c r="H9" s="160">
        <v>19214</v>
      </c>
      <c r="I9" s="159">
        <v>22973</v>
      </c>
      <c r="J9" s="159">
        <v>420</v>
      </c>
      <c r="K9" s="159">
        <v>0</v>
      </c>
      <c r="L9" s="159">
        <v>1800</v>
      </c>
      <c r="M9" s="171">
        <v>7.3001836823875593E-2</v>
      </c>
      <c r="N9" s="270">
        <v>22529</v>
      </c>
      <c r="O9" s="273">
        <v>23715</v>
      </c>
      <c r="P9" s="274">
        <v>5.2643259798482001E-2</v>
      </c>
      <c r="Q9" s="273">
        <v>23511</v>
      </c>
      <c r="R9" s="278">
        <v>4.3588264015269197E-2</v>
      </c>
      <c r="S9" s="265">
        <v>89.9</v>
      </c>
      <c r="T9" s="265">
        <v>6.5</v>
      </c>
      <c r="U9" s="265">
        <v>1.9</v>
      </c>
      <c r="V9" s="265">
        <v>98.3</v>
      </c>
      <c r="W9" s="160">
        <v>0</v>
      </c>
      <c r="X9" s="159">
        <v>150</v>
      </c>
      <c r="Y9" s="159">
        <v>0</v>
      </c>
      <c r="Z9" s="159">
        <v>0</v>
      </c>
      <c r="AA9" s="159">
        <v>0</v>
      </c>
      <c r="AB9" s="159">
        <v>3128</v>
      </c>
      <c r="AC9" s="159">
        <v>18225</v>
      </c>
      <c r="AD9" s="159">
        <v>1680</v>
      </c>
      <c r="AE9" s="159">
        <v>0</v>
      </c>
      <c r="AF9" s="161">
        <v>0</v>
      </c>
      <c r="AG9" s="203">
        <v>0</v>
      </c>
      <c r="AH9" s="203">
        <v>0</v>
      </c>
      <c r="AI9" s="203">
        <v>150</v>
      </c>
      <c r="AJ9" s="203">
        <v>0</v>
      </c>
      <c r="AK9" s="203">
        <v>0</v>
      </c>
      <c r="AL9" s="203">
        <v>0</v>
      </c>
      <c r="AM9" s="203">
        <v>210</v>
      </c>
      <c r="AN9" s="203">
        <v>3600</v>
      </c>
      <c r="AO9" s="203">
        <v>12053</v>
      </c>
      <c r="AP9" s="203">
        <v>1680</v>
      </c>
      <c r="AQ9" s="203">
        <v>3450</v>
      </c>
      <c r="AR9" s="203">
        <v>2040</v>
      </c>
      <c r="AS9" s="160">
        <v>0</v>
      </c>
      <c r="AT9" s="203">
        <v>0</v>
      </c>
      <c r="AU9" s="203">
        <v>150</v>
      </c>
      <c r="AV9" s="203">
        <v>0</v>
      </c>
      <c r="AW9" s="203">
        <v>0</v>
      </c>
      <c r="AX9" s="203">
        <v>0</v>
      </c>
      <c r="AY9" s="203">
        <v>210</v>
      </c>
      <c r="AZ9" s="203">
        <v>1530</v>
      </c>
      <c r="BA9" s="203">
        <v>13598</v>
      </c>
      <c r="BB9" s="203">
        <v>4605</v>
      </c>
      <c r="BC9" s="203">
        <v>1050</v>
      </c>
      <c r="BD9" s="203">
        <v>2040</v>
      </c>
      <c r="BE9" s="162">
        <v>439956.73106222192</v>
      </c>
      <c r="BF9" s="203">
        <v>1</v>
      </c>
      <c r="BG9" s="203">
        <v>30</v>
      </c>
      <c r="BH9" s="217">
        <v>14665.22436874073</v>
      </c>
      <c r="BI9" s="217">
        <v>576707.19783616439</v>
      </c>
      <c r="BJ9" s="203">
        <v>3</v>
      </c>
      <c r="BK9" s="203">
        <v>90</v>
      </c>
      <c r="BL9" s="217">
        <v>6407.8577537351603</v>
      </c>
      <c r="BM9" s="217">
        <v>0</v>
      </c>
      <c r="BN9" s="203">
        <v>0</v>
      </c>
      <c r="BO9" s="203">
        <v>0</v>
      </c>
      <c r="BP9" s="307" t="s">
        <v>687</v>
      </c>
    </row>
    <row r="10" spans="1:68" x14ac:dyDescent="0.45">
      <c r="A10">
        <v>330</v>
      </c>
      <c r="B10" t="s">
        <v>9</v>
      </c>
      <c r="C10" s="238" t="s">
        <v>568</v>
      </c>
      <c r="D10" s="280">
        <v>294689266.74000001</v>
      </c>
      <c r="E10" s="203">
        <v>93884</v>
      </c>
      <c r="F10" s="282">
        <v>113759</v>
      </c>
      <c r="G10" s="225">
        <v>0.21169741382983256</v>
      </c>
      <c r="H10" s="160">
        <v>100092</v>
      </c>
      <c r="I10" s="159">
        <v>113683</v>
      </c>
      <c r="J10" s="159">
        <v>1500</v>
      </c>
      <c r="K10" s="159">
        <v>1580</v>
      </c>
      <c r="L10" s="159">
        <v>7440</v>
      </c>
      <c r="M10" s="171">
        <v>6.22100896835978E-2</v>
      </c>
      <c r="N10" s="270">
        <v>112597</v>
      </c>
      <c r="O10" s="273">
        <v>113881</v>
      </c>
      <c r="P10" s="274">
        <v>1.1403500981376101E-2</v>
      </c>
      <c r="Q10" s="273">
        <v>117069</v>
      </c>
      <c r="R10" s="278">
        <v>3.9716866346350299E-2</v>
      </c>
      <c r="S10" s="265">
        <v>89.1</v>
      </c>
      <c r="T10" s="265">
        <v>6.6</v>
      </c>
      <c r="U10" s="265">
        <v>2.2999999999999998</v>
      </c>
      <c r="V10" s="265">
        <v>98</v>
      </c>
      <c r="W10" s="160">
        <v>150</v>
      </c>
      <c r="X10" s="159">
        <v>225</v>
      </c>
      <c r="Y10" s="159">
        <v>129</v>
      </c>
      <c r="Z10" s="159">
        <v>0</v>
      </c>
      <c r="AA10" s="159">
        <v>0</v>
      </c>
      <c r="AB10" s="159">
        <v>19434</v>
      </c>
      <c r="AC10" s="159">
        <v>74181</v>
      </c>
      <c r="AD10" s="159">
        <v>16138</v>
      </c>
      <c r="AE10" s="159">
        <v>3810</v>
      </c>
      <c r="AF10" s="161">
        <v>0</v>
      </c>
      <c r="AG10" s="203">
        <v>0</v>
      </c>
      <c r="AH10" s="203">
        <v>150</v>
      </c>
      <c r="AI10" s="203">
        <v>234</v>
      </c>
      <c r="AJ10" s="203">
        <v>0</v>
      </c>
      <c r="AK10" s="203">
        <v>0</v>
      </c>
      <c r="AL10" s="203">
        <v>120</v>
      </c>
      <c r="AM10" s="203">
        <v>8216</v>
      </c>
      <c r="AN10" s="203">
        <v>18191</v>
      </c>
      <c r="AO10" s="203">
        <v>53782</v>
      </c>
      <c r="AP10" s="203">
        <v>12600</v>
      </c>
      <c r="AQ10" s="203">
        <v>12927</v>
      </c>
      <c r="AR10" s="203">
        <v>7847</v>
      </c>
      <c r="AS10" s="160">
        <v>0</v>
      </c>
      <c r="AT10" s="203">
        <v>150</v>
      </c>
      <c r="AU10" s="203">
        <v>129</v>
      </c>
      <c r="AV10" s="203">
        <v>105</v>
      </c>
      <c r="AW10" s="203">
        <v>0</v>
      </c>
      <c r="AX10" s="203">
        <v>120</v>
      </c>
      <c r="AY10" s="203">
        <v>16464</v>
      </c>
      <c r="AZ10" s="203">
        <v>20639</v>
      </c>
      <c r="BA10" s="203">
        <v>49084</v>
      </c>
      <c r="BB10" s="203">
        <v>11344</v>
      </c>
      <c r="BC10" s="203">
        <v>8185</v>
      </c>
      <c r="BD10" s="203">
        <v>7847</v>
      </c>
      <c r="BE10" s="162">
        <v>10131610.697493456</v>
      </c>
      <c r="BF10" s="203">
        <v>9</v>
      </c>
      <c r="BG10" s="203">
        <v>924</v>
      </c>
      <c r="BH10" s="217">
        <v>10964.946642308936</v>
      </c>
      <c r="BI10" s="217">
        <v>4335683.5227815118</v>
      </c>
      <c r="BJ10" s="203">
        <v>17</v>
      </c>
      <c r="BK10" s="203">
        <v>1016</v>
      </c>
      <c r="BL10" s="217">
        <v>4267.4050421077873</v>
      </c>
      <c r="BM10" s="217">
        <v>0</v>
      </c>
      <c r="BN10" s="203">
        <v>0</v>
      </c>
      <c r="BO10" s="203">
        <v>0</v>
      </c>
      <c r="BP10" s="307" t="s">
        <v>687</v>
      </c>
    </row>
    <row r="11" spans="1:68" x14ac:dyDescent="0.45">
      <c r="A11">
        <v>889</v>
      </c>
      <c r="B11" t="s">
        <v>10</v>
      </c>
      <c r="C11" s="238" t="s">
        <v>569</v>
      </c>
      <c r="D11" s="280">
        <v>19797556.990000002</v>
      </c>
      <c r="E11" s="203">
        <v>13745</v>
      </c>
      <c r="F11" s="282">
        <v>15144</v>
      </c>
      <c r="G11" s="225">
        <v>0.10178246635140051</v>
      </c>
      <c r="H11" s="160">
        <v>14516</v>
      </c>
      <c r="I11" s="159">
        <v>16473</v>
      </c>
      <c r="J11" s="159">
        <v>0</v>
      </c>
      <c r="K11" s="159">
        <v>140</v>
      </c>
      <c r="L11" s="159">
        <v>1740</v>
      </c>
      <c r="M11" s="171">
        <v>0.104121577181437</v>
      </c>
      <c r="N11" s="270">
        <v>15373</v>
      </c>
      <c r="O11" s="273">
        <v>15229</v>
      </c>
      <c r="P11" s="274">
        <v>-9.3670721394652993E-3</v>
      </c>
      <c r="Q11" s="273">
        <v>15104</v>
      </c>
      <c r="R11" s="278">
        <v>-1.7498211149417801E-2</v>
      </c>
      <c r="S11" s="265">
        <v>89.9</v>
      </c>
      <c r="T11" s="265">
        <v>6.8</v>
      </c>
      <c r="U11" s="265">
        <v>1.2</v>
      </c>
      <c r="V11" s="265">
        <v>97.9</v>
      </c>
      <c r="W11" s="160">
        <v>40</v>
      </c>
      <c r="X11" s="159">
        <v>198</v>
      </c>
      <c r="Y11" s="159">
        <v>115</v>
      </c>
      <c r="Z11" s="159">
        <v>0</v>
      </c>
      <c r="AA11" s="159">
        <v>0</v>
      </c>
      <c r="AB11" s="159">
        <v>2480</v>
      </c>
      <c r="AC11" s="159">
        <v>11190</v>
      </c>
      <c r="AD11" s="159">
        <v>2310</v>
      </c>
      <c r="AE11" s="159">
        <v>0</v>
      </c>
      <c r="AF11" s="161">
        <v>0</v>
      </c>
      <c r="AG11" s="203">
        <v>40</v>
      </c>
      <c r="AH11" s="203">
        <v>18</v>
      </c>
      <c r="AI11" s="203">
        <v>232</v>
      </c>
      <c r="AJ11" s="203">
        <v>46</v>
      </c>
      <c r="AK11" s="203">
        <v>0</v>
      </c>
      <c r="AL11" s="203">
        <v>17</v>
      </c>
      <c r="AM11" s="203">
        <v>1495</v>
      </c>
      <c r="AN11" s="203">
        <v>2782</v>
      </c>
      <c r="AO11" s="203">
        <v>8892</v>
      </c>
      <c r="AP11" s="203">
        <v>1154</v>
      </c>
      <c r="AQ11" s="203">
        <v>630</v>
      </c>
      <c r="AR11" s="203">
        <v>1027</v>
      </c>
      <c r="AS11" s="160">
        <v>58</v>
      </c>
      <c r="AT11" s="203">
        <v>63</v>
      </c>
      <c r="AU11" s="203">
        <v>169</v>
      </c>
      <c r="AV11" s="203">
        <v>0</v>
      </c>
      <c r="AW11" s="203">
        <v>46</v>
      </c>
      <c r="AX11" s="203">
        <v>17</v>
      </c>
      <c r="AY11" s="203">
        <v>2146</v>
      </c>
      <c r="AZ11" s="203">
        <v>2222</v>
      </c>
      <c r="BA11" s="203">
        <v>9641</v>
      </c>
      <c r="BB11" s="203">
        <v>420</v>
      </c>
      <c r="BC11" s="203">
        <v>524</v>
      </c>
      <c r="BD11" s="203">
        <v>1027</v>
      </c>
      <c r="BE11" s="162">
        <v>0</v>
      </c>
      <c r="BF11" s="203">
        <v>0</v>
      </c>
      <c r="BG11" s="203">
        <v>0</v>
      </c>
      <c r="BH11" s="217" t="s">
        <v>687</v>
      </c>
      <c r="BI11" s="217">
        <v>0</v>
      </c>
      <c r="BJ11" s="203">
        <v>0</v>
      </c>
      <c r="BK11" s="203">
        <v>0</v>
      </c>
      <c r="BL11" s="217" t="s">
        <v>687</v>
      </c>
      <c r="BM11" s="217">
        <v>0</v>
      </c>
      <c r="BN11" s="203">
        <v>0</v>
      </c>
      <c r="BO11" s="203">
        <v>0</v>
      </c>
      <c r="BP11" s="307" t="s">
        <v>687</v>
      </c>
    </row>
    <row r="12" spans="1:68" x14ac:dyDescent="0.45">
      <c r="A12">
        <v>890</v>
      </c>
      <c r="B12" t="s">
        <v>11</v>
      </c>
      <c r="C12" s="238" t="s">
        <v>569</v>
      </c>
      <c r="D12" s="280">
        <v>23671643.190000001</v>
      </c>
      <c r="E12" s="203">
        <v>10771</v>
      </c>
      <c r="F12" s="282">
        <v>11771</v>
      </c>
      <c r="G12" s="225">
        <v>9.2841890260885712E-2</v>
      </c>
      <c r="H12" s="160">
        <v>11208</v>
      </c>
      <c r="I12" s="159">
        <v>12251</v>
      </c>
      <c r="J12" s="159">
        <v>0</v>
      </c>
      <c r="K12" s="159">
        <v>0</v>
      </c>
      <c r="L12" s="159">
        <v>1140</v>
      </c>
      <c r="M12" s="171">
        <v>8.8296800612375007E-2</v>
      </c>
      <c r="N12" s="270">
        <v>11773</v>
      </c>
      <c r="O12" s="273">
        <v>11697</v>
      </c>
      <c r="P12" s="274">
        <v>-6.4554489085194896E-3</v>
      </c>
      <c r="Q12" s="273">
        <v>11765</v>
      </c>
      <c r="R12" s="278">
        <v>-6.7952093773889399E-4</v>
      </c>
      <c r="S12" s="265">
        <v>92.7</v>
      </c>
      <c r="T12" s="265">
        <v>4.9000000000000004</v>
      </c>
      <c r="U12" s="265">
        <v>0.8</v>
      </c>
      <c r="V12" s="265">
        <v>98.4</v>
      </c>
      <c r="W12" s="160">
        <v>0</v>
      </c>
      <c r="X12" s="159">
        <v>0</v>
      </c>
      <c r="Y12" s="159">
        <v>0</v>
      </c>
      <c r="Z12" s="159">
        <v>0</v>
      </c>
      <c r="AA12" s="159">
        <v>420</v>
      </c>
      <c r="AB12" s="159">
        <v>1050</v>
      </c>
      <c r="AC12" s="159">
        <v>10741</v>
      </c>
      <c r="AD12" s="159">
        <v>880</v>
      </c>
      <c r="AE12" s="159">
        <v>0</v>
      </c>
      <c r="AF12" s="161">
        <v>0</v>
      </c>
      <c r="AG12" s="203">
        <v>0</v>
      </c>
      <c r="AH12" s="203">
        <v>0</v>
      </c>
      <c r="AI12" s="203">
        <v>0</v>
      </c>
      <c r="AJ12" s="203">
        <v>0</v>
      </c>
      <c r="AK12" s="203">
        <v>0</v>
      </c>
      <c r="AL12" s="203">
        <v>420</v>
      </c>
      <c r="AM12" s="203">
        <v>2730</v>
      </c>
      <c r="AN12" s="203">
        <v>1290</v>
      </c>
      <c r="AO12" s="203">
        <v>5881</v>
      </c>
      <c r="AP12" s="203">
        <v>1720</v>
      </c>
      <c r="AQ12" s="203">
        <v>0</v>
      </c>
      <c r="AR12" s="203">
        <v>1050</v>
      </c>
      <c r="AS12" s="160">
        <v>0</v>
      </c>
      <c r="AT12" s="203">
        <v>0</v>
      </c>
      <c r="AU12" s="203">
        <v>0</v>
      </c>
      <c r="AV12" s="203">
        <v>0</v>
      </c>
      <c r="AW12" s="203">
        <v>0</v>
      </c>
      <c r="AX12" s="203">
        <v>420</v>
      </c>
      <c r="AY12" s="203">
        <v>3570</v>
      </c>
      <c r="AZ12" s="203">
        <v>1718</v>
      </c>
      <c r="BA12" s="203">
        <v>5297</v>
      </c>
      <c r="BB12" s="203">
        <v>892</v>
      </c>
      <c r="BC12" s="203">
        <v>144</v>
      </c>
      <c r="BD12" s="203">
        <v>1050</v>
      </c>
      <c r="BE12" s="162">
        <v>0</v>
      </c>
      <c r="BF12" s="203">
        <v>0</v>
      </c>
      <c r="BG12" s="203">
        <v>0</v>
      </c>
      <c r="BH12" s="217" t="s">
        <v>687</v>
      </c>
      <c r="BI12" s="217">
        <v>0</v>
      </c>
      <c r="BJ12" s="203">
        <v>0</v>
      </c>
      <c r="BK12" s="203">
        <v>0</v>
      </c>
      <c r="BL12" s="217" t="s">
        <v>687</v>
      </c>
      <c r="BM12" s="217">
        <v>0</v>
      </c>
      <c r="BN12" s="203">
        <v>0</v>
      </c>
      <c r="BO12" s="203">
        <v>0</v>
      </c>
      <c r="BP12" s="307" t="s">
        <v>687</v>
      </c>
    </row>
    <row r="13" spans="1:68" x14ac:dyDescent="0.45">
      <c r="A13">
        <v>350</v>
      </c>
      <c r="B13" t="s">
        <v>13</v>
      </c>
      <c r="C13" s="238" t="s">
        <v>569</v>
      </c>
      <c r="D13" s="280">
        <v>66415938.590000004</v>
      </c>
      <c r="E13" s="203">
        <v>22723</v>
      </c>
      <c r="F13" s="282">
        <v>28670</v>
      </c>
      <c r="G13" s="225">
        <v>0.2617172028341328</v>
      </c>
      <c r="H13" s="160">
        <v>23607</v>
      </c>
      <c r="I13" s="159">
        <v>28590</v>
      </c>
      <c r="J13" s="159">
        <v>295</v>
      </c>
      <c r="K13" s="159">
        <v>560</v>
      </c>
      <c r="L13" s="159">
        <v>1070</v>
      </c>
      <c r="M13" s="171">
        <v>3.6689891396388202E-2</v>
      </c>
      <c r="N13" s="270">
        <v>28173</v>
      </c>
      <c r="O13" s="273">
        <v>28328</v>
      </c>
      <c r="P13" s="274">
        <v>5.5017215064068403E-3</v>
      </c>
      <c r="Q13" s="273">
        <v>27859</v>
      </c>
      <c r="R13" s="278">
        <v>-1.11454229226564E-2</v>
      </c>
      <c r="S13" s="265">
        <v>88</v>
      </c>
      <c r="T13" s="265">
        <v>6.3</v>
      </c>
      <c r="U13" s="265">
        <v>2.2999999999999998</v>
      </c>
      <c r="V13" s="265">
        <v>96.5</v>
      </c>
      <c r="W13" s="160">
        <v>75</v>
      </c>
      <c r="X13" s="159">
        <v>0</v>
      </c>
      <c r="Y13" s="159">
        <v>0</v>
      </c>
      <c r="Z13" s="159">
        <v>0</v>
      </c>
      <c r="AA13" s="159">
        <v>0</v>
      </c>
      <c r="AB13" s="159">
        <v>8070</v>
      </c>
      <c r="AC13" s="159">
        <v>17258</v>
      </c>
      <c r="AD13" s="159">
        <v>2647</v>
      </c>
      <c r="AE13" s="159">
        <v>210</v>
      </c>
      <c r="AF13" s="161">
        <v>0</v>
      </c>
      <c r="AG13" s="203">
        <v>75</v>
      </c>
      <c r="AH13" s="203">
        <v>0</v>
      </c>
      <c r="AI13" s="203">
        <v>0</v>
      </c>
      <c r="AJ13" s="203">
        <v>0</v>
      </c>
      <c r="AK13" s="203">
        <v>0</v>
      </c>
      <c r="AL13" s="203">
        <v>0</v>
      </c>
      <c r="AM13" s="203">
        <v>1920</v>
      </c>
      <c r="AN13" s="203">
        <v>3330</v>
      </c>
      <c r="AO13" s="203">
        <v>19185</v>
      </c>
      <c r="AP13" s="203">
        <v>1470</v>
      </c>
      <c r="AQ13" s="203">
        <v>1680</v>
      </c>
      <c r="AR13" s="203">
        <v>600</v>
      </c>
      <c r="AS13" s="160">
        <v>0</v>
      </c>
      <c r="AT13" s="203">
        <v>0</v>
      </c>
      <c r="AU13" s="203">
        <v>75</v>
      </c>
      <c r="AV13" s="203">
        <v>0</v>
      </c>
      <c r="AW13" s="203">
        <v>0</v>
      </c>
      <c r="AX13" s="203">
        <v>0</v>
      </c>
      <c r="AY13" s="203">
        <v>5370</v>
      </c>
      <c r="AZ13" s="203">
        <v>4725</v>
      </c>
      <c r="BA13" s="203">
        <v>14850</v>
      </c>
      <c r="BB13" s="203">
        <v>1260</v>
      </c>
      <c r="BC13" s="203">
        <v>1380</v>
      </c>
      <c r="BD13" s="203">
        <v>600</v>
      </c>
      <c r="BE13" s="162">
        <v>1177670.9229028602</v>
      </c>
      <c r="BF13" s="203">
        <v>1</v>
      </c>
      <c r="BG13" s="203">
        <v>70</v>
      </c>
      <c r="BH13" s="217">
        <v>16823.870327183718</v>
      </c>
      <c r="BI13" s="217">
        <v>1243608.5923019312</v>
      </c>
      <c r="BJ13" s="203">
        <v>4</v>
      </c>
      <c r="BK13" s="203">
        <v>120</v>
      </c>
      <c r="BL13" s="217">
        <v>10363.404935849427</v>
      </c>
      <c r="BM13" s="217">
        <v>1595238.0952380947</v>
      </c>
      <c r="BN13" s="203">
        <v>1</v>
      </c>
      <c r="BO13" s="203">
        <v>30</v>
      </c>
      <c r="BP13" s="307">
        <v>53174.603174603159</v>
      </c>
    </row>
    <row r="14" spans="1:68" s="208" customFormat="1" x14ac:dyDescent="0.45">
      <c r="A14" s="208">
        <v>837</v>
      </c>
      <c r="B14" s="208" t="s">
        <v>743</v>
      </c>
      <c r="C14" s="316" t="s">
        <v>566</v>
      </c>
      <c r="D14" s="290" t="s">
        <v>687</v>
      </c>
      <c r="E14" s="227">
        <v>10028</v>
      </c>
      <c r="F14" s="291" t="s">
        <v>687</v>
      </c>
      <c r="G14" s="292" t="s">
        <v>687</v>
      </c>
      <c r="H14" s="293">
        <v>11084</v>
      </c>
      <c r="I14" s="294" t="s">
        <v>687</v>
      </c>
      <c r="J14" s="294" t="s">
        <v>687</v>
      </c>
      <c r="K14" s="294" t="s">
        <v>687</v>
      </c>
      <c r="L14" s="294" t="s">
        <v>687</v>
      </c>
      <c r="M14" s="295" t="s">
        <v>687</v>
      </c>
      <c r="N14" s="296" t="s">
        <v>687</v>
      </c>
      <c r="O14" s="297">
        <v>13375</v>
      </c>
      <c r="P14" s="298" t="s">
        <v>687</v>
      </c>
      <c r="Q14" s="297">
        <v>13641</v>
      </c>
      <c r="R14" s="299" t="s">
        <v>687</v>
      </c>
      <c r="S14" s="300">
        <v>87</v>
      </c>
      <c r="T14" s="300">
        <v>6.7</v>
      </c>
      <c r="U14" s="300">
        <v>2.9</v>
      </c>
      <c r="V14" s="300">
        <v>96.7</v>
      </c>
      <c r="W14" s="293" t="s">
        <v>687</v>
      </c>
      <c r="X14" s="294" t="s">
        <v>687</v>
      </c>
      <c r="Y14" s="294" t="s">
        <v>687</v>
      </c>
      <c r="Z14" s="294" t="s">
        <v>687</v>
      </c>
      <c r="AA14" s="294" t="s">
        <v>687</v>
      </c>
      <c r="AB14" s="294" t="s">
        <v>687</v>
      </c>
      <c r="AC14" s="294" t="s">
        <v>687</v>
      </c>
      <c r="AD14" s="294" t="s">
        <v>687</v>
      </c>
      <c r="AE14" s="294" t="s">
        <v>687</v>
      </c>
      <c r="AF14" s="301" t="s">
        <v>687</v>
      </c>
      <c r="AG14" s="227" t="s">
        <v>687</v>
      </c>
      <c r="AH14" s="227" t="s">
        <v>687</v>
      </c>
      <c r="AI14" s="227" t="s">
        <v>687</v>
      </c>
      <c r="AJ14" s="227" t="s">
        <v>687</v>
      </c>
      <c r="AK14" s="227" t="s">
        <v>687</v>
      </c>
      <c r="AL14" s="227" t="s">
        <v>687</v>
      </c>
      <c r="AM14" s="227" t="s">
        <v>687</v>
      </c>
      <c r="AN14" s="227" t="s">
        <v>687</v>
      </c>
      <c r="AO14" s="227" t="s">
        <v>687</v>
      </c>
      <c r="AP14" s="227" t="s">
        <v>687</v>
      </c>
      <c r="AQ14" s="227" t="s">
        <v>687</v>
      </c>
      <c r="AR14" s="227" t="s">
        <v>687</v>
      </c>
      <c r="AS14" s="293" t="s">
        <v>687</v>
      </c>
      <c r="AT14" s="227" t="s">
        <v>687</v>
      </c>
      <c r="AU14" s="227" t="s">
        <v>687</v>
      </c>
      <c r="AV14" s="227" t="s">
        <v>687</v>
      </c>
      <c r="AW14" s="227" t="s">
        <v>687</v>
      </c>
      <c r="AX14" s="227" t="s">
        <v>687</v>
      </c>
      <c r="AY14" s="227" t="s">
        <v>687</v>
      </c>
      <c r="AZ14" s="227" t="s">
        <v>687</v>
      </c>
      <c r="BA14" s="227" t="s">
        <v>687</v>
      </c>
      <c r="BB14" s="227" t="s">
        <v>687</v>
      </c>
      <c r="BC14" s="227" t="s">
        <v>687</v>
      </c>
      <c r="BD14" s="227" t="s">
        <v>687</v>
      </c>
      <c r="BE14" s="249">
        <v>0</v>
      </c>
      <c r="BF14" s="227">
        <v>0</v>
      </c>
      <c r="BG14" s="227">
        <v>0</v>
      </c>
      <c r="BH14" s="305" t="s">
        <v>687</v>
      </c>
      <c r="BI14" s="305">
        <v>463723.8809655165</v>
      </c>
      <c r="BJ14" s="227">
        <v>3</v>
      </c>
      <c r="BK14" s="227">
        <v>90</v>
      </c>
      <c r="BL14" s="305">
        <v>5152.4875662835166</v>
      </c>
      <c r="BM14" s="305">
        <v>0</v>
      </c>
      <c r="BN14" s="227">
        <v>0</v>
      </c>
      <c r="BO14" s="227">
        <v>0</v>
      </c>
      <c r="BP14" s="308" t="s">
        <v>687</v>
      </c>
    </row>
    <row r="15" spans="1:68" s="208" customFormat="1" x14ac:dyDescent="0.45">
      <c r="A15" s="208">
        <v>839</v>
      </c>
      <c r="B15" s="208" t="s">
        <v>744</v>
      </c>
      <c r="C15" s="316" t="s">
        <v>566</v>
      </c>
      <c r="D15" s="302">
        <v>45177107.129999995</v>
      </c>
      <c r="E15" s="227" t="s">
        <v>687</v>
      </c>
      <c r="F15" s="303">
        <v>27220</v>
      </c>
      <c r="G15" s="292" t="s">
        <v>687</v>
      </c>
      <c r="H15" s="293" t="s">
        <v>687</v>
      </c>
      <c r="I15" s="294">
        <v>29192</v>
      </c>
      <c r="J15" s="294">
        <v>0</v>
      </c>
      <c r="K15" s="294">
        <v>160</v>
      </c>
      <c r="L15" s="294">
        <v>3690</v>
      </c>
      <c r="M15" s="295">
        <v>0.119873327032084</v>
      </c>
      <c r="N15" s="296">
        <v>27754</v>
      </c>
      <c r="O15" s="297" t="s">
        <v>687</v>
      </c>
      <c r="P15" s="298" t="s">
        <v>687</v>
      </c>
      <c r="Q15" s="297" t="s">
        <v>687</v>
      </c>
      <c r="R15" s="299" t="s">
        <v>687</v>
      </c>
      <c r="S15" s="300" t="s">
        <v>687</v>
      </c>
      <c r="T15" s="300" t="s">
        <v>687</v>
      </c>
      <c r="U15" s="300" t="s">
        <v>687</v>
      </c>
      <c r="V15" s="300" t="s">
        <v>687</v>
      </c>
      <c r="W15" s="293">
        <v>0</v>
      </c>
      <c r="X15" s="294">
        <v>210</v>
      </c>
      <c r="Y15" s="294">
        <v>0</v>
      </c>
      <c r="Z15" s="294">
        <v>0</v>
      </c>
      <c r="AA15" s="294">
        <v>0</v>
      </c>
      <c r="AB15" s="294">
        <v>5308</v>
      </c>
      <c r="AC15" s="294">
        <v>21148</v>
      </c>
      <c r="AD15" s="294">
        <v>2584</v>
      </c>
      <c r="AE15" s="294">
        <v>480</v>
      </c>
      <c r="AF15" s="301">
        <v>0</v>
      </c>
      <c r="AG15" s="227">
        <v>0</v>
      </c>
      <c r="AH15" s="227">
        <v>0</v>
      </c>
      <c r="AI15" s="227">
        <v>0</v>
      </c>
      <c r="AJ15" s="227">
        <v>0</v>
      </c>
      <c r="AK15" s="227">
        <v>0</v>
      </c>
      <c r="AL15" s="227">
        <v>210</v>
      </c>
      <c r="AM15" s="227">
        <v>209</v>
      </c>
      <c r="AN15" s="227">
        <v>3192</v>
      </c>
      <c r="AO15" s="227">
        <v>14035</v>
      </c>
      <c r="AP15" s="227">
        <v>4640</v>
      </c>
      <c r="AQ15" s="227">
        <v>849</v>
      </c>
      <c r="AR15" s="227">
        <v>6595</v>
      </c>
      <c r="AS15" s="293">
        <v>0</v>
      </c>
      <c r="AT15" s="227">
        <v>0</v>
      </c>
      <c r="AU15" s="227">
        <v>0</v>
      </c>
      <c r="AV15" s="227">
        <v>0</v>
      </c>
      <c r="AW15" s="227">
        <v>0</v>
      </c>
      <c r="AX15" s="227">
        <v>210</v>
      </c>
      <c r="AY15" s="227">
        <v>1287</v>
      </c>
      <c r="AZ15" s="227">
        <v>4380</v>
      </c>
      <c r="BA15" s="227">
        <v>12515</v>
      </c>
      <c r="BB15" s="227">
        <v>4743</v>
      </c>
      <c r="BC15" s="227">
        <v>0</v>
      </c>
      <c r="BD15" s="227">
        <v>6595</v>
      </c>
      <c r="BE15" s="249" t="s">
        <v>687</v>
      </c>
      <c r="BF15" s="227" t="s">
        <v>687</v>
      </c>
      <c r="BG15" s="227" t="s">
        <v>687</v>
      </c>
      <c r="BH15" s="305" t="s">
        <v>687</v>
      </c>
      <c r="BI15" s="305" t="s">
        <v>687</v>
      </c>
      <c r="BJ15" s="227" t="s">
        <v>687</v>
      </c>
      <c r="BK15" s="227" t="s">
        <v>687</v>
      </c>
      <c r="BL15" s="305" t="s">
        <v>687</v>
      </c>
      <c r="BM15" s="305" t="s">
        <v>687</v>
      </c>
      <c r="BN15" s="227" t="s">
        <v>687</v>
      </c>
      <c r="BO15" s="227" t="s">
        <v>687</v>
      </c>
      <c r="BP15" s="308" t="s">
        <v>687</v>
      </c>
    </row>
    <row r="16" spans="1:68" x14ac:dyDescent="0.45">
      <c r="A16">
        <v>867</v>
      </c>
      <c r="B16" t="s">
        <v>14</v>
      </c>
      <c r="C16" s="238" t="s">
        <v>570</v>
      </c>
      <c r="D16" s="280">
        <v>51466907.520000003</v>
      </c>
      <c r="E16" s="203">
        <v>8306</v>
      </c>
      <c r="F16" s="282">
        <v>9737</v>
      </c>
      <c r="G16" s="286">
        <v>0.17228509511196724</v>
      </c>
      <c r="H16" s="160">
        <v>9360</v>
      </c>
      <c r="I16" s="159">
        <v>11041</v>
      </c>
      <c r="J16" s="159">
        <v>0</v>
      </c>
      <c r="K16" s="159">
        <v>0</v>
      </c>
      <c r="L16" s="159">
        <v>1300</v>
      </c>
      <c r="M16" s="171">
        <v>0.11810524321158899</v>
      </c>
      <c r="N16" s="270">
        <v>9919</v>
      </c>
      <c r="O16" s="273">
        <v>10119</v>
      </c>
      <c r="P16" s="274">
        <v>2.01633229156165E-2</v>
      </c>
      <c r="Q16" s="273">
        <v>11186</v>
      </c>
      <c r="R16" s="278">
        <v>0.12773465067042999</v>
      </c>
      <c r="S16" s="265">
        <v>92.5</v>
      </c>
      <c r="T16" s="265">
        <v>5.2</v>
      </c>
      <c r="U16" s="265">
        <v>1.1000000000000001</v>
      </c>
      <c r="V16" s="265">
        <v>98.9</v>
      </c>
      <c r="W16" s="160">
        <v>0</v>
      </c>
      <c r="X16" s="159">
        <v>0</v>
      </c>
      <c r="Y16" s="159">
        <v>61</v>
      </c>
      <c r="Z16" s="159">
        <v>0</v>
      </c>
      <c r="AA16" s="159">
        <v>0</v>
      </c>
      <c r="AB16" s="159">
        <v>1049</v>
      </c>
      <c r="AC16" s="159">
        <v>5732</v>
      </c>
      <c r="AD16" s="159">
        <v>3359</v>
      </c>
      <c r="AE16" s="159">
        <v>0</v>
      </c>
      <c r="AF16" s="161">
        <v>0</v>
      </c>
      <c r="AG16" s="203">
        <v>0</v>
      </c>
      <c r="AH16" s="203">
        <v>0</v>
      </c>
      <c r="AI16" s="203">
        <v>61</v>
      </c>
      <c r="AJ16" s="203">
        <v>0</v>
      </c>
      <c r="AK16" s="203">
        <v>0</v>
      </c>
      <c r="AL16" s="203">
        <v>0</v>
      </c>
      <c r="AM16" s="203">
        <v>629</v>
      </c>
      <c r="AN16" s="203">
        <v>240</v>
      </c>
      <c r="AO16" s="203">
        <v>8161</v>
      </c>
      <c r="AP16" s="203">
        <v>630</v>
      </c>
      <c r="AQ16" s="203">
        <v>0</v>
      </c>
      <c r="AR16" s="203">
        <v>480</v>
      </c>
      <c r="AS16" s="160">
        <v>0</v>
      </c>
      <c r="AT16" s="203">
        <v>0</v>
      </c>
      <c r="AU16" s="203">
        <v>61</v>
      </c>
      <c r="AV16" s="203">
        <v>0</v>
      </c>
      <c r="AW16" s="203">
        <v>0</v>
      </c>
      <c r="AX16" s="203">
        <v>0</v>
      </c>
      <c r="AY16" s="203">
        <v>209</v>
      </c>
      <c r="AZ16" s="203">
        <v>870</v>
      </c>
      <c r="BA16" s="203">
        <v>6661</v>
      </c>
      <c r="BB16" s="203">
        <v>1710</v>
      </c>
      <c r="BC16" s="203">
        <v>210</v>
      </c>
      <c r="BD16" s="203">
        <v>480</v>
      </c>
      <c r="BE16" s="162">
        <v>16278088.725177314</v>
      </c>
      <c r="BF16" s="203">
        <v>5</v>
      </c>
      <c r="BG16" s="203">
        <v>708</v>
      </c>
      <c r="BH16" s="217">
        <v>22991.650741775866</v>
      </c>
      <c r="BI16" s="217">
        <v>1125314.292185778</v>
      </c>
      <c r="BJ16" s="203">
        <v>2</v>
      </c>
      <c r="BK16" s="203">
        <v>40</v>
      </c>
      <c r="BL16" s="217">
        <v>28132.857304644451</v>
      </c>
      <c r="BM16" s="217">
        <v>0</v>
      </c>
      <c r="BN16" s="203">
        <v>0</v>
      </c>
      <c r="BO16" s="203">
        <v>0</v>
      </c>
      <c r="BP16" s="307" t="s">
        <v>687</v>
      </c>
    </row>
    <row r="17" spans="1:68" x14ac:dyDescent="0.45">
      <c r="A17">
        <v>380</v>
      </c>
      <c r="B17" t="s">
        <v>15</v>
      </c>
      <c r="C17" s="238" t="s">
        <v>565</v>
      </c>
      <c r="D17" s="280">
        <v>116676746.45999999</v>
      </c>
      <c r="E17" s="203">
        <v>47444</v>
      </c>
      <c r="F17" s="282">
        <v>53864</v>
      </c>
      <c r="G17" s="286">
        <v>0.13531742686114157</v>
      </c>
      <c r="H17" s="160">
        <v>49294</v>
      </c>
      <c r="I17" s="159">
        <v>57023</v>
      </c>
      <c r="J17" s="159">
        <v>420</v>
      </c>
      <c r="K17" s="159">
        <v>30</v>
      </c>
      <c r="L17" s="159">
        <v>5240</v>
      </c>
      <c r="M17" s="171">
        <v>8.8651063187229498E-2</v>
      </c>
      <c r="N17" s="270">
        <v>55042</v>
      </c>
      <c r="O17" s="273">
        <v>55219</v>
      </c>
      <c r="P17" s="274">
        <v>3.2157261727408198E-3</v>
      </c>
      <c r="Q17" s="273">
        <v>56649</v>
      </c>
      <c r="R17" s="278">
        <v>2.9195886777369999E-2</v>
      </c>
      <c r="S17" s="265">
        <v>88.5</v>
      </c>
      <c r="T17" s="265">
        <v>6.2</v>
      </c>
      <c r="U17" s="265">
        <v>2</v>
      </c>
      <c r="V17" s="265">
        <v>96.7</v>
      </c>
      <c r="W17" s="160">
        <v>15</v>
      </c>
      <c r="X17" s="159">
        <v>126</v>
      </c>
      <c r="Y17" s="159">
        <v>0</v>
      </c>
      <c r="Z17" s="159">
        <v>0</v>
      </c>
      <c r="AA17" s="159">
        <v>0</v>
      </c>
      <c r="AB17" s="159">
        <v>7768</v>
      </c>
      <c r="AC17" s="159">
        <v>36198</v>
      </c>
      <c r="AD17" s="159">
        <v>9293</v>
      </c>
      <c r="AE17" s="159">
        <v>417</v>
      </c>
      <c r="AF17" s="161">
        <v>0</v>
      </c>
      <c r="AG17" s="203">
        <v>18</v>
      </c>
      <c r="AH17" s="203">
        <v>0</v>
      </c>
      <c r="AI17" s="203">
        <v>123</v>
      </c>
      <c r="AJ17" s="203">
        <v>0</v>
      </c>
      <c r="AK17" s="203">
        <v>0</v>
      </c>
      <c r="AL17" s="203">
        <v>0</v>
      </c>
      <c r="AM17" s="203">
        <v>7219</v>
      </c>
      <c r="AN17" s="203">
        <v>5885</v>
      </c>
      <c r="AO17" s="203">
        <v>30861</v>
      </c>
      <c r="AP17" s="203">
        <v>5082</v>
      </c>
      <c r="AQ17" s="203">
        <v>2942</v>
      </c>
      <c r="AR17" s="203">
        <v>1687</v>
      </c>
      <c r="AS17" s="160">
        <v>18</v>
      </c>
      <c r="AT17" s="203">
        <v>60</v>
      </c>
      <c r="AU17" s="203">
        <v>63</v>
      </c>
      <c r="AV17" s="203">
        <v>0</v>
      </c>
      <c r="AW17" s="203">
        <v>0</v>
      </c>
      <c r="AX17" s="203">
        <v>0</v>
      </c>
      <c r="AY17" s="203">
        <v>9645</v>
      </c>
      <c r="AZ17" s="203">
        <v>11384</v>
      </c>
      <c r="BA17" s="203">
        <v>23909</v>
      </c>
      <c r="BB17" s="203">
        <v>6211</v>
      </c>
      <c r="BC17" s="203">
        <v>840</v>
      </c>
      <c r="BD17" s="203">
        <v>1687</v>
      </c>
      <c r="BE17" s="162">
        <v>13447324.432994058</v>
      </c>
      <c r="BF17" s="203">
        <v>7</v>
      </c>
      <c r="BG17" s="203">
        <v>780</v>
      </c>
      <c r="BH17" s="217">
        <v>17240.159529479562</v>
      </c>
      <c r="BI17" s="217">
        <v>186382.99935358783</v>
      </c>
      <c r="BJ17" s="203">
        <v>1</v>
      </c>
      <c r="BK17" s="203">
        <v>15</v>
      </c>
      <c r="BL17" s="217">
        <v>12425.533290239189</v>
      </c>
      <c r="BM17" s="217">
        <v>0</v>
      </c>
      <c r="BN17" s="203">
        <v>0</v>
      </c>
      <c r="BO17" s="203">
        <v>0</v>
      </c>
      <c r="BP17" s="307" t="s">
        <v>687</v>
      </c>
    </row>
    <row r="18" spans="1:68" x14ac:dyDescent="0.45">
      <c r="A18">
        <v>304</v>
      </c>
      <c r="B18" t="s">
        <v>16</v>
      </c>
      <c r="C18" s="238" t="s">
        <v>564</v>
      </c>
      <c r="D18" s="280">
        <v>173322185.12</v>
      </c>
      <c r="E18" s="203">
        <v>21954</v>
      </c>
      <c r="F18" s="282">
        <v>26702</v>
      </c>
      <c r="G18" s="286">
        <v>0.21627038352919742</v>
      </c>
      <c r="H18" s="160">
        <v>22062</v>
      </c>
      <c r="I18" s="159">
        <v>29409</v>
      </c>
      <c r="J18" s="159">
        <v>0</v>
      </c>
      <c r="K18" s="159">
        <v>100</v>
      </c>
      <c r="L18" s="159">
        <v>3640</v>
      </c>
      <c r="M18" s="171">
        <v>0.12044672376899999</v>
      </c>
      <c r="N18" s="270">
        <v>26360</v>
      </c>
      <c r="O18" s="273">
        <v>26216</v>
      </c>
      <c r="P18" s="274">
        <v>-5.4628224582701102E-3</v>
      </c>
      <c r="Q18" s="273">
        <v>28619</v>
      </c>
      <c r="R18" s="278">
        <v>8.5698027314112302E-2</v>
      </c>
      <c r="S18" s="265">
        <v>87.6</v>
      </c>
      <c r="T18" s="265">
        <v>7.1</v>
      </c>
      <c r="U18" s="265">
        <v>2.1</v>
      </c>
      <c r="V18" s="265">
        <v>96.8</v>
      </c>
      <c r="W18" s="160">
        <v>240</v>
      </c>
      <c r="X18" s="159">
        <v>309</v>
      </c>
      <c r="Y18" s="159">
        <v>0</v>
      </c>
      <c r="Z18" s="159">
        <v>0</v>
      </c>
      <c r="AA18" s="159">
        <v>0</v>
      </c>
      <c r="AB18" s="159">
        <v>5581</v>
      </c>
      <c r="AC18" s="159">
        <v>21183</v>
      </c>
      <c r="AD18" s="159">
        <v>1466</v>
      </c>
      <c r="AE18" s="159">
        <v>0</v>
      </c>
      <c r="AF18" s="161">
        <v>840</v>
      </c>
      <c r="AG18" s="203">
        <v>240</v>
      </c>
      <c r="AH18" s="203">
        <v>289</v>
      </c>
      <c r="AI18" s="203">
        <v>0</v>
      </c>
      <c r="AJ18" s="203">
        <v>0</v>
      </c>
      <c r="AK18" s="203">
        <v>20</v>
      </c>
      <c r="AL18" s="203">
        <v>0</v>
      </c>
      <c r="AM18" s="203">
        <v>2987</v>
      </c>
      <c r="AN18" s="203">
        <v>6051</v>
      </c>
      <c r="AO18" s="203">
        <v>15042</v>
      </c>
      <c r="AP18" s="203">
        <v>1256</v>
      </c>
      <c r="AQ18" s="203">
        <v>610</v>
      </c>
      <c r="AR18" s="203">
        <v>3124</v>
      </c>
      <c r="AS18" s="160">
        <v>529</v>
      </c>
      <c r="AT18" s="203">
        <v>0</v>
      </c>
      <c r="AU18" s="203">
        <v>20</v>
      </c>
      <c r="AV18" s="203">
        <v>0</v>
      </c>
      <c r="AW18" s="203">
        <v>0</v>
      </c>
      <c r="AX18" s="203">
        <v>0</v>
      </c>
      <c r="AY18" s="203">
        <v>7091</v>
      </c>
      <c r="AZ18" s="203">
        <v>8558</v>
      </c>
      <c r="BA18" s="203">
        <v>9877</v>
      </c>
      <c r="BB18" s="203">
        <v>420</v>
      </c>
      <c r="BC18" s="203">
        <v>0</v>
      </c>
      <c r="BD18" s="203">
        <v>3124</v>
      </c>
      <c r="BE18" s="162">
        <v>21658375.025162458</v>
      </c>
      <c r="BF18" s="203">
        <v>9</v>
      </c>
      <c r="BG18" s="203">
        <v>900</v>
      </c>
      <c r="BH18" s="217">
        <v>24064.861139069399</v>
      </c>
      <c r="BI18" s="217">
        <v>1017611.7996782558</v>
      </c>
      <c r="BJ18" s="203">
        <v>4</v>
      </c>
      <c r="BK18" s="203">
        <v>150</v>
      </c>
      <c r="BL18" s="217">
        <v>6784.0786645217049</v>
      </c>
      <c r="BM18" s="217">
        <v>0</v>
      </c>
      <c r="BN18" s="203">
        <v>0</v>
      </c>
      <c r="BO18" s="203">
        <v>0</v>
      </c>
      <c r="BP18" s="307" t="s">
        <v>687</v>
      </c>
    </row>
    <row r="19" spans="1:68" x14ac:dyDescent="0.45">
      <c r="A19">
        <v>846</v>
      </c>
      <c r="B19" t="s">
        <v>17</v>
      </c>
      <c r="C19" s="238" t="s">
        <v>570</v>
      </c>
      <c r="D19" s="280">
        <v>62215954</v>
      </c>
      <c r="E19" s="203">
        <v>16617</v>
      </c>
      <c r="F19" s="282">
        <v>18154</v>
      </c>
      <c r="G19" s="286">
        <v>9.2495636998254804E-2</v>
      </c>
      <c r="H19" s="160">
        <v>18291</v>
      </c>
      <c r="I19" s="159">
        <v>21412</v>
      </c>
      <c r="J19" s="159">
        <v>0</v>
      </c>
      <c r="K19" s="159">
        <v>0</v>
      </c>
      <c r="L19" s="159">
        <v>3260</v>
      </c>
      <c r="M19" s="171">
        <v>0.152263065472305</v>
      </c>
      <c r="N19" s="270">
        <v>18602</v>
      </c>
      <c r="O19" s="273">
        <v>18804</v>
      </c>
      <c r="P19" s="274">
        <v>1.0859047414256501E-2</v>
      </c>
      <c r="Q19" s="273">
        <v>19303</v>
      </c>
      <c r="R19" s="278">
        <v>3.7684119987098197E-2</v>
      </c>
      <c r="S19" s="265">
        <v>84.9</v>
      </c>
      <c r="T19" s="265">
        <v>7</v>
      </c>
      <c r="U19" s="265">
        <v>1.6</v>
      </c>
      <c r="V19" s="265">
        <v>93.5</v>
      </c>
      <c r="W19" s="160">
        <v>0</v>
      </c>
      <c r="X19" s="159">
        <v>0</v>
      </c>
      <c r="Y19" s="159">
        <v>0</v>
      </c>
      <c r="Z19" s="159">
        <v>0</v>
      </c>
      <c r="AA19" s="159">
        <v>0</v>
      </c>
      <c r="AB19" s="159">
        <v>2728</v>
      </c>
      <c r="AC19" s="159">
        <v>15977</v>
      </c>
      <c r="AD19" s="159">
        <v>2100</v>
      </c>
      <c r="AE19" s="159">
        <v>607</v>
      </c>
      <c r="AF19" s="161">
        <v>0</v>
      </c>
      <c r="AG19" s="203">
        <v>0</v>
      </c>
      <c r="AH19" s="203">
        <v>0</v>
      </c>
      <c r="AI19" s="203">
        <v>0</v>
      </c>
      <c r="AJ19" s="203">
        <v>0</v>
      </c>
      <c r="AK19" s="203">
        <v>0</v>
      </c>
      <c r="AL19" s="203">
        <v>0</v>
      </c>
      <c r="AM19" s="203">
        <v>949</v>
      </c>
      <c r="AN19" s="203">
        <v>5571</v>
      </c>
      <c r="AO19" s="203">
        <v>11187</v>
      </c>
      <c r="AP19" s="203">
        <v>1709</v>
      </c>
      <c r="AQ19" s="203">
        <v>210</v>
      </c>
      <c r="AR19" s="203">
        <v>1786</v>
      </c>
      <c r="AS19" s="160">
        <v>0</v>
      </c>
      <c r="AT19" s="203">
        <v>0</v>
      </c>
      <c r="AU19" s="203">
        <v>0</v>
      </c>
      <c r="AV19" s="203">
        <v>0</v>
      </c>
      <c r="AW19" s="203">
        <v>0</v>
      </c>
      <c r="AX19" s="203">
        <v>0</v>
      </c>
      <c r="AY19" s="203">
        <v>840</v>
      </c>
      <c r="AZ19" s="203">
        <v>1260</v>
      </c>
      <c r="BA19" s="203">
        <v>13662</v>
      </c>
      <c r="BB19" s="203">
        <v>2574</v>
      </c>
      <c r="BC19" s="203">
        <v>1290</v>
      </c>
      <c r="BD19" s="203">
        <v>1786</v>
      </c>
      <c r="BE19" s="162">
        <v>5218091.6713407002</v>
      </c>
      <c r="BF19" s="203">
        <v>2</v>
      </c>
      <c r="BG19" s="203">
        <v>330</v>
      </c>
      <c r="BH19" s="217">
        <v>15812.399004062729</v>
      </c>
      <c r="BI19" s="217">
        <v>635839.21665606485</v>
      </c>
      <c r="BJ19" s="203">
        <v>5</v>
      </c>
      <c r="BK19" s="203">
        <v>150</v>
      </c>
      <c r="BL19" s="217">
        <v>4238.9281110404327</v>
      </c>
      <c r="BM19" s="217">
        <v>0</v>
      </c>
      <c r="BN19" s="203">
        <v>0</v>
      </c>
      <c r="BO19" s="203">
        <v>0</v>
      </c>
      <c r="BP19" s="307" t="s">
        <v>687</v>
      </c>
    </row>
    <row r="20" spans="1:68" x14ac:dyDescent="0.45">
      <c r="A20">
        <v>801</v>
      </c>
      <c r="B20" t="s">
        <v>2</v>
      </c>
      <c r="C20" s="238" t="s">
        <v>566</v>
      </c>
      <c r="D20" s="280">
        <v>168545416.07999998</v>
      </c>
      <c r="E20" s="203">
        <v>27765</v>
      </c>
      <c r="F20" s="282">
        <v>36609</v>
      </c>
      <c r="G20" s="286">
        <v>0.31853052404105886</v>
      </c>
      <c r="H20" s="160">
        <v>30056</v>
      </c>
      <c r="I20" s="159">
        <v>40045</v>
      </c>
      <c r="J20" s="159">
        <v>0</v>
      </c>
      <c r="K20" s="159">
        <v>30</v>
      </c>
      <c r="L20" s="159">
        <v>4640</v>
      </c>
      <c r="M20" s="171">
        <v>0.112633456807022</v>
      </c>
      <c r="N20" s="270">
        <v>36083</v>
      </c>
      <c r="O20" s="273">
        <v>36562</v>
      </c>
      <c r="P20" s="274">
        <v>1.3274949422165601E-2</v>
      </c>
      <c r="Q20" s="273">
        <v>37036</v>
      </c>
      <c r="R20" s="278">
        <v>2.6411329434913901E-2</v>
      </c>
      <c r="S20" s="265">
        <v>87.6</v>
      </c>
      <c r="T20" s="265">
        <v>7.8</v>
      </c>
      <c r="U20" s="265">
        <v>2.4</v>
      </c>
      <c r="V20" s="265">
        <v>97.9</v>
      </c>
      <c r="W20" s="160">
        <v>0</v>
      </c>
      <c r="X20" s="159">
        <v>45</v>
      </c>
      <c r="Y20" s="159">
        <v>0</v>
      </c>
      <c r="Z20" s="159">
        <v>0</v>
      </c>
      <c r="AA20" s="159">
        <v>0</v>
      </c>
      <c r="AB20" s="159">
        <v>9869</v>
      </c>
      <c r="AC20" s="159">
        <v>20207</v>
      </c>
      <c r="AD20" s="159">
        <v>6044</v>
      </c>
      <c r="AE20" s="159">
        <v>3301</v>
      </c>
      <c r="AF20" s="161">
        <v>0</v>
      </c>
      <c r="AG20" s="203">
        <v>0</v>
      </c>
      <c r="AH20" s="203">
        <v>0</v>
      </c>
      <c r="AI20" s="203">
        <v>45</v>
      </c>
      <c r="AJ20" s="203">
        <v>0</v>
      </c>
      <c r="AK20" s="203">
        <v>0</v>
      </c>
      <c r="AL20" s="203">
        <v>0</v>
      </c>
      <c r="AM20" s="203">
        <v>2504</v>
      </c>
      <c r="AN20" s="203">
        <v>7215</v>
      </c>
      <c r="AO20" s="203">
        <v>17745</v>
      </c>
      <c r="AP20" s="203">
        <v>4828</v>
      </c>
      <c r="AQ20" s="203">
        <v>2775</v>
      </c>
      <c r="AR20" s="203">
        <v>4354</v>
      </c>
      <c r="AS20" s="160">
        <v>0</v>
      </c>
      <c r="AT20" s="203">
        <v>0</v>
      </c>
      <c r="AU20" s="203">
        <v>45</v>
      </c>
      <c r="AV20" s="203">
        <v>0</v>
      </c>
      <c r="AW20" s="203">
        <v>0</v>
      </c>
      <c r="AX20" s="203">
        <v>0</v>
      </c>
      <c r="AY20" s="203">
        <v>732</v>
      </c>
      <c r="AZ20" s="203">
        <v>8290</v>
      </c>
      <c r="BA20" s="203">
        <v>18962</v>
      </c>
      <c r="BB20" s="203">
        <v>5466</v>
      </c>
      <c r="BC20" s="203">
        <v>1617</v>
      </c>
      <c r="BD20" s="203">
        <v>4354</v>
      </c>
      <c r="BE20" s="162">
        <v>18224732.167936683</v>
      </c>
      <c r="BF20" s="203">
        <v>4</v>
      </c>
      <c r="BG20" s="203">
        <v>675</v>
      </c>
      <c r="BH20" s="217">
        <v>26999.603211758047</v>
      </c>
      <c r="BI20" s="217">
        <v>0</v>
      </c>
      <c r="BJ20" s="203">
        <v>0</v>
      </c>
      <c r="BK20" s="203">
        <v>0</v>
      </c>
      <c r="BL20" s="217" t="s">
        <v>687</v>
      </c>
      <c r="BM20" s="217">
        <v>8230958.2309582308</v>
      </c>
      <c r="BN20" s="203">
        <v>1</v>
      </c>
      <c r="BO20" s="203">
        <v>420</v>
      </c>
      <c r="BP20" s="307">
        <v>19597.519597519597</v>
      </c>
    </row>
    <row r="21" spans="1:68" x14ac:dyDescent="0.45">
      <c r="A21">
        <v>305</v>
      </c>
      <c r="B21" t="s">
        <v>18</v>
      </c>
      <c r="C21" s="238" t="s">
        <v>564</v>
      </c>
      <c r="D21" s="280">
        <v>80010688.320000008</v>
      </c>
      <c r="E21" s="203">
        <v>23224</v>
      </c>
      <c r="F21" s="282">
        <v>27766</v>
      </c>
      <c r="G21" s="286">
        <v>0.19557354460902515</v>
      </c>
      <c r="H21" s="160">
        <v>23926</v>
      </c>
      <c r="I21" s="159">
        <v>30070</v>
      </c>
      <c r="J21" s="159">
        <v>150</v>
      </c>
      <c r="K21" s="159">
        <v>80</v>
      </c>
      <c r="L21" s="159">
        <v>2480</v>
      </c>
      <c r="M21" s="171">
        <v>8.2101095972981902E-2</v>
      </c>
      <c r="N21" s="270">
        <v>27217</v>
      </c>
      <c r="O21" s="273">
        <v>27142</v>
      </c>
      <c r="P21" s="274">
        <v>-2.7556306720064698E-3</v>
      </c>
      <c r="Q21" s="273">
        <v>28125</v>
      </c>
      <c r="R21" s="278">
        <v>3.3361502002424999E-2</v>
      </c>
      <c r="S21" s="265">
        <v>86.6</v>
      </c>
      <c r="T21" s="265">
        <v>7.9</v>
      </c>
      <c r="U21" s="265">
        <v>2.6</v>
      </c>
      <c r="V21" s="265">
        <v>97</v>
      </c>
      <c r="W21" s="160">
        <v>0</v>
      </c>
      <c r="X21" s="159">
        <v>127</v>
      </c>
      <c r="Y21" s="159">
        <v>0</v>
      </c>
      <c r="Z21" s="159">
        <v>0</v>
      </c>
      <c r="AA21" s="159">
        <v>0</v>
      </c>
      <c r="AB21" s="159">
        <v>8199</v>
      </c>
      <c r="AC21" s="159">
        <v>21234</v>
      </c>
      <c r="AD21" s="159">
        <v>420</v>
      </c>
      <c r="AE21" s="159">
        <v>0</v>
      </c>
      <c r="AF21" s="161">
        <v>0</v>
      </c>
      <c r="AG21" s="203">
        <v>0</v>
      </c>
      <c r="AH21" s="203">
        <v>0</v>
      </c>
      <c r="AI21" s="203">
        <v>127</v>
      </c>
      <c r="AJ21" s="203">
        <v>0</v>
      </c>
      <c r="AK21" s="203">
        <v>0</v>
      </c>
      <c r="AL21" s="203">
        <v>0</v>
      </c>
      <c r="AM21" s="203">
        <v>3600</v>
      </c>
      <c r="AN21" s="203">
        <v>4487</v>
      </c>
      <c r="AO21" s="203">
        <v>15643</v>
      </c>
      <c r="AP21" s="203">
        <v>1890</v>
      </c>
      <c r="AQ21" s="203">
        <v>420</v>
      </c>
      <c r="AR21" s="203">
        <v>3813</v>
      </c>
      <c r="AS21" s="160">
        <v>0</v>
      </c>
      <c r="AT21" s="203">
        <v>0</v>
      </c>
      <c r="AU21" s="203">
        <v>37</v>
      </c>
      <c r="AV21" s="203">
        <v>90</v>
      </c>
      <c r="AW21" s="203">
        <v>0</v>
      </c>
      <c r="AX21" s="203">
        <v>0</v>
      </c>
      <c r="AY21" s="203">
        <v>3489</v>
      </c>
      <c r="AZ21" s="203">
        <v>7944</v>
      </c>
      <c r="BA21" s="203">
        <v>11902</v>
      </c>
      <c r="BB21" s="203">
        <v>1310</v>
      </c>
      <c r="BC21" s="203">
        <v>1395</v>
      </c>
      <c r="BD21" s="203">
        <v>3813</v>
      </c>
      <c r="BE21" s="162">
        <v>25631450.325077195</v>
      </c>
      <c r="BF21" s="203">
        <v>11</v>
      </c>
      <c r="BG21" s="203">
        <v>1457</v>
      </c>
      <c r="BH21" s="217">
        <v>17591.935706985034</v>
      </c>
      <c r="BI21" s="217">
        <v>2956036.9355226066</v>
      </c>
      <c r="BJ21" s="203">
        <v>17</v>
      </c>
      <c r="BK21" s="203">
        <v>494</v>
      </c>
      <c r="BL21" s="217">
        <v>5983.8804362805804</v>
      </c>
      <c r="BM21" s="217">
        <v>0</v>
      </c>
      <c r="BN21" s="203">
        <v>0</v>
      </c>
      <c r="BO21" s="203">
        <v>0</v>
      </c>
      <c r="BP21" s="307" t="s">
        <v>687</v>
      </c>
    </row>
    <row r="22" spans="1:68" x14ac:dyDescent="0.45">
      <c r="A22">
        <v>825</v>
      </c>
      <c r="B22" t="s">
        <v>19</v>
      </c>
      <c r="C22" s="238" t="s">
        <v>570</v>
      </c>
      <c r="D22" s="280">
        <v>109090131.73999999</v>
      </c>
      <c r="E22" s="203">
        <v>38323</v>
      </c>
      <c r="F22" s="282">
        <v>44232</v>
      </c>
      <c r="G22" s="286">
        <v>0.15418939018344074</v>
      </c>
      <c r="H22" s="160">
        <v>42388</v>
      </c>
      <c r="I22" s="159">
        <v>46483</v>
      </c>
      <c r="J22" s="159">
        <v>363</v>
      </c>
      <c r="K22" s="159">
        <v>240</v>
      </c>
      <c r="L22" s="159">
        <v>3720</v>
      </c>
      <c r="M22" s="171">
        <v>7.7947549171915403E-2</v>
      </c>
      <c r="N22" s="270">
        <v>44026</v>
      </c>
      <c r="O22" s="273">
        <v>43912</v>
      </c>
      <c r="P22" s="274">
        <v>-2.5893790033162199E-3</v>
      </c>
      <c r="Q22" s="273">
        <v>44419</v>
      </c>
      <c r="R22" s="278">
        <v>8.9265434061690796E-3</v>
      </c>
      <c r="S22" s="265">
        <v>90.4</v>
      </c>
      <c r="T22" s="265">
        <v>5.9</v>
      </c>
      <c r="U22" s="265">
        <v>1.4</v>
      </c>
      <c r="V22" s="265">
        <v>97.7</v>
      </c>
      <c r="W22" s="160">
        <v>0</v>
      </c>
      <c r="X22" s="159">
        <v>433</v>
      </c>
      <c r="Y22" s="159">
        <v>28</v>
      </c>
      <c r="Z22" s="159">
        <v>0</v>
      </c>
      <c r="AA22" s="159">
        <v>0</v>
      </c>
      <c r="AB22" s="159">
        <v>9251</v>
      </c>
      <c r="AC22" s="159">
        <v>33537</v>
      </c>
      <c r="AD22" s="159">
        <v>2115</v>
      </c>
      <c r="AE22" s="159">
        <v>630</v>
      </c>
      <c r="AF22" s="161">
        <v>420</v>
      </c>
      <c r="AG22" s="203">
        <v>0</v>
      </c>
      <c r="AH22" s="203">
        <v>90</v>
      </c>
      <c r="AI22" s="203">
        <v>178</v>
      </c>
      <c r="AJ22" s="203">
        <v>0</v>
      </c>
      <c r="AK22" s="203">
        <v>0</v>
      </c>
      <c r="AL22" s="203">
        <v>193</v>
      </c>
      <c r="AM22" s="203">
        <v>4886</v>
      </c>
      <c r="AN22" s="203">
        <v>4352</v>
      </c>
      <c r="AO22" s="203">
        <v>25029</v>
      </c>
      <c r="AP22" s="203">
        <v>2708</v>
      </c>
      <c r="AQ22" s="203">
        <v>2370</v>
      </c>
      <c r="AR22" s="203">
        <v>6608</v>
      </c>
      <c r="AS22" s="160">
        <v>0</v>
      </c>
      <c r="AT22" s="203">
        <v>0</v>
      </c>
      <c r="AU22" s="203">
        <v>236</v>
      </c>
      <c r="AV22" s="203">
        <v>32</v>
      </c>
      <c r="AW22" s="203">
        <v>0</v>
      </c>
      <c r="AX22" s="203">
        <v>193</v>
      </c>
      <c r="AY22" s="203">
        <v>2422</v>
      </c>
      <c r="AZ22" s="203">
        <v>3917</v>
      </c>
      <c r="BA22" s="203">
        <v>23817</v>
      </c>
      <c r="BB22" s="203">
        <v>5805</v>
      </c>
      <c r="BC22" s="203">
        <v>3384</v>
      </c>
      <c r="BD22" s="203">
        <v>6608</v>
      </c>
      <c r="BE22" s="162">
        <v>17255672.898785431</v>
      </c>
      <c r="BF22" s="203">
        <v>6</v>
      </c>
      <c r="BG22" s="203">
        <v>873</v>
      </c>
      <c r="BH22" s="217">
        <v>19765.948337669452</v>
      </c>
      <c r="BI22" s="217">
        <v>12199221.724984974</v>
      </c>
      <c r="BJ22" s="203">
        <v>15</v>
      </c>
      <c r="BK22" s="203">
        <v>495</v>
      </c>
      <c r="BL22" s="217">
        <v>24644.892373707018</v>
      </c>
      <c r="BM22" s="217">
        <v>0</v>
      </c>
      <c r="BN22" s="203">
        <v>0</v>
      </c>
      <c r="BO22" s="203">
        <v>0</v>
      </c>
      <c r="BP22" s="307" t="s">
        <v>687</v>
      </c>
    </row>
    <row r="23" spans="1:68" x14ac:dyDescent="0.45">
      <c r="A23">
        <v>351</v>
      </c>
      <c r="B23" t="s">
        <v>20</v>
      </c>
      <c r="C23" s="238" t="s">
        <v>569</v>
      </c>
      <c r="D23" s="280">
        <v>24028737.100000001</v>
      </c>
      <c r="E23" s="203">
        <v>14594</v>
      </c>
      <c r="F23" s="282">
        <v>16168</v>
      </c>
      <c r="G23" s="286">
        <v>0.10785254214060573</v>
      </c>
      <c r="H23" s="160">
        <v>15837</v>
      </c>
      <c r="I23" s="159">
        <v>17148</v>
      </c>
      <c r="J23" s="159">
        <v>175</v>
      </c>
      <c r="K23" s="159">
        <v>90</v>
      </c>
      <c r="L23" s="159">
        <v>1250</v>
      </c>
      <c r="M23" s="171">
        <v>7.2034044644036593E-2</v>
      </c>
      <c r="N23" s="270">
        <v>16743</v>
      </c>
      <c r="O23" s="273">
        <v>16630</v>
      </c>
      <c r="P23" s="274">
        <v>-6.7490891715940998E-3</v>
      </c>
      <c r="Q23" s="273">
        <v>16297</v>
      </c>
      <c r="R23" s="278">
        <v>-2.6637997969300602E-2</v>
      </c>
      <c r="S23" s="265">
        <v>88.4</v>
      </c>
      <c r="T23" s="265">
        <v>6.6</v>
      </c>
      <c r="U23" s="265">
        <v>1.4</v>
      </c>
      <c r="V23" s="265">
        <v>96.4</v>
      </c>
      <c r="W23" s="160">
        <v>0</v>
      </c>
      <c r="X23" s="159">
        <v>0</v>
      </c>
      <c r="Y23" s="159">
        <v>0</v>
      </c>
      <c r="Z23" s="159">
        <v>0</v>
      </c>
      <c r="AA23" s="159">
        <v>0</v>
      </c>
      <c r="AB23" s="159">
        <v>2544</v>
      </c>
      <c r="AC23" s="159">
        <v>11624</v>
      </c>
      <c r="AD23" s="159">
        <v>2222</v>
      </c>
      <c r="AE23" s="159">
        <v>338</v>
      </c>
      <c r="AF23" s="161">
        <v>0</v>
      </c>
      <c r="AG23" s="203">
        <v>0</v>
      </c>
      <c r="AH23" s="203">
        <v>0</v>
      </c>
      <c r="AI23" s="203">
        <v>0</v>
      </c>
      <c r="AJ23" s="203">
        <v>0</v>
      </c>
      <c r="AK23" s="203">
        <v>0</v>
      </c>
      <c r="AL23" s="203">
        <v>0</v>
      </c>
      <c r="AM23" s="203">
        <v>1273</v>
      </c>
      <c r="AN23" s="203">
        <v>2225</v>
      </c>
      <c r="AO23" s="203">
        <v>12180</v>
      </c>
      <c r="AP23" s="203">
        <v>420</v>
      </c>
      <c r="AQ23" s="203">
        <v>420</v>
      </c>
      <c r="AR23" s="203">
        <v>210</v>
      </c>
      <c r="AS23" s="160">
        <v>0</v>
      </c>
      <c r="AT23" s="203">
        <v>0</v>
      </c>
      <c r="AU23" s="203">
        <v>0</v>
      </c>
      <c r="AV23" s="203">
        <v>0</v>
      </c>
      <c r="AW23" s="203">
        <v>0</v>
      </c>
      <c r="AX23" s="203">
        <v>0</v>
      </c>
      <c r="AY23" s="203">
        <v>1040</v>
      </c>
      <c r="AZ23" s="203">
        <v>2706</v>
      </c>
      <c r="BA23" s="203">
        <v>11484</v>
      </c>
      <c r="BB23" s="203">
        <v>950</v>
      </c>
      <c r="BC23" s="203">
        <v>338</v>
      </c>
      <c r="BD23" s="203">
        <v>210</v>
      </c>
      <c r="BE23" s="162">
        <v>2427104.8505936163</v>
      </c>
      <c r="BF23" s="203">
        <v>3</v>
      </c>
      <c r="BG23" s="203">
        <v>140</v>
      </c>
      <c r="BH23" s="217">
        <v>17336.463218525831</v>
      </c>
      <c r="BI23" s="217">
        <v>36548.40795215773</v>
      </c>
      <c r="BJ23" s="203">
        <v>1</v>
      </c>
      <c r="BK23" s="203">
        <v>15</v>
      </c>
      <c r="BL23" s="217">
        <v>2436.5605301438486</v>
      </c>
      <c r="BM23" s="217">
        <v>0</v>
      </c>
      <c r="BN23" s="203">
        <v>0</v>
      </c>
      <c r="BO23" s="203">
        <v>0</v>
      </c>
      <c r="BP23" s="307" t="s">
        <v>687</v>
      </c>
    </row>
    <row r="24" spans="1:68" x14ac:dyDescent="0.45">
      <c r="A24">
        <v>381</v>
      </c>
      <c r="B24" t="s">
        <v>21</v>
      </c>
      <c r="C24" s="238" t="s">
        <v>565</v>
      </c>
      <c r="D24" s="280">
        <v>30583047.249999996</v>
      </c>
      <c r="E24" s="203">
        <v>17410</v>
      </c>
      <c r="F24" s="282">
        <v>18755</v>
      </c>
      <c r="G24" s="286">
        <v>7.725445146467548E-2</v>
      </c>
      <c r="H24" s="160">
        <v>19163</v>
      </c>
      <c r="I24" s="159">
        <v>20503</v>
      </c>
      <c r="J24" s="159">
        <v>35</v>
      </c>
      <c r="K24" s="159">
        <v>60</v>
      </c>
      <c r="L24" s="159">
        <v>2340</v>
      </c>
      <c r="M24" s="171">
        <v>0.111104270723677</v>
      </c>
      <c r="N24" s="270">
        <v>19181</v>
      </c>
      <c r="O24" s="273">
        <v>19250</v>
      </c>
      <c r="P24" s="274">
        <v>3.59730983786038E-3</v>
      </c>
      <c r="Q24" s="273">
        <v>19288</v>
      </c>
      <c r="R24" s="278">
        <v>5.5784369949429102E-3</v>
      </c>
      <c r="S24" s="265">
        <v>92.3</v>
      </c>
      <c r="T24" s="265">
        <v>4.7</v>
      </c>
      <c r="U24" s="265">
        <v>1.3</v>
      </c>
      <c r="V24" s="265">
        <v>98.3</v>
      </c>
      <c r="W24" s="160">
        <v>91</v>
      </c>
      <c r="X24" s="159">
        <v>0</v>
      </c>
      <c r="Y24" s="159">
        <v>0</v>
      </c>
      <c r="Z24" s="159">
        <v>0</v>
      </c>
      <c r="AA24" s="159">
        <v>0</v>
      </c>
      <c r="AB24" s="159">
        <v>4778</v>
      </c>
      <c r="AC24" s="159">
        <v>12996</v>
      </c>
      <c r="AD24" s="159">
        <v>2316</v>
      </c>
      <c r="AE24" s="159">
        <v>210</v>
      </c>
      <c r="AF24" s="161">
        <v>0</v>
      </c>
      <c r="AG24" s="203">
        <v>0</v>
      </c>
      <c r="AH24" s="203">
        <v>0</v>
      </c>
      <c r="AI24" s="203">
        <v>0</v>
      </c>
      <c r="AJ24" s="203">
        <v>0</v>
      </c>
      <c r="AK24" s="203">
        <v>91</v>
      </c>
      <c r="AL24" s="203">
        <v>0</v>
      </c>
      <c r="AM24" s="203">
        <v>2155</v>
      </c>
      <c r="AN24" s="203">
        <v>1389</v>
      </c>
      <c r="AO24" s="203">
        <v>12861</v>
      </c>
      <c r="AP24" s="203">
        <v>766</v>
      </c>
      <c r="AQ24" s="203">
        <v>1588</v>
      </c>
      <c r="AR24" s="203">
        <v>1541</v>
      </c>
      <c r="AS24" s="160">
        <v>0</v>
      </c>
      <c r="AT24" s="203">
        <v>0</v>
      </c>
      <c r="AU24" s="203">
        <v>0</v>
      </c>
      <c r="AV24" s="203">
        <v>91</v>
      </c>
      <c r="AW24" s="203">
        <v>0</v>
      </c>
      <c r="AX24" s="203">
        <v>0</v>
      </c>
      <c r="AY24" s="203">
        <v>1973</v>
      </c>
      <c r="AZ24" s="203">
        <v>1745</v>
      </c>
      <c r="BA24" s="203">
        <v>11297</v>
      </c>
      <c r="BB24" s="203">
        <v>2680</v>
      </c>
      <c r="BC24" s="203">
        <v>1064</v>
      </c>
      <c r="BD24" s="203">
        <v>1541</v>
      </c>
      <c r="BE24" s="162">
        <v>284128.62305479788</v>
      </c>
      <c r="BF24" s="203">
        <v>1</v>
      </c>
      <c r="BG24" s="203">
        <v>60</v>
      </c>
      <c r="BH24" s="217">
        <v>4735.4770509132977</v>
      </c>
      <c r="BI24" s="217">
        <v>0</v>
      </c>
      <c r="BJ24" s="203">
        <v>0</v>
      </c>
      <c r="BK24" s="203">
        <v>0</v>
      </c>
      <c r="BL24" s="217" t="s">
        <v>687</v>
      </c>
      <c r="BM24" s="217">
        <v>6775587.0166870244</v>
      </c>
      <c r="BN24" s="203">
        <v>1</v>
      </c>
      <c r="BO24" s="203">
        <v>420</v>
      </c>
      <c r="BP24" s="307">
        <v>16132.350039731011</v>
      </c>
    </row>
    <row r="25" spans="1:68" x14ac:dyDescent="0.45">
      <c r="A25">
        <v>873</v>
      </c>
      <c r="B25" t="s">
        <v>22</v>
      </c>
      <c r="C25" s="238" t="s">
        <v>567</v>
      </c>
      <c r="D25" s="280">
        <v>165282562.58000001</v>
      </c>
      <c r="E25" s="203">
        <v>43010</v>
      </c>
      <c r="F25" s="282">
        <v>52654</v>
      </c>
      <c r="G25" s="286">
        <v>0.2242269239711695</v>
      </c>
      <c r="H25" s="160">
        <v>48145</v>
      </c>
      <c r="I25" s="159">
        <v>61600</v>
      </c>
      <c r="J25" s="159">
        <v>2910</v>
      </c>
      <c r="K25" s="159">
        <v>170</v>
      </c>
      <c r="L25" s="159">
        <v>12020</v>
      </c>
      <c r="M25" s="171">
        <v>0.186395014937558</v>
      </c>
      <c r="N25" s="270">
        <v>50633</v>
      </c>
      <c r="O25" s="273">
        <v>51536</v>
      </c>
      <c r="P25" s="274">
        <v>1.7834218790117099E-2</v>
      </c>
      <c r="Q25" s="273">
        <v>53977</v>
      </c>
      <c r="R25" s="278">
        <v>6.6043884423202304E-2</v>
      </c>
      <c r="S25" s="265">
        <v>92.8</v>
      </c>
      <c r="T25" s="265">
        <v>4.3</v>
      </c>
      <c r="U25" s="265">
        <v>1</v>
      </c>
      <c r="V25" s="265">
        <v>98</v>
      </c>
      <c r="W25" s="160">
        <v>270</v>
      </c>
      <c r="X25" s="159">
        <v>606</v>
      </c>
      <c r="Y25" s="159">
        <v>111</v>
      </c>
      <c r="Z25" s="159">
        <v>120</v>
      </c>
      <c r="AA25" s="159">
        <v>240</v>
      </c>
      <c r="AB25" s="159">
        <v>4924</v>
      </c>
      <c r="AC25" s="159">
        <v>41897</v>
      </c>
      <c r="AD25" s="159">
        <v>7413</v>
      </c>
      <c r="AE25" s="159">
        <v>989</v>
      </c>
      <c r="AF25" s="161">
        <v>1050</v>
      </c>
      <c r="AG25" s="203">
        <v>270</v>
      </c>
      <c r="AH25" s="203">
        <v>0</v>
      </c>
      <c r="AI25" s="203">
        <v>447</v>
      </c>
      <c r="AJ25" s="203">
        <v>150</v>
      </c>
      <c r="AK25" s="203">
        <v>150</v>
      </c>
      <c r="AL25" s="203">
        <v>330</v>
      </c>
      <c r="AM25" s="203">
        <v>4897</v>
      </c>
      <c r="AN25" s="203">
        <v>4835</v>
      </c>
      <c r="AO25" s="203">
        <v>31612</v>
      </c>
      <c r="AP25" s="203">
        <v>3800</v>
      </c>
      <c r="AQ25" s="203">
        <v>3963</v>
      </c>
      <c r="AR25" s="203">
        <v>7166</v>
      </c>
      <c r="AS25" s="160">
        <v>270</v>
      </c>
      <c r="AT25" s="203">
        <v>0</v>
      </c>
      <c r="AU25" s="203">
        <v>507</v>
      </c>
      <c r="AV25" s="203">
        <v>240</v>
      </c>
      <c r="AW25" s="203">
        <v>0</v>
      </c>
      <c r="AX25" s="203">
        <v>330</v>
      </c>
      <c r="AY25" s="203">
        <v>4931</v>
      </c>
      <c r="AZ25" s="203">
        <v>4048</v>
      </c>
      <c r="BA25" s="203">
        <v>28785</v>
      </c>
      <c r="BB25" s="203">
        <v>7207</v>
      </c>
      <c r="BC25" s="203">
        <v>3776</v>
      </c>
      <c r="BD25" s="203">
        <v>7526</v>
      </c>
      <c r="BE25" s="162">
        <v>70973237.462695017</v>
      </c>
      <c r="BF25" s="203">
        <v>19</v>
      </c>
      <c r="BG25" s="203">
        <v>2964</v>
      </c>
      <c r="BH25" s="217">
        <v>23945.086863257427</v>
      </c>
      <c r="BI25" s="217">
        <v>0</v>
      </c>
      <c r="BJ25" s="203">
        <v>0</v>
      </c>
      <c r="BK25" s="203">
        <v>0</v>
      </c>
      <c r="BL25" s="217" t="s">
        <v>687</v>
      </c>
      <c r="BM25" s="217">
        <v>55017904.166285172</v>
      </c>
      <c r="BN25" s="203">
        <v>4</v>
      </c>
      <c r="BO25" s="203">
        <v>2256</v>
      </c>
      <c r="BP25" s="307">
        <v>24387.368868034209</v>
      </c>
    </row>
    <row r="26" spans="1:68" x14ac:dyDescent="0.45">
      <c r="A26">
        <v>202</v>
      </c>
      <c r="B26" t="s">
        <v>23</v>
      </c>
      <c r="C26" s="238" t="s">
        <v>571</v>
      </c>
      <c r="D26" s="280">
        <v>18217771.499999996</v>
      </c>
      <c r="E26" s="203">
        <v>10362</v>
      </c>
      <c r="F26" s="282">
        <v>10480</v>
      </c>
      <c r="G26" s="286">
        <v>1.1387762980119669E-2</v>
      </c>
      <c r="H26" s="160">
        <v>11004</v>
      </c>
      <c r="I26" s="159">
        <v>12423</v>
      </c>
      <c r="J26" s="159">
        <v>60</v>
      </c>
      <c r="K26" s="159">
        <v>0</v>
      </c>
      <c r="L26" s="159">
        <v>2000</v>
      </c>
      <c r="M26" s="171">
        <v>0.16045822150215899</v>
      </c>
      <c r="N26" s="270">
        <v>10734</v>
      </c>
      <c r="O26" s="273">
        <v>11010</v>
      </c>
      <c r="P26" s="274">
        <v>2.57126886528787E-2</v>
      </c>
      <c r="Q26" s="273">
        <v>11430</v>
      </c>
      <c r="R26" s="278">
        <v>6.48406931246506E-2</v>
      </c>
      <c r="S26" s="265">
        <v>78.3</v>
      </c>
      <c r="T26" s="265">
        <v>7.6</v>
      </c>
      <c r="U26" s="265">
        <v>4.5999999999999996</v>
      </c>
      <c r="V26" s="265">
        <v>90.5</v>
      </c>
      <c r="W26" s="160">
        <v>62</v>
      </c>
      <c r="X26" s="159">
        <v>0</v>
      </c>
      <c r="Y26" s="159">
        <v>0</v>
      </c>
      <c r="Z26" s="159">
        <v>0</v>
      </c>
      <c r="AA26" s="159">
        <v>0</v>
      </c>
      <c r="AB26" s="159">
        <v>4149</v>
      </c>
      <c r="AC26" s="159">
        <v>7784</v>
      </c>
      <c r="AD26" s="159">
        <v>428</v>
      </c>
      <c r="AE26" s="159">
        <v>0</v>
      </c>
      <c r="AF26" s="161">
        <v>0</v>
      </c>
      <c r="AG26" s="203">
        <v>0</v>
      </c>
      <c r="AH26" s="203">
        <v>62</v>
      </c>
      <c r="AI26" s="203">
        <v>0</v>
      </c>
      <c r="AJ26" s="203">
        <v>0</v>
      </c>
      <c r="AK26" s="203">
        <v>0</v>
      </c>
      <c r="AL26" s="203">
        <v>0</v>
      </c>
      <c r="AM26" s="203">
        <v>3946</v>
      </c>
      <c r="AN26" s="203">
        <v>3407</v>
      </c>
      <c r="AO26" s="203">
        <v>4168</v>
      </c>
      <c r="AP26" s="203">
        <v>0</v>
      </c>
      <c r="AQ26" s="203">
        <v>0</v>
      </c>
      <c r="AR26" s="203">
        <v>840</v>
      </c>
      <c r="AS26" s="160">
        <v>0</v>
      </c>
      <c r="AT26" s="203">
        <v>62</v>
      </c>
      <c r="AU26" s="203">
        <v>0</v>
      </c>
      <c r="AV26" s="203">
        <v>0</v>
      </c>
      <c r="AW26" s="203">
        <v>0</v>
      </c>
      <c r="AX26" s="203">
        <v>0</v>
      </c>
      <c r="AY26" s="203">
        <v>3945</v>
      </c>
      <c r="AZ26" s="203">
        <v>4027</v>
      </c>
      <c r="BA26" s="203">
        <v>3549</v>
      </c>
      <c r="BB26" s="203">
        <v>0</v>
      </c>
      <c r="BC26" s="203">
        <v>0</v>
      </c>
      <c r="BD26" s="203">
        <v>840</v>
      </c>
      <c r="BE26" s="162">
        <v>18641149.321117215</v>
      </c>
      <c r="BF26" s="203">
        <v>2</v>
      </c>
      <c r="BG26" s="203">
        <v>550</v>
      </c>
      <c r="BH26" s="217">
        <v>33892.99876566766</v>
      </c>
      <c r="BI26" s="217">
        <v>0</v>
      </c>
      <c r="BJ26" s="203">
        <v>0</v>
      </c>
      <c r="BK26" s="203">
        <v>0</v>
      </c>
      <c r="BL26" s="217" t="s">
        <v>687</v>
      </c>
      <c r="BM26" s="217">
        <v>14394110.074026387</v>
      </c>
      <c r="BN26" s="203">
        <v>1</v>
      </c>
      <c r="BO26" s="203">
        <v>490</v>
      </c>
      <c r="BP26" s="307">
        <v>29375.73484495181</v>
      </c>
    </row>
    <row r="27" spans="1:68" x14ac:dyDescent="0.45">
      <c r="A27">
        <v>823</v>
      </c>
      <c r="B27" t="s">
        <v>24</v>
      </c>
      <c r="C27" s="238" t="s">
        <v>567</v>
      </c>
      <c r="D27" s="280">
        <v>92628771.25999999</v>
      </c>
      <c r="E27" s="203">
        <v>19862</v>
      </c>
      <c r="F27" s="282">
        <v>26846</v>
      </c>
      <c r="G27" s="286">
        <v>0.35162622092437823</v>
      </c>
      <c r="H27" s="160">
        <v>17832</v>
      </c>
      <c r="I27" s="159">
        <v>23657</v>
      </c>
      <c r="J27" s="159">
        <v>720</v>
      </c>
      <c r="K27" s="159">
        <v>230</v>
      </c>
      <c r="L27" s="159">
        <v>2740</v>
      </c>
      <c r="M27" s="171">
        <v>9.3204373941347299E-2</v>
      </c>
      <c r="N27" s="270">
        <v>24785</v>
      </c>
      <c r="O27" s="273">
        <v>25288</v>
      </c>
      <c r="P27" s="274">
        <v>2.0294532983659502E-2</v>
      </c>
      <c r="Q27" s="273">
        <v>26234</v>
      </c>
      <c r="R27" s="278">
        <v>5.8462779907201903E-2</v>
      </c>
      <c r="S27" s="265">
        <v>94.9</v>
      </c>
      <c r="T27" s="265">
        <v>3.1</v>
      </c>
      <c r="U27" s="265">
        <v>0.7</v>
      </c>
      <c r="V27" s="265">
        <v>98.7</v>
      </c>
      <c r="W27" s="160">
        <v>260</v>
      </c>
      <c r="X27" s="159">
        <v>480</v>
      </c>
      <c r="Y27" s="159">
        <v>0</v>
      </c>
      <c r="Z27" s="159">
        <v>0</v>
      </c>
      <c r="AA27" s="159">
        <v>0</v>
      </c>
      <c r="AB27" s="159">
        <v>5515</v>
      </c>
      <c r="AC27" s="159">
        <v>19253</v>
      </c>
      <c r="AD27" s="159">
        <v>2370</v>
      </c>
      <c r="AE27" s="159">
        <v>300</v>
      </c>
      <c r="AF27" s="161">
        <v>0</v>
      </c>
      <c r="AG27" s="203">
        <v>0</v>
      </c>
      <c r="AH27" s="203">
        <v>0</v>
      </c>
      <c r="AI27" s="203">
        <v>160</v>
      </c>
      <c r="AJ27" s="203">
        <v>0</v>
      </c>
      <c r="AK27" s="203">
        <v>0</v>
      </c>
      <c r="AL27" s="203">
        <v>580</v>
      </c>
      <c r="AM27" s="203">
        <v>0</v>
      </c>
      <c r="AN27" s="203">
        <v>1348</v>
      </c>
      <c r="AO27" s="203">
        <v>3862</v>
      </c>
      <c r="AP27" s="203">
        <v>1311</v>
      </c>
      <c r="AQ27" s="203">
        <v>730</v>
      </c>
      <c r="AR27" s="203">
        <v>20187</v>
      </c>
      <c r="AS27" s="160">
        <v>0</v>
      </c>
      <c r="AT27" s="203">
        <v>0</v>
      </c>
      <c r="AU27" s="203">
        <v>160</v>
      </c>
      <c r="AV27" s="203">
        <v>0</v>
      </c>
      <c r="AW27" s="203">
        <v>0</v>
      </c>
      <c r="AX27" s="203">
        <v>580</v>
      </c>
      <c r="AY27" s="203">
        <v>0</v>
      </c>
      <c r="AZ27" s="203">
        <v>1018</v>
      </c>
      <c r="BA27" s="203">
        <v>3575</v>
      </c>
      <c r="BB27" s="203">
        <v>2395</v>
      </c>
      <c r="BC27" s="203">
        <v>263</v>
      </c>
      <c r="BD27" s="203">
        <v>20187</v>
      </c>
      <c r="BE27" s="162">
        <v>35696655.848500431</v>
      </c>
      <c r="BF27" s="203">
        <v>11</v>
      </c>
      <c r="BG27" s="203">
        <v>1815</v>
      </c>
      <c r="BH27" s="217">
        <v>19667.578979890044</v>
      </c>
      <c r="BI27" s="217">
        <v>3029023.472222222</v>
      </c>
      <c r="BJ27" s="203">
        <v>1</v>
      </c>
      <c r="BK27" s="203">
        <v>140</v>
      </c>
      <c r="BL27" s="217">
        <v>21635.881944444442</v>
      </c>
      <c r="BM27" s="217">
        <v>0</v>
      </c>
      <c r="BN27" s="203">
        <v>0</v>
      </c>
      <c r="BO27" s="203">
        <v>0</v>
      </c>
      <c r="BP27" s="307" t="s">
        <v>687</v>
      </c>
    </row>
    <row r="28" spans="1:68" x14ac:dyDescent="0.45">
      <c r="A28">
        <v>895</v>
      </c>
      <c r="B28" t="s">
        <v>25</v>
      </c>
      <c r="C28" s="238" t="s">
        <v>569</v>
      </c>
      <c r="D28" s="280">
        <v>52593024.719999999</v>
      </c>
      <c r="E28" s="203">
        <v>25980</v>
      </c>
      <c r="F28" s="282">
        <v>30139</v>
      </c>
      <c r="G28" s="286">
        <v>0.1600846805234796</v>
      </c>
      <c r="H28" s="160">
        <v>28999</v>
      </c>
      <c r="I28" s="159">
        <v>31986</v>
      </c>
      <c r="J28" s="159">
        <v>140</v>
      </c>
      <c r="K28" s="159">
        <v>290</v>
      </c>
      <c r="L28" s="159">
        <v>2270</v>
      </c>
      <c r="M28" s="171">
        <v>7.0808878953408594E-2</v>
      </c>
      <c r="N28" s="270">
        <v>29374</v>
      </c>
      <c r="O28" s="273">
        <v>29443</v>
      </c>
      <c r="P28" s="274">
        <v>2.34901613671955E-3</v>
      </c>
      <c r="Q28" s="273">
        <v>29911</v>
      </c>
      <c r="R28" s="278">
        <v>1.8281473411860798E-2</v>
      </c>
      <c r="S28" s="265">
        <v>93</v>
      </c>
      <c r="T28" s="265">
        <v>4.4000000000000004</v>
      </c>
      <c r="U28" s="265">
        <v>1</v>
      </c>
      <c r="V28" s="265">
        <v>98.4</v>
      </c>
      <c r="W28" s="160">
        <v>0</v>
      </c>
      <c r="X28" s="159">
        <v>449</v>
      </c>
      <c r="Y28" s="159">
        <v>0</v>
      </c>
      <c r="Z28" s="159">
        <v>0</v>
      </c>
      <c r="AA28" s="159">
        <v>0</v>
      </c>
      <c r="AB28" s="159">
        <v>7632</v>
      </c>
      <c r="AC28" s="159">
        <v>19875</v>
      </c>
      <c r="AD28" s="159">
        <v>3057</v>
      </c>
      <c r="AE28" s="159">
        <v>840</v>
      </c>
      <c r="AF28" s="161">
        <v>0</v>
      </c>
      <c r="AG28" s="203">
        <v>0</v>
      </c>
      <c r="AH28" s="203">
        <v>21</v>
      </c>
      <c r="AI28" s="203">
        <v>203</v>
      </c>
      <c r="AJ28" s="203">
        <v>105</v>
      </c>
      <c r="AK28" s="203">
        <v>120</v>
      </c>
      <c r="AL28" s="203">
        <v>0</v>
      </c>
      <c r="AM28" s="203">
        <v>2093</v>
      </c>
      <c r="AN28" s="203">
        <v>2653</v>
      </c>
      <c r="AO28" s="203">
        <v>20413</v>
      </c>
      <c r="AP28" s="203">
        <v>1635</v>
      </c>
      <c r="AQ28" s="203">
        <v>3879</v>
      </c>
      <c r="AR28" s="203">
        <v>731</v>
      </c>
      <c r="AS28" s="160">
        <v>0</v>
      </c>
      <c r="AT28" s="203">
        <v>0</v>
      </c>
      <c r="AU28" s="203">
        <v>239</v>
      </c>
      <c r="AV28" s="203">
        <v>90</v>
      </c>
      <c r="AW28" s="203">
        <v>120</v>
      </c>
      <c r="AX28" s="203">
        <v>0</v>
      </c>
      <c r="AY28" s="203">
        <v>1890</v>
      </c>
      <c r="AZ28" s="203">
        <v>2414</v>
      </c>
      <c r="BA28" s="203">
        <v>18487</v>
      </c>
      <c r="BB28" s="203">
        <v>5017</v>
      </c>
      <c r="BC28" s="203">
        <v>2865</v>
      </c>
      <c r="BD28" s="203">
        <v>731</v>
      </c>
      <c r="BE28" s="162">
        <v>12270902.313198082</v>
      </c>
      <c r="BF28" s="203">
        <v>9</v>
      </c>
      <c r="BG28" s="203">
        <v>853</v>
      </c>
      <c r="BH28" s="217">
        <v>14385.58301664488</v>
      </c>
      <c r="BI28" s="217">
        <v>78670.155662909252</v>
      </c>
      <c r="BJ28" s="203">
        <v>1</v>
      </c>
      <c r="BK28" s="203">
        <v>26</v>
      </c>
      <c r="BL28" s="217">
        <v>3025.7752178042019</v>
      </c>
      <c r="BM28" s="217">
        <v>0</v>
      </c>
      <c r="BN28" s="203">
        <v>0</v>
      </c>
      <c r="BO28" s="203">
        <v>0</v>
      </c>
      <c r="BP28" s="307" t="s">
        <v>687</v>
      </c>
    </row>
    <row r="29" spans="1:68" x14ac:dyDescent="0.45">
      <c r="A29">
        <v>896</v>
      </c>
      <c r="B29" t="s">
        <v>26</v>
      </c>
      <c r="C29" s="238" t="s">
        <v>569</v>
      </c>
      <c r="D29" s="280">
        <v>78659194.219999999</v>
      </c>
      <c r="E29" s="203">
        <v>23816</v>
      </c>
      <c r="F29" s="282">
        <v>28902</v>
      </c>
      <c r="G29" s="286">
        <v>0.21355391333557272</v>
      </c>
      <c r="H29" s="160">
        <v>26804</v>
      </c>
      <c r="I29" s="159">
        <v>30919</v>
      </c>
      <c r="J29" s="159">
        <v>75</v>
      </c>
      <c r="K29" s="159">
        <v>590</v>
      </c>
      <c r="L29" s="159">
        <v>2680</v>
      </c>
      <c r="M29" s="171">
        <v>8.6458672594629402E-2</v>
      </c>
      <c r="N29" s="270">
        <v>27476</v>
      </c>
      <c r="O29" s="273">
        <v>28099</v>
      </c>
      <c r="P29" s="274">
        <v>2.2674333964186898E-2</v>
      </c>
      <c r="Q29" s="273">
        <v>27545</v>
      </c>
      <c r="R29" s="278">
        <v>2.5112825738826598E-3</v>
      </c>
      <c r="S29" s="265">
        <v>90.7</v>
      </c>
      <c r="T29" s="265">
        <v>5.6</v>
      </c>
      <c r="U29" s="265">
        <v>1.5</v>
      </c>
      <c r="V29" s="265">
        <v>97.8</v>
      </c>
      <c r="W29" s="160">
        <v>0</v>
      </c>
      <c r="X29" s="159">
        <v>595</v>
      </c>
      <c r="Y29" s="159">
        <v>0</v>
      </c>
      <c r="Z29" s="159">
        <v>0</v>
      </c>
      <c r="AA29" s="159">
        <v>0</v>
      </c>
      <c r="AB29" s="159">
        <v>6552</v>
      </c>
      <c r="AC29" s="159">
        <v>21679</v>
      </c>
      <c r="AD29" s="159">
        <v>1463</v>
      </c>
      <c r="AE29" s="159">
        <v>210</v>
      </c>
      <c r="AF29" s="161">
        <v>0</v>
      </c>
      <c r="AG29" s="203">
        <v>0</v>
      </c>
      <c r="AH29" s="203">
        <v>105</v>
      </c>
      <c r="AI29" s="203">
        <v>490</v>
      </c>
      <c r="AJ29" s="203">
        <v>0</v>
      </c>
      <c r="AK29" s="203">
        <v>0</v>
      </c>
      <c r="AL29" s="203">
        <v>0</v>
      </c>
      <c r="AM29" s="203">
        <v>2576</v>
      </c>
      <c r="AN29" s="203">
        <v>2182</v>
      </c>
      <c r="AO29" s="203">
        <v>19532</v>
      </c>
      <c r="AP29" s="203">
        <v>2801</v>
      </c>
      <c r="AQ29" s="203">
        <v>2345</v>
      </c>
      <c r="AR29" s="203">
        <v>468</v>
      </c>
      <c r="AS29" s="160">
        <v>0</v>
      </c>
      <c r="AT29" s="203">
        <v>0</v>
      </c>
      <c r="AU29" s="203">
        <v>490</v>
      </c>
      <c r="AV29" s="203">
        <v>0</v>
      </c>
      <c r="AW29" s="203">
        <v>105</v>
      </c>
      <c r="AX29" s="203">
        <v>0</v>
      </c>
      <c r="AY29" s="203">
        <v>1837</v>
      </c>
      <c r="AZ29" s="203">
        <v>2335</v>
      </c>
      <c r="BA29" s="203">
        <v>18057</v>
      </c>
      <c r="BB29" s="203">
        <v>2947</v>
      </c>
      <c r="BC29" s="203">
        <v>4260</v>
      </c>
      <c r="BD29" s="203">
        <v>468</v>
      </c>
      <c r="BE29" s="162">
        <v>20065297.96573092</v>
      </c>
      <c r="BF29" s="203">
        <v>19</v>
      </c>
      <c r="BG29" s="203">
        <v>1423</v>
      </c>
      <c r="BH29" s="217">
        <v>14100.701311125033</v>
      </c>
      <c r="BI29" s="217">
        <v>1036260.731578831</v>
      </c>
      <c r="BJ29" s="203">
        <v>4</v>
      </c>
      <c r="BK29" s="203">
        <v>266</v>
      </c>
      <c r="BL29" s="217">
        <v>3895.7170360106429</v>
      </c>
      <c r="BM29" s="217">
        <v>2647680.924978686</v>
      </c>
      <c r="BN29" s="203">
        <v>1</v>
      </c>
      <c r="BO29" s="203">
        <v>105</v>
      </c>
      <c r="BP29" s="307">
        <v>25216.008809320818</v>
      </c>
    </row>
    <row r="30" spans="1:68" x14ac:dyDescent="0.45">
      <c r="A30">
        <v>201</v>
      </c>
      <c r="B30" t="s">
        <v>27</v>
      </c>
      <c r="C30" s="238" t="s">
        <v>571</v>
      </c>
      <c r="D30" s="280">
        <v>3300942.14</v>
      </c>
      <c r="E30" s="203">
        <v>205</v>
      </c>
      <c r="F30" s="282">
        <v>240</v>
      </c>
      <c r="G30" s="286">
        <v>0.17073170731707318</v>
      </c>
      <c r="H30" s="160">
        <v>210</v>
      </c>
      <c r="I30" s="159">
        <v>240</v>
      </c>
      <c r="J30" s="159">
        <v>0</v>
      </c>
      <c r="K30" s="159">
        <v>30</v>
      </c>
      <c r="L30" s="159">
        <v>30</v>
      </c>
      <c r="M30" s="171">
        <v>0.125</v>
      </c>
      <c r="N30" s="270">
        <v>232</v>
      </c>
      <c r="O30" s="273">
        <v>242</v>
      </c>
      <c r="P30" s="274">
        <v>4.31034482758621E-2</v>
      </c>
      <c r="Q30" s="273">
        <v>392</v>
      </c>
      <c r="R30" s="278">
        <v>0.68965517241379304</v>
      </c>
      <c r="S30" s="265">
        <v>87.5</v>
      </c>
      <c r="T30" s="265">
        <v>4.2</v>
      </c>
      <c r="U30" s="265">
        <v>4.2</v>
      </c>
      <c r="V30" s="265">
        <v>95.8</v>
      </c>
      <c r="W30" s="160">
        <v>30</v>
      </c>
      <c r="X30" s="159">
        <v>0</v>
      </c>
      <c r="Y30" s="159">
        <v>0</v>
      </c>
      <c r="Z30" s="159">
        <v>0</v>
      </c>
      <c r="AA30" s="159">
        <v>0</v>
      </c>
      <c r="AB30" s="159">
        <v>210</v>
      </c>
      <c r="AC30" s="159">
        <v>0</v>
      </c>
      <c r="AD30" s="159">
        <v>0</v>
      </c>
      <c r="AE30" s="159">
        <v>0</v>
      </c>
      <c r="AF30" s="161">
        <v>0</v>
      </c>
      <c r="AG30" s="203">
        <v>30</v>
      </c>
      <c r="AH30" s="203">
        <v>0</v>
      </c>
      <c r="AI30" s="203">
        <v>0</v>
      </c>
      <c r="AJ30" s="203">
        <v>0</v>
      </c>
      <c r="AK30" s="203">
        <v>0</v>
      </c>
      <c r="AL30" s="203">
        <v>0</v>
      </c>
      <c r="AM30" s="203">
        <v>210</v>
      </c>
      <c r="AN30" s="203">
        <v>0</v>
      </c>
      <c r="AO30" s="203">
        <v>0</v>
      </c>
      <c r="AP30" s="203">
        <v>0</v>
      </c>
      <c r="AQ30" s="203">
        <v>0</v>
      </c>
      <c r="AR30" s="203">
        <v>0</v>
      </c>
      <c r="AS30" s="160">
        <v>30</v>
      </c>
      <c r="AT30" s="203">
        <v>0</v>
      </c>
      <c r="AU30" s="203">
        <v>0</v>
      </c>
      <c r="AV30" s="203">
        <v>0</v>
      </c>
      <c r="AW30" s="203">
        <v>0</v>
      </c>
      <c r="AX30" s="203">
        <v>0</v>
      </c>
      <c r="AY30" s="203">
        <v>210</v>
      </c>
      <c r="AZ30" s="203">
        <v>0</v>
      </c>
      <c r="BA30" s="203">
        <v>0</v>
      </c>
      <c r="BB30" s="203">
        <v>0</v>
      </c>
      <c r="BC30" s="203">
        <v>0</v>
      </c>
      <c r="BD30" s="203">
        <v>0</v>
      </c>
      <c r="BE30" s="162">
        <v>0</v>
      </c>
      <c r="BF30" s="203">
        <v>0</v>
      </c>
      <c r="BG30" s="203">
        <v>0</v>
      </c>
      <c r="BH30" s="217" t="s">
        <v>687</v>
      </c>
      <c r="BI30" s="217">
        <v>0</v>
      </c>
      <c r="BJ30" s="203">
        <v>0</v>
      </c>
      <c r="BK30" s="203">
        <v>0</v>
      </c>
      <c r="BL30" s="217" t="s">
        <v>687</v>
      </c>
      <c r="BM30" s="217">
        <v>0</v>
      </c>
      <c r="BN30" s="203">
        <v>0</v>
      </c>
      <c r="BO30" s="203">
        <v>0</v>
      </c>
      <c r="BP30" s="307" t="s">
        <v>687</v>
      </c>
    </row>
    <row r="31" spans="1:68" x14ac:dyDescent="0.45">
      <c r="A31">
        <v>908</v>
      </c>
      <c r="B31" t="s">
        <v>28</v>
      </c>
      <c r="C31" s="238" t="s">
        <v>566</v>
      </c>
      <c r="D31" s="280">
        <v>73509190.739999995</v>
      </c>
      <c r="E31" s="203">
        <v>36175</v>
      </c>
      <c r="F31" s="282">
        <v>42505</v>
      </c>
      <c r="G31" s="286">
        <v>0.17498272287491362</v>
      </c>
      <c r="H31" s="160">
        <v>40970</v>
      </c>
      <c r="I31" s="159">
        <v>46339</v>
      </c>
      <c r="J31" s="159">
        <v>383</v>
      </c>
      <c r="K31" s="159">
        <v>620</v>
      </c>
      <c r="L31" s="159">
        <v>4830</v>
      </c>
      <c r="M31" s="171">
        <v>0.10342846622940501</v>
      </c>
      <c r="N31" s="270">
        <v>41666</v>
      </c>
      <c r="O31" s="273">
        <v>42002</v>
      </c>
      <c r="P31" s="274">
        <v>8.0641290260644195E-3</v>
      </c>
      <c r="Q31" s="273">
        <v>41825</v>
      </c>
      <c r="R31" s="278">
        <v>3.8160610569769101E-3</v>
      </c>
      <c r="S31" s="265">
        <v>94.8</v>
      </c>
      <c r="T31" s="265">
        <v>3.3</v>
      </c>
      <c r="U31" s="265">
        <v>0.5</v>
      </c>
      <c r="V31" s="265">
        <v>98.6</v>
      </c>
      <c r="W31" s="160">
        <v>273</v>
      </c>
      <c r="X31" s="159">
        <v>340</v>
      </c>
      <c r="Y31" s="159">
        <v>0</v>
      </c>
      <c r="Z31" s="159">
        <v>61</v>
      </c>
      <c r="AA31" s="159">
        <v>0</v>
      </c>
      <c r="AB31" s="159">
        <v>7322</v>
      </c>
      <c r="AC31" s="159">
        <v>32130</v>
      </c>
      <c r="AD31" s="159">
        <v>4680</v>
      </c>
      <c r="AE31" s="159">
        <v>959</v>
      </c>
      <c r="AF31" s="161">
        <v>0</v>
      </c>
      <c r="AG31" s="203">
        <v>231</v>
      </c>
      <c r="AH31" s="203">
        <v>56</v>
      </c>
      <c r="AI31" s="203">
        <v>195</v>
      </c>
      <c r="AJ31" s="203">
        <v>75</v>
      </c>
      <c r="AK31" s="203">
        <v>40</v>
      </c>
      <c r="AL31" s="203">
        <v>77</v>
      </c>
      <c r="AM31" s="203">
        <v>4327</v>
      </c>
      <c r="AN31" s="203">
        <v>2990</v>
      </c>
      <c r="AO31" s="203">
        <v>24814</v>
      </c>
      <c r="AP31" s="203">
        <v>4460</v>
      </c>
      <c r="AQ31" s="203">
        <v>5206</v>
      </c>
      <c r="AR31" s="203">
        <v>3294</v>
      </c>
      <c r="AS31" s="160">
        <v>40</v>
      </c>
      <c r="AT31" s="203">
        <v>156</v>
      </c>
      <c r="AU31" s="203">
        <v>180</v>
      </c>
      <c r="AV31" s="203">
        <v>221</v>
      </c>
      <c r="AW31" s="203">
        <v>0</v>
      </c>
      <c r="AX31" s="203">
        <v>77</v>
      </c>
      <c r="AY31" s="203">
        <v>3483</v>
      </c>
      <c r="AZ31" s="203">
        <v>3534</v>
      </c>
      <c r="BA31" s="203">
        <v>20713</v>
      </c>
      <c r="BB31" s="203">
        <v>8112</v>
      </c>
      <c r="BC31" s="203">
        <v>5955</v>
      </c>
      <c r="BD31" s="203">
        <v>3294</v>
      </c>
      <c r="BE31" s="162">
        <v>30320276.669001326</v>
      </c>
      <c r="BF31" s="203">
        <v>23</v>
      </c>
      <c r="BG31" s="203">
        <v>1772</v>
      </c>
      <c r="BH31" s="217">
        <v>17110.765614560569</v>
      </c>
      <c r="BI31" s="217">
        <v>717634.55516886886</v>
      </c>
      <c r="BJ31" s="203">
        <v>3</v>
      </c>
      <c r="BK31" s="203">
        <v>75</v>
      </c>
      <c r="BL31" s="217">
        <v>9568.4607355849184</v>
      </c>
      <c r="BM31" s="217">
        <v>0</v>
      </c>
      <c r="BN31" s="203">
        <v>0</v>
      </c>
      <c r="BO31" s="203">
        <v>0</v>
      </c>
      <c r="BP31" s="307" t="s">
        <v>687</v>
      </c>
    </row>
    <row r="32" spans="1:68" x14ac:dyDescent="0.45">
      <c r="A32">
        <v>331</v>
      </c>
      <c r="B32" t="s">
        <v>29</v>
      </c>
      <c r="C32" s="238" t="s">
        <v>568</v>
      </c>
      <c r="D32" s="280">
        <v>84472943.099999994</v>
      </c>
      <c r="E32" s="203">
        <v>25147</v>
      </c>
      <c r="F32" s="282">
        <v>31584</v>
      </c>
      <c r="G32" s="286">
        <v>0.25597486777746847</v>
      </c>
      <c r="H32" s="160">
        <v>27204</v>
      </c>
      <c r="I32" s="159">
        <v>33765</v>
      </c>
      <c r="J32" s="159">
        <v>0</v>
      </c>
      <c r="K32" s="159">
        <v>160</v>
      </c>
      <c r="L32" s="159">
        <v>2690</v>
      </c>
      <c r="M32" s="171">
        <v>7.8850945223960203E-2</v>
      </c>
      <c r="N32" s="270">
        <v>31275</v>
      </c>
      <c r="O32" s="273">
        <v>32763</v>
      </c>
      <c r="P32" s="274">
        <v>4.7577937649880102E-2</v>
      </c>
      <c r="Q32" s="273">
        <v>31285</v>
      </c>
      <c r="R32" s="278">
        <v>3.1974420463629099E-4</v>
      </c>
      <c r="S32" s="265">
        <v>94.8</v>
      </c>
      <c r="T32" s="265">
        <v>4</v>
      </c>
      <c r="U32" s="265">
        <v>0.5</v>
      </c>
      <c r="V32" s="265">
        <v>99.3</v>
      </c>
      <c r="W32" s="160">
        <v>0</v>
      </c>
      <c r="X32" s="159">
        <v>0</v>
      </c>
      <c r="Y32" s="159">
        <v>0</v>
      </c>
      <c r="Z32" s="159">
        <v>0</v>
      </c>
      <c r="AA32" s="159">
        <v>0</v>
      </c>
      <c r="AB32" s="159">
        <v>1470</v>
      </c>
      <c r="AC32" s="159">
        <v>29460</v>
      </c>
      <c r="AD32" s="159">
        <v>2765</v>
      </c>
      <c r="AE32" s="159">
        <v>0</v>
      </c>
      <c r="AF32" s="161">
        <v>0</v>
      </c>
      <c r="AG32" s="203">
        <v>0</v>
      </c>
      <c r="AH32" s="203">
        <v>0</v>
      </c>
      <c r="AI32" s="203">
        <v>0</v>
      </c>
      <c r="AJ32" s="203">
        <v>0</v>
      </c>
      <c r="AK32" s="203">
        <v>0</v>
      </c>
      <c r="AL32" s="203">
        <v>0</v>
      </c>
      <c r="AM32" s="203">
        <v>1050</v>
      </c>
      <c r="AN32" s="203">
        <v>1470</v>
      </c>
      <c r="AO32" s="203">
        <v>23540</v>
      </c>
      <c r="AP32" s="203">
        <v>4095</v>
      </c>
      <c r="AQ32" s="203">
        <v>1890</v>
      </c>
      <c r="AR32" s="203">
        <v>1650</v>
      </c>
      <c r="AS32" s="160">
        <v>0</v>
      </c>
      <c r="AT32" s="203">
        <v>0</v>
      </c>
      <c r="AU32" s="203">
        <v>0</v>
      </c>
      <c r="AV32" s="203">
        <v>0</v>
      </c>
      <c r="AW32" s="203">
        <v>0</v>
      </c>
      <c r="AX32" s="203">
        <v>0</v>
      </c>
      <c r="AY32" s="203">
        <v>840</v>
      </c>
      <c r="AZ32" s="203">
        <v>3320</v>
      </c>
      <c r="BA32" s="203">
        <v>24210</v>
      </c>
      <c r="BB32" s="203">
        <v>3360</v>
      </c>
      <c r="BC32" s="203">
        <v>315</v>
      </c>
      <c r="BD32" s="203">
        <v>1650</v>
      </c>
      <c r="BE32" s="162">
        <v>3697627.671854489</v>
      </c>
      <c r="BF32" s="203">
        <v>1</v>
      </c>
      <c r="BG32" s="203">
        <v>210</v>
      </c>
      <c r="BH32" s="217">
        <v>17607.750818354711</v>
      </c>
      <c r="BI32" s="217">
        <v>0</v>
      </c>
      <c r="BJ32" s="203">
        <v>0</v>
      </c>
      <c r="BK32" s="203">
        <v>0</v>
      </c>
      <c r="BL32" s="217" t="s">
        <v>687</v>
      </c>
      <c r="BM32" s="217">
        <v>0</v>
      </c>
      <c r="BN32" s="203">
        <v>0</v>
      </c>
      <c r="BO32" s="203">
        <v>0</v>
      </c>
      <c r="BP32" s="307" t="s">
        <v>687</v>
      </c>
    </row>
    <row r="33" spans="1:68" x14ac:dyDescent="0.45">
      <c r="A33">
        <v>306</v>
      </c>
      <c r="B33" t="s">
        <v>30</v>
      </c>
      <c r="C33" s="238" t="s">
        <v>564</v>
      </c>
      <c r="D33" s="280">
        <v>214034544.25</v>
      </c>
      <c r="E33" s="203">
        <v>27112</v>
      </c>
      <c r="F33" s="282">
        <v>33386</v>
      </c>
      <c r="G33" s="286">
        <v>0.23141044555916199</v>
      </c>
      <c r="H33" s="160">
        <v>28209</v>
      </c>
      <c r="I33" s="159">
        <v>38874</v>
      </c>
      <c r="J33" s="159">
        <v>30</v>
      </c>
      <c r="K33" s="159">
        <v>50</v>
      </c>
      <c r="L33" s="159">
        <v>6320</v>
      </c>
      <c r="M33" s="171">
        <v>0.15939593830399701</v>
      </c>
      <c r="N33" s="270">
        <v>32641</v>
      </c>
      <c r="O33" s="273">
        <v>33108</v>
      </c>
      <c r="P33" s="274">
        <v>1.4307159707116801E-2</v>
      </c>
      <c r="Q33" s="273">
        <v>34377</v>
      </c>
      <c r="R33" s="278">
        <v>5.3184645078275798E-2</v>
      </c>
      <c r="S33" s="265">
        <v>83.3</v>
      </c>
      <c r="T33" s="265">
        <v>9.5</v>
      </c>
      <c r="U33" s="265">
        <v>2.8</v>
      </c>
      <c r="V33" s="265">
        <v>95.6</v>
      </c>
      <c r="W33" s="160">
        <v>0</v>
      </c>
      <c r="X33" s="159">
        <v>240</v>
      </c>
      <c r="Y33" s="159">
        <v>0</v>
      </c>
      <c r="Z33" s="159">
        <v>0</v>
      </c>
      <c r="AA33" s="159">
        <v>0</v>
      </c>
      <c r="AB33" s="159">
        <v>9639</v>
      </c>
      <c r="AC33" s="159">
        <v>23645</v>
      </c>
      <c r="AD33" s="159">
        <v>3714</v>
      </c>
      <c r="AE33" s="159">
        <v>0</v>
      </c>
      <c r="AF33" s="161">
        <v>0</v>
      </c>
      <c r="AG33" s="203">
        <v>30</v>
      </c>
      <c r="AH33" s="203">
        <v>0</v>
      </c>
      <c r="AI33" s="203">
        <v>210</v>
      </c>
      <c r="AJ33" s="203">
        <v>0</v>
      </c>
      <c r="AK33" s="203">
        <v>0</v>
      </c>
      <c r="AL33" s="203">
        <v>0</v>
      </c>
      <c r="AM33" s="203">
        <v>5179</v>
      </c>
      <c r="AN33" s="203">
        <v>4233</v>
      </c>
      <c r="AO33" s="203">
        <v>17065</v>
      </c>
      <c r="AP33" s="203">
        <v>3253</v>
      </c>
      <c r="AQ33" s="203">
        <v>630</v>
      </c>
      <c r="AR33" s="203">
        <v>6638</v>
      </c>
      <c r="AS33" s="160">
        <v>30</v>
      </c>
      <c r="AT33" s="203">
        <v>0</v>
      </c>
      <c r="AU33" s="203">
        <v>210</v>
      </c>
      <c r="AV33" s="203">
        <v>0</v>
      </c>
      <c r="AW33" s="203">
        <v>0</v>
      </c>
      <c r="AX33" s="203">
        <v>0</v>
      </c>
      <c r="AY33" s="203">
        <v>5110</v>
      </c>
      <c r="AZ33" s="203">
        <v>4983</v>
      </c>
      <c r="BA33" s="203">
        <v>15039</v>
      </c>
      <c r="BB33" s="203">
        <v>4388</v>
      </c>
      <c r="BC33" s="203">
        <v>840</v>
      </c>
      <c r="BD33" s="203">
        <v>6638</v>
      </c>
      <c r="BE33" s="162">
        <v>44196873.862348631</v>
      </c>
      <c r="BF33" s="203">
        <v>8</v>
      </c>
      <c r="BG33" s="203">
        <v>1890</v>
      </c>
      <c r="BH33" s="217">
        <v>23384.589345158005</v>
      </c>
      <c r="BI33" s="217">
        <v>6943486.5790474527</v>
      </c>
      <c r="BJ33" s="203">
        <v>10</v>
      </c>
      <c r="BK33" s="203">
        <v>450</v>
      </c>
      <c r="BL33" s="217">
        <v>15429.970175661007</v>
      </c>
      <c r="BM33" s="217">
        <v>25286746.373160742</v>
      </c>
      <c r="BN33" s="203">
        <v>3</v>
      </c>
      <c r="BO33" s="203">
        <v>1110</v>
      </c>
      <c r="BP33" s="307">
        <v>22780.852588433099</v>
      </c>
    </row>
    <row r="34" spans="1:68" x14ac:dyDescent="0.45">
      <c r="A34">
        <v>909</v>
      </c>
      <c r="B34" t="s">
        <v>31</v>
      </c>
      <c r="C34" s="238" t="s">
        <v>569</v>
      </c>
      <c r="D34" s="280">
        <v>24488209.920000002</v>
      </c>
      <c r="E34" s="203">
        <v>34461</v>
      </c>
      <c r="F34" s="282">
        <v>34873</v>
      </c>
      <c r="G34" s="286">
        <v>1.1955543948231334E-2</v>
      </c>
      <c r="H34" s="160">
        <v>38171</v>
      </c>
      <c r="I34" s="159">
        <v>41708</v>
      </c>
      <c r="J34" s="159">
        <v>150</v>
      </c>
      <c r="K34" s="159">
        <v>20</v>
      </c>
      <c r="L34" s="159">
        <v>7180</v>
      </c>
      <c r="M34" s="171">
        <v>0.17089965969402801</v>
      </c>
      <c r="N34" s="270">
        <v>35843</v>
      </c>
      <c r="O34" s="273">
        <v>35881</v>
      </c>
      <c r="P34" s="274">
        <v>1.06017911447144E-3</v>
      </c>
      <c r="Q34" s="273">
        <v>35468</v>
      </c>
      <c r="R34" s="278">
        <v>-1.0462293892810301E-2</v>
      </c>
      <c r="S34" s="265">
        <v>96.8</v>
      </c>
      <c r="T34" s="265">
        <v>1.8</v>
      </c>
      <c r="U34" s="265">
        <v>0.3</v>
      </c>
      <c r="V34" s="265">
        <v>98.9</v>
      </c>
      <c r="W34" s="160">
        <v>0</v>
      </c>
      <c r="X34" s="159">
        <v>140</v>
      </c>
      <c r="Y34" s="159">
        <v>0</v>
      </c>
      <c r="Z34" s="159">
        <v>0</v>
      </c>
      <c r="AA34" s="159">
        <v>0</v>
      </c>
      <c r="AB34" s="159">
        <v>4371</v>
      </c>
      <c r="AC34" s="159">
        <v>33030</v>
      </c>
      <c r="AD34" s="159">
        <v>3338</v>
      </c>
      <c r="AE34" s="159">
        <v>582</v>
      </c>
      <c r="AF34" s="161">
        <v>0</v>
      </c>
      <c r="AG34" s="203">
        <v>28</v>
      </c>
      <c r="AH34" s="203">
        <v>0</v>
      </c>
      <c r="AI34" s="203">
        <v>112</v>
      </c>
      <c r="AJ34" s="203">
        <v>0</v>
      </c>
      <c r="AK34" s="203">
        <v>0</v>
      </c>
      <c r="AL34" s="203">
        <v>0</v>
      </c>
      <c r="AM34" s="203">
        <v>4808</v>
      </c>
      <c r="AN34" s="203">
        <v>1869</v>
      </c>
      <c r="AO34" s="203">
        <v>24589</v>
      </c>
      <c r="AP34" s="203">
        <v>717</v>
      </c>
      <c r="AQ34" s="203">
        <v>3923</v>
      </c>
      <c r="AR34" s="203">
        <v>5415</v>
      </c>
      <c r="AS34" s="160">
        <v>28</v>
      </c>
      <c r="AT34" s="203">
        <v>70</v>
      </c>
      <c r="AU34" s="203">
        <v>42</v>
      </c>
      <c r="AV34" s="203">
        <v>0</v>
      </c>
      <c r="AW34" s="203">
        <v>0</v>
      </c>
      <c r="AX34" s="203">
        <v>0</v>
      </c>
      <c r="AY34" s="203">
        <v>2736</v>
      </c>
      <c r="AZ34" s="203">
        <v>3583</v>
      </c>
      <c r="BA34" s="203">
        <v>21098</v>
      </c>
      <c r="BB34" s="203">
        <v>3049</v>
      </c>
      <c r="BC34" s="203">
        <v>5370</v>
      </c>
      <c r="BD34" s="203">
        <v>5485</v>
      </c>
      <c r="BE34" s="162">
        <v>7380800.7944145072</v>
      </c>
      <c r="BF34" s="203">
        <v>4</v>
      </c>
      <c r="BG34" s="203">
        <v>285</v>
      </c>
      <c r="BH34" s="217">
        <v>25897.546647068448</v>
      </c>
      <c r="BI34" s="217">
        <v>0</v>
      </c>
      <c r="BJ34" s="203">
        <v>0</v>
      </c>
      <c r="BK34" s="203">
        <v>0</v>
      </c>
      <c r="BL34" s="217" t="s">
        <v>687</v>
      </c>
      <c r="BM34" s="217">
        <v>0</v>
      </c>
      <c r="BN34" s="203">
        <v>0</v>
      </c>
      <c r="BO34" s="203">
        <v>0</v>
      </c>
      <c r="BP34" s="307" t="s">
        <v>687</v>
      </c>
    </row>
    <row r="35" spans="1:68" x14ac:dyDescent="0.45">
      <c r="A35">
        <v>841</v>
      </c>
      <c r="B35" t="s">
        <v>32</v>
      </c>
      <c r="C35" s="238" t="s">
        <v>572</v>
      </c>
      <c r="D35" s="280">
        <v>13343101.989999998</v>
      </c>
      <c r="E35" s="203">
        <v>8049</v>
      </c>
      <c r="F35" s="282">
        <v>8503</v>
      </c>
      <c r="G35" s="286">
        <v>5.6404522300906944E-2</v>
      </c>
      <c r="H35" s="160">
        <v>8480</v>
      </c>
      <c r="I35" s="159">
        <v>9350</v>
      </c>
      <c r="J35" s="159">
        <v>0</v>
      </c>
      <c r="K35" s="159">
        <v>0</v>
      </c>
      <c r="L35" s="159">
        <v>1180</v>
      </c>
      <c r="M35" s="171">
        <v>0.122135040083034</v>
      </c>
      <c r="N35" s="270">
        <v>8927</v>
      </c>
      <c r="O35" s="273">
        <v>8983</v>
      </c>
      <c r="P35" s="274">
        <v>6.2731040663156698E-3</v>
      </c>
      <c r="Q35" s="273">
        <v>9054</v>
      </c>
      <c r="R35" s="278">
        <v>1.42265038646802E-2</v>
      </c>
      <c r="S35" s="265">
        <v>95.9</v>
      </c>
      <c r="T35" s="265">
        <v>3</v>
      </c>
      <c r="U35" s="265">
        <v>0.6</v>
      </c>
      <c r="V35" s="265">
        <v>99.5</v>
      </c>
      <c r="W35" s="160">
        <v>0</v>
      </c>
      <c r="X35" s="159">
        <v>0</v>
      </c>
      <c r="Y35" s="159">
        <v>0</v>
      </c>
      <c r="Z35" s="159">
        <v>0</v>
      </c>
      <c r="AA35" s="159">
        <v>0</v>
      </c>
      <c r="AB35" s="159">
        <v>1495</v>
      </c>
      <c r="AC35" s="159">
        <v>5830</v>
      </c>
      <c r="AD35" s="159">
        <v>2046</v>
      </c>
      <c r="AE35" s="159">
        <v>0</v>
      </c>
      <c r="AF35" s="161">
        <v>0</v>
      </c>
      <c r="AG35" s="203">
        <v>0</v>
      </c>
      <c r="AH35" s="203">
        <v>0</v>
      </c>
      <c r="AI35" s="203">
        <v>0</v>
      </c>
      <c r="AJ35" s="203">
        <v>0</v>
      </c>
      <c r="AK35" s="203">
        <v>0</v>
      </c>
      <c r="AL35" s="203">
        <v>0</v>
      </c>
      <c r="AM35" s="203">
        <v>1225</v>
      </c>
      <c r="AN35" s="203">
        <v>640</v>
      </c>
      <c r="AO35" s="203">
        <v>5160</v>
      </c>
      <c r="AP35" s="203">
        <v>840</v>
      </c>
      <c r="AQ35" s="203">
        <v>630</v>
      </c>
      <c r="AR35" s="203">
        <v>876</v>
      </c>
      <c r="AS35" s="160">
        <v>0</v>
      </c>
      <c r="AT35" s="203">
        <v>0</v>
      </c>
      <c r="AU35" s="203">
        <v>0</v>
      </c>
      <c r="AV35" s="203">
        <v>0</v>
      </c>
      <c r="AW35" s="203">
        <v>0</v>
      </c>
      <c r="AX35" s="203">
        <v>0</v>
      </c>
      <c r="AY35" s="203">
        <v>1630</v>
      </c>
      <c r="AZ35" s="203">
        <v>1650</v>
      </c>
      <c r="BA35" s="203">
        <v>4375</v>
      </c>
      <c r="BB35" s="203">
        <v>840</v>
      </c>
      <c r="BC35" s="203">
        <v>0</v>
      </c>
      <c r="BD35" s="203">
        <v>876</v>
      </c>
      <c r="BE35" s="162">
        <v>4058374.6136164465</v>
      </c>
      <c r="BF35" s="203">
        <v>2</v>
      </c>
      <c r="BG35" s="203">
        <v>225</v>
      </c>
      <c r="BH35" s="217">
        <v>18037.220504961984</v>
      </c>
      <c r="BI35" s="217">
        <v>0</v>
      </c>
      <c r="BJ35" s="203">
        <v>0</v>
      </c>
      <c r="BK35" s="203">
        <v>0</v>
      </c>
      <c r="BL35" s="217" t="s">
        <v>687</v>
      </c>
      <c r="BM35" s="217">
        <v>0</v>
      </c>
      <c r="BN35" s="203">
        <v>0</v>
      </c>
      <c r="BO35" s="203">
        <v>0</v>
      </c>
      <c r="BP35" s="307" t="s">
        <v>687</v>
      </c>
    </row>
    <row r="36" spans="1:68" x14ac:dyDescent="0.45">
      <c r="A36">
        <v>831</v>
      </c>
      <c r="B36" t="s">
        <v>33</v>
      </c>
      <c r="C36" s="238" t="s">
        <v>573</v>
      </c>
      <c r="D36" s="280">
        <v>56315597.079999998</v>
      </c>
      <c r="E36" s="203">
        <v>19498</v>
      </c>
      <c r="F36" s="282">
        <v>23741</v>
      </c>
      <c r="G36" s="286">
        <v>0.2176120627756693</v>
      </c>
      <c r="H36" s="160">
        <v>21873</v>
      </c>
      <c r="I36" s="159">
        <v>25079</v>
      </c>
      <c r="J36" s="159">
        <v>315</v>
      </c>
      <c r="K36" s="159">
        <v>60</v>
      </c>
      <c r="L36" s="159">
        <v>2140</v>
      </c>
      <c r="M36" s="171">
        <v>8.2771432148307206E-2</v>
      </c>
      <c r="N36" s="270">
        <v>23754</v>
      </c>
      <c r="O36" s="273">
        <v>23802</v>
      </c>
      <c r="P36" s="274">
        <v>2.02071230108613E-3</v>
      </c>
      <c r="Q36" s="273">
        <v>23979</v>
      </c>
      <c r="R36" s="278">
        <v>9.4720889113412508E-3</v>
      </c>
      <c r="S36" s="265">
        <v>88.7</v>
      </c>
      <c r="T36" s="265">
        <v>5.7</v>
      </c>
      <c r="U36" s="265">
        <v>1.8</v>
      </c>
      <c r="V36" s="265">
        <v>96.2</v>
      </c>
      <c r="W36" s="160">
        <v>0</v>
      </c>
      <c r="X36" s="159">
        <v>32</v>
      </c>
      <c r="Y36" s="159">
        <v>0</v>
      </c>
      <c r="Z36" s="159">
        <v>0</v>
      </c>
      <c r="AA36" s="159">
        <v>0</v>
      </c>
      <c r="AB36" s="159">
        <v>2733</v>
      </c>
      <c r="AC36" s="159">
        <v>15862</v>
      </c>
      <c r="AD36" s="159">
        <v>2482</v>
      </c>
      <c r="AE36" s="159">
        <v>520</v>
      </c>
      <c r="AF36" s="161">
        <v>0</v>
      </c>
      <c r="AG36" s="203">
        <v>0</v>
      </c>
      <c r="AH36" s="203">
        <v>0</v>
      </c>
      <c r="AI36" s="203">
        <v>0</v>
      </c>
      <c r="AJ36" s="203">
        <v>0</v>
      </c>
      <c r="AK36" s="203">
        <v>0</v>
      </c>
      <c r="AL36" s="203">
        <v>32</v>
      </c>
      <c r="AM36" s="203">
        <v>1351</v>
      </c>
      <c r="AN36" s="203">
        <v>1130</v>
      </c>
      <c r="AO36" s="203">
        <v>8462</v>
      </c>
      <c r="AP36" s="203">
        <v>630</v>
      </c>
      <c r="AQ36" s="203">
        <v>2650</v>
      </c>
      <c r="AR36" s="203">
        <v>7374</v>
      </c>
      <c r="AS36" s="160">
        <v>0</v>
      </c>
      <c r="AT36" s="203">
        <v>0</v>
      </c>
      <c r="AU36" s="203">
        <v>0</v>
      </c>
      <c r="AV36" s="203">
        <v>0</v>
      </c>
      <c r="AW36" s="203">
        <v>0</v>
      </c>
      <c r="AX36" s="203">
        <v>32</v>
      </c>
      <c r="AY36" s="203">
        <v>1400</v>
      </c>
      <c r="AZ36" s="203">
        <v>2802</v>
      </c>
      <c r="BA36" s="203">
        <v>7021</v>
      </c>
      <c r="BB36" s="203">
        <v>1500</v>
      </c>
      <c r="BC36" s="203">
        <v>1500</v>
      </c>
      <c r="BD36" s="203">
        <v>7374</v>
      </c>
      <c r="BE36" s="162">
        <v>2895697.7059424194</v>
      </c>
      <c r="BF36" s="203">
        <v>3</v>
      </c>
      <c r="BG36" s="203">
        <v>243</v>
      </c>
      <c r="BH36" s="217">
        <v>11916.451464783619</v>
      </c>
      <c r="BI36" s="217">
        <v>86311.605138208964</v>
      </c>
      <c r="BJ36" s="203">
        <v>1</v>
      </c>
      <c r="BK36" s="203">
        <v>10</v>
      </c>
      <c r="BL36" s="217">
        <v>8631.1605138208961</v>
      </c>
      <c r="BM36" s="217">
        <v>0</v>
      </c>
      <c r="BN36" s="203">
        <v>0</v>
      </c>
      <c r="BO36" s="203">
        <v>0</v>
      </c>
      <c r="BP36" s="307" t="s">
        <v>687</v>
      </c>
    </row>
    <row r="37" spans="1:68" x14ac:dyDescent="0.45">
      <c r="A37">
        <v>830</v>
      </c>
      <c r="B37" t="s">
        <v>34</v>
      </c>
      <c r="C37" s="238" t="s">
        <v>573</v>
      </c>
      <c r="D37" s="280">
        <v>50259585.910000004</v>
      </c>
      <c r="E37" s="203">
        <v>54744</v>
      </c>
      <c r="F37" s="282">
        <v>59026</v>
      </c>
      <c r="G37" s="286">
        <v>7.821861756539529E-2</v>
      </c>
      <c r="H37" s="160">
        <v>62139</v>
      </c>
      <c r="I37" s="159">
        <v>65050</v>
      </c>
      <c r="J37" s="159">
        <v>1477</v>
      </c>
      <c r="K37" s="159">
        <v>690</v>
      </c>
      <c r="L37" s="159">
        <v>8190</v>
      </c>
      <c r="M37" s="171">
        <v>0.123171649671767</v>
      </c>
      <c r="N37" s="270">
        <v>59670</v>
      </c>
      <c r="O37" s="273">
        <v>59792</v>
      </c>
      <c r="P37" s="274">
        <v>2.04457851516675E-3</v>
      </c>
      <c r="Q37" s="273">
        <v>59299</v>
      </c>
      <c r="R37" s="278">
        <v>-6.2175297469415098E-3</v>
      </c>
      <c r="S37" s="265">
        <v>95.4</v>
      </c>
      <c r="T37" s="265">
        <v>3.1</v>
      </c>
      <c r="U37" s="265">
        <v>0.6</v>
      </c>
      <c r="V37" s="265">
        <v>99.1</v>
      </c>
      <c r="W37" s="160">
        <v>30</v>
      </c>
      <c r="X37" s="159">
        <v>218</v>
      </c>
      <c r="Y37" s="159">
        <v>0</v>
      </c>
      <c r="Z37" s="159">
        <v>0</v>
      </c>
      <c r="AA37" s="159">
        <v>0</v>
      </c>
      <c r="AB37" s="159">
        <v>5936</v>
      </c>
      <c r="AC37" s="159">
        <v>44261</v>
      </c>
      <c r="AD37" s="159">
        <v>9038</v>
      </c>
      <c r="AE37" s="159">
        <v>887</v>
      </c>
      <c r="AF37" s="161">
        <v>0</v>
      </c>
      <c r="AG37" s="203">
        <v>0</v>
      </c>
      <c r="AH37" s="203">
        <v>0</v>
      </c>
      <c r="AI37" s="203">
        <v>218</v>
      </c>
      <c r="AJ37" s="203">
        <v>0</v>
      </c>
      <c r="AK37" s="203">
        <v>0</v>
      </c>
      <c r="AL37" s="203">
        <v>30</v>
      </c>
      <c r="AM37" s="203">
        <v>3040</v>
      </c>
      <c r="AN37" s="203">
        <v>1398</v>
      </c>
      <c r="AO37" s="203">
        <v>30495</v>
      </c>
      <c r="AP37" s="203">
        <v>4958</v>
      </c>
      <c r="AQ37" s="203">
        <v>7490</v>
      </c>
      <c r="AR37" s="203">
        <v>12741</v>
      </c>
      <c r="AS37" s="160">
        <v>0</v>
      </c>
      <c r="AT37" s="203">
        <v>40</v>
      </c>
      <c r="AU37" s="203">
        <v>178</v>
      </c>
      <c r="AV37" s="203">
        <v>0</v>
      </c>
      <c r="AW37" s="203">
        <v>0</v>
      </c>
      <c r="AX37" s="203">
        <v>30</v>
      </c>
      <c r="AY37" s="203">
        <v>1326</v>
      </c>
      <c r="AZ37" s="203">
        <v>4870</v>
      </c>
      <c r="BA37" s="203">
        <v>27552</v>
      </c>
      <c r="BB37" s="203">
        <v>8022</v>
      </c>
      <c r="BC37" s="203">
        <v>5611</v>
      </c>
      <c r="BD37" s="203">
        <v>12741</v>
      </c>
      <c r="BE37" s="162">
        <v>10991972.280215343</v>
      </c>
      <c r="BF37" s="203">
        <v>20</v>
      </c>
      <c r="BG37" s="203">
        <v>823</v>
      </c>
      <c r="BH37" s="217">
        <v>13355.98089941111</v>
      </c>
      <c r="BI37" s="217">
        <v>0</v>
      </c>
      <c r="BJ37" s="203">
        <v>0</v>
      </c>
      <c r="BK37" s="203">
        <v>0</v>
      </c>
      <c r="BL37" s="217" t="s">
        <v>687</v>
      </c>
      <c r="BM37" s="217">
        <v>0</v>
      </c>
      <c r="BN37" s="203">
        <v>0</v>
      </c>
      <c r="BO37" s="203">
        <v>0</v>
      </c>
      <c r="BP37" s="307" t="s">
        <v>687</v>
      </c>
    </row>
    <row r="38" spans="1:68" x14ac:dyDescent="0.45">
      <c r="A38">
        <v>878</v>
      </c>
      <c r="B38" t="s">
        <v>35</v>
      </c>
      <c r="C38" s="238" t="s">
        <v>566</v>
      </c>
      <c r="D38" s="280">
        <v>94608028.480000004</v>
      </c>
      <c r="E38" s="203">
        <v>49808</v>
      </c>
      <c r="F38" s="282">
        <v>58091</v>
      </c>
      <c r="G38" s="286">
        <v>0.16629858657243815</v>
      </c>
      <c r="H38" s="160">
        <v>54609</v>
      </c>
      <c r="I38" s="159">
        <v>63597</v>
      </c>
      <c r="J38" s="159">
        <v>517</v>
      </c>
      <c r="K38" s="159">
        <v>880</v>
      </c>
      <c r="L38" s="159">
        <v>7720</v>
      </c>
      <c r="M38" s="171">
        <v>0.11887931705921501</v>
      </c>
      <c r="N38" s="270">
        <v>55922</v>
      </c>
      <c r="O38" s="273">
        <v>57181</v>
      </c>
      <c r="P38" s="274">
        <v>2.2513500947748601E-2</v>
      </c>
      <c r="Q38" s="273">
        <v>58278</v>
      </c>
      <c r="R38" s="278">
        <v>4.2130109795786998E-2</v>
      </c>
      <c r="S38" s="265">
        <v>96.5</v>
      </c>
      <c r="T38" s="265">
        <v>2.2999999999999998</v>
      </c>
      <c r="U38" s="265">
        <v>0.3</v>
      </c>
      <c r="V38" s="265">
        <v>99.1</v>
      </c>
      <c r="W38" s="160">
        <v>0</v>
      </c>
      <c r="X38" s="159">
        <v>498</v>
      </c>
      <c r="Y38" s="159">
        <v>25</v>
      </c>
      <c r="Z38" s="159">
        <v>0</v>
      </c>
      <c r="AA38" s="159">
        <v>420</v>
      </c>
      <c r="AB38" s="159">
        <v>11358</v>
      </c>
      <c r="AC38" s="159">
        <v>42326</v>
      </c>
      <c r="AD38" s="159">
        <v>7828</v>
      </c>
      <c r="AE38" s="159">
        <v>991</v>
      </c>
      <c r="AF38" s="161">
        <v>420</v>
      </c>
      <c r="AG38" s="203">
        <v>60</v>
      </c>
      <c r="AH38" s="203">
        <v>0</v>
      </c>
      <c r="AI38" s="203">
        <v>593</v>
      </c>
      <c r="AJ38" s="203">
        <v>0</v>
      </c>
      <c r="AK38" s="203">
        <v>55</v>
      </c>
      <c r="AL38" s="203">
        <v>235</v>
      </c>
      <c r="AM38" s="203">
        <v>4923</v>
      </c>
      <c r="AN38" s="203">
        <v>5281</v>
      </c>
      <c r="AO38" s="203">
        <v>35889</v>
      </c>
      <c r="AP38" s="203">
        <v>2985</v>
      </c>
      <c r="AQ38" s="203">
        <v>6719</v>
      </c>
      <c r="AR38" s="203">
        <v>7126</v>
      </c>
      <c r="AS38" s="160">
        <v>235</v>
      </c>
      <c r="AT38" s="203">
        <v>0</v>
      </c>
      <c r="AU38" s="203">
        <v>119</v>
      </c>
      <c r="AV38" s="203">
        <v>229</v>
      </c>
      <c r="AW38" s="203">
        <v>125</v>
      </c>
      <c r="AX38" s="203">
        <v>235</v>
      </c>
      <c r="AY38" s="203">
        <v>3012</v>
      </c>
      <c r="AZ38" s="203">
        <v>3107</v>
      </c>
      <c r="BA38" s="203">
        <v>30357</v>
      </c>
      <c r="BB38" s="203">
        <v>10591</v>
      </c>
      <c r="BC38" s="203">
        <v>8730</v>
      </c>
      <c r="BD38" s="203">
        <v>7126</v>
      </c>
      <c r="BE38" s="162">
        <v>19079665.574628584</v>
      </c>
      <c r="BF38" s="203">
        <v>23</v>
      </c>
      <c r="BG38" s="203">
        <v>1356</v>
      </c>
      <c r="BH38" s="217">
        <v>14070.549833796891</v>
      </c>
      <c r="BI38" s="217">
        <v>282865.300424424</v>
      </c>
      <c r="BJ38" s="203">
        <v>2</v>
      </c>
      <c r="BK38" s="203">
        <v>45</v>
      </c>
      <c r="BL38" s="217">
        <v>6285.8955649871996</v>
      </c>
      <c r="BM38" s="217">
        <v>7050777.6357030235</v>
      </c>
      <c r="BN38" s="203">
        <v>2</v>
      </c>
      <c r="BO38" s="203">
        <v>519</v>
      </c>
      <c r="BP38" s="307">
        <v>13585.313363589641</v>
      </c>
    </row>
    <row r="39" spans="1:68" x14ac:dyDescent="0.45">
      <c r="A39">
        <v>371</v>
      </c>
      <c r="B39" t="s">
        <v>36</v>
      </c>
      <c r="C39" s="238" t="s">
        <v>565</v>
      </c>
      <c r="D39" s="280">
        <v>36128888.25</v>
      </c>
      <c r="E39" s="203">
        <v>22846</v>
      </c>
      <c r="F39" s="282">
        <v>26000</v>
      </c>
      <c r="G39" s="286">
        <v>0.13805480171583648</v>
      </c>
      <c r="H39" s="160">
        <v>27074</v>
      </c>
      <c r="I39" s="159">
        <v>29770</v>
      </c>
      <c r="J39" s="159">
        <v>301</v>
      </c>
      <c r="K39" s="159">
        <v>20</v>
      </c>
      <c r="L39" s="159">
        <v>4090</v>
      </c>
      <c r="M39" s="171">
        <v>0.136065684499308</v>
      </c>
      <c r="N39" s="270">
        <v>26040</v>
      </c>
      <c r="O39" s="273">
        <v>26244</v>
      </c>
      <c r="P39" s="274">
        <v>7.8341013824884797E-3</v>
      </c>
      <c r="Q39" s="273">
        <v>26768</v>
      </c>
      <c r="R39" s="278">
        <v>2.7956989247311801E-2</v>
      </c>
      <c r="S39" s="265">
        <v>95.5</v>
      </c>
      <c r="T39" s="265">
        <v>1.8</v>
      </c>
      <c r="U39" s="265">
        <v>0.5</v>
      </c>
      <c r="V39" s="265">
        <v>97.8</v>
      </c>
      <c r="W39" s="160">
        <v>0</v>
      </c>
      <c r="X39" s="159">
        <v>327</v>
      </c>
      <c r="Y39" s="159">
        <v>0</v>
      </c>
      <c r="Z39" s="159">
        <v>0</v>
      </c>
      <c r="AA39" s="159">
        <v>0</v>
      </c>
      <c r="AB39" s="159">
        <v>3105</v>
      </c>
      <c r="AC39" s="159">
        <v>16022</v>
      </c>
      <c r="AD39" s="159">
        <v>6086</v>
      </c>
      <c r="AE39" s="159">
        <v>1387</v>
      </c>
      <c r="AF39" s="161">
        <v>0</v>
      </c>
      <c r="AG39" s="203">
        <v>0</v>
      </c>
      <c r="AH39" s="203">
        <v>0</v>
      </c>
      <c r="AI39" s="203">
        <v>120</v>
      </c>
      <c r="AJ39" s="203">
        <v>177</v>
      </c>
      <c r="AK39" s="203">
        <v>0</v>
      </c>
      <c r="AL39" s="203">
        <v>30</v>
      </c>
      <c r="AM39" s="203">
        <v>2304</v>
      </c>
      <c r="AN39" s="203">
        <v>680</v>
      </c>
      <c r="AO39" s="203">
        <v>11238</v>
      </c>
      <c r="AP39" s="203">
        <v>4019</v>
      </c>
      <c r="AQ39" s="203">
        <v>5130</v>
      </c>
      <c r="AR39" s="203">
        <v>3229</v>
      </c>
      <c r="AS39" s="160">
        <v>0</v>
      </c>
      <c r="AT39" s="203">
        <v>0</v>
      </c>
      <c r="AU39" s="203">
        <v>297</v>
      </c>
      <c r="AV39" s="203">
        <v>0</v>
      </c>
      <c r="AW39" s="203">
        <v>0</v>
      </c>
      <c r="AX39" s="203">
        <v>30</v>
      </c>
      <c r="AY39" s="203">
        <v>1820</v>
      </c>
      <c r="AZ39" s="203">
        <v>1807</v>
      </c>
      <c r="BA39" s="203">
        <v>15175</v>
      </c>
      <c r="BB39" s="203">
        <v>1679</v>
      </c>
      <c r="BC39" s="203">
        <v>2890</v>
      </c>
      <c r="BD39" s="203">
        <v>3229</v>
      </c>
      <c r="BE39" s="162">
        <v>11288195.372075452</v>
      </c>
      <c r="BF39" s="203">
        <v>7</v>
      </c>
      <c r="BG39" s="203">
        <v>636</v>
      </c>
      <c r="BH39" s="217">
        <v>17748.734861753856</v>
      </c>
      <c r="BI39" s="217">
        <v>243214.49126043494</v>
      </c>
      <c r="BJ39" s="203">
        <v>2</v>
      </c>
      <c r="BK39" s="203">
        <v>40</v>
      </c>
      <c r="BL39" s="217">
        <v>6080.3622815108738</v>
      </c>
      <c r="BM39" s="217">
        <v>6545033.539819262</v>
      </c>
      <c r="BN39" s="203">
        <v>1</v>
      </c>
      <c r="BO39" s="203">
        <v>472</v>
      </c>
      <c r="BP39" s="307">
        <v>13866.596482667928</v>
      </c>
    </row>
    <row r="40" spans="1:68" s="208" customFormat="1" x14ac:dyDescent="0.45">
      <c r="A40" s="208">
        <v>835</v>
      </c>
      <c r="B40" s="208" t="s">
        <v>747</v>
      </c>
      <c r="C40" s="316" t="s">
        <v>566</v>
      </c>
      <c r="D40" s="290" t="s">
        <v>687</v>
      </c>
      <c r="E40" s="227">
        <v>26650</v>
      </c>
      <c r="F40" s="291" t="s">
        <v>687</v>
      </c>
      <c r="G40" s="292" t="s">
        <v>687</v>
      </c>
      <c r="H40" s="293">
        <v>27810</v>
      </c>
      <c r="I40" s="294" t="s">
        <v>687</v>
      </c>
      <c r="J40" s="294" t="s">
        <v>687</v>
      </c>
      <c r="K40" s="294" t="s">
        <v>687</v>
      </c>
      <c r="L40" s="294" t="s">
        <v>687</v>
      </c>
      <c r="M40" s="295" t="s">
        <v>687</v>
      </c>
      <c r="N40" s="296" t="s">
        <v>687</v>
      </c>
      <c r="O40" s="297">
        <v>29089</v>
      </c>
      <c r="P40" s="298" t="s">
        <v>687</v>
      </c>
      <c r="Q40" s="297">
        <v>29400</v>
      </c>
      <c r="R40" s="299" t="s">
        <v>687</v>
      </c>
      <c r="S40" s="300">
        <v>93.4</v>
      </c>
      <c r="T40" s="300">
        <v>4.4000000000000004</v>
      </c>
      <c r="U40" s="300">
        <v>1</v>
      </c>
      <c r="V40" s="300">
        <v>98.8</v>
      </c>
      <c r="W40" s="293" t="s">
        <v>687</v>
      </c>
      <c r="X40" s="294" t="s">
        <v>687</v>
      </c>
      <c r="Y40" s="294" t="s">
        <v>687</v>
      </c>
      <c r="Z40" s="294" t="s">
        <v>687</v>
      </c>
      <c r="AA40" s="294" t="s">
        <v>687</v>
      </c>
      <c r="AB40" s="294" t="s">
        <v>687</v>
      </c>
      <c r="AC40" s="294" t="s">
        <v>687</v>
      </c>
      <c r="AD40" s="294" t="s">
        <v>687</v>
      </c>
      <c r="AE40" s="294" t="s">
        <v>687</v>
      </c>
      <c r="AF40" s="301" t="s">
        <v>687</v>
      </c>
      <c r="AG40" s="227" t="s">
        <v>687</v>
      </c>
      <c r="AH40" s="227" t="s">
        <v>687</v>
      </c>
      <c r="AI40" s="227" t="s">
        <v>687</v>
      </c>
      <c r="AJ40" s="227" t="s">
        <v>687</v>
      </c>
      <c r="AK40" s="227" t="s">
        <v>687</v>
      </c>
      <c r="AL40" s="227" t="s">
        <v>687</v>
      </c>
      <c r="AM40" s="227" t="s">
        <v>687</v>
      </c>
      <c r="AN40" s="227" t="s">
        <v>687</v>
      </c>
      <c r="AO40" s="227" t="s">
        <v>687</v>
      </c>
      <c r="AP40" s="227" t="s">
        <v>687</v>
      </c>
      <c r="AQ40" s="227" t="s">
        <v>687</v>
      </c>
      <c r="AR40" s="227" t="s">
        <v>687</v>
      </c>
      <c r="AS40" s="293" t="s">
        <v>687</v>
      </c>
      <c r="AT40" s="227" t="s">
        <v>687</v>
      </c>
      <c r="AU40" s="227" t="s">
        <v>687</v>
      </c>
      <c r="AV40" s="227" t="s">
        <v>687</v>
      </c>
      <c r="AW40" s="227" t="s">
        <v>687</v>
      </c>
      <c r="AX40" s="227" t="s">
        <v>687</v>
      </c>
      <c r="AY40" s="227" t="s">
        <v>687</v>
      </c>
      <c r="AZ40" s="227" t="s">
        <v>687</v>
      </c>
      <c r="BA40" s="227" t="s">
        <v>687</v>
      </c>
      <c r="BB40" s="227" t="s">
        <v>687</v>
      </c>
      <c r="BC40" s="227" t="s">
        <v>687</v>
      </c>
      <c r="BD40" s="227" t="s">
        <v>687</v>
      </c>
      <c r="BE40" s="249">
        <v>6367560.7652428616</v>
      </c>
      <c r="BF40" s="227">
        <v>4</v>
      </c>
      <c r="BG40" s="227">
        <v>305</v>
      </c>
      <c r="BH40" s="305">
        <v>20877.248410632332</v>
      </c>
      <c r="BI40" s="305">
        <v>1653876.1117913355</v>
      </c>
      <c r="BJ40" s="227">
        <v>4</v>
      </c>
      <c r="BK40" s="227">
        <v>240</v>
      </c>
      <c r="BL40" s="305">
        <v>6891.1504657972309</v>
      </c>
      <c r="BM40" s="305">
        <v>0</v>
      </c>
      <c r="BN40" s="227">
        <v>0</v>
      </c>
      <c r="BO40" s="227">
        <v>0</v>
      </c>
      <c r="BP40" s="308" t="s">
        <v>687</v>
      </c>
    </row>
    <row r="41" spans="1:68" s="208" customFormat="1" x14ac:dyDescent="0.45">
      <c r="A41" s="208">
        <v>838</v>
      </c>
      <c r="B41" s="208" t="s">
        <v>746</v>
      </c>
      <c r="C41" s="316" t="s">
        <v>566</v>
      </c>
      <c r="D41" s="302">
        <v>34139395.759999998</v>
      </c>
      <c r="E41" s="227" t="s">
        <v>687</v>
      </c>
      <c r="F41" s="303">
        <v>24851</v>
      </c>
      <c r="G41" s="292" t="s">
        <v>687</v>
      </c>
      <c r="H41" s="293" t="s">
        <v>687</v>
      </c>
      <c r="I41" s="294">
        <v>25478</v>
      </c>
      <c r="J41" s="294">
        <v>150</v>
      </c>
      <c r="K41" s="294">
        <v>90</v>
      </c>
      <c r="L41" s="294">
        <v>4030</v>
      </c>
      <c r="M41" s="295">
        <v>0.14003968097321701</v>
      </c>
      <c r="N41" s="296">
        <v>25404</v>
      </c>
      <c r="O41" s="297" t="s">
        <v>687</v>
      </c>
      <c r="P41" s="298" t="s">
        <v>687</v>
      </c>
      <c r="Q41" s="297" t="s">
        <v>687</v>
      </c>
      <c r="R41" s="299" t="s">
        <v>687</v>
      </c>
      <c r="S41" s="300" t="s">
        <v>687</v>
      </c>
      <c r="T41" s="300" t="s">
        <v>687</v>
      </c>
      <c r="U41" s="300" t="s">
        <v>687</v>
      </c>
      <c r="V41" s="300" t="s">
        <v>687</v>
      </c>
      <c r="W41" s="293">
        <v>34</v>
      </c>
      <c r="X41" s="294">
        <v>39</v>
      </c>
      <c r="Y41" s="294">
        <v>0</v>
      </c>
      <c r="Z41" s="294">
        <v>0</v>
      </c>
      <c r="AA41" s="294">
        <v>0</v>
      </c>
      <c r="AB41" s="294">
        <v>3993</v>
      </c>
      <c r="AC41" s="294">
        <v>16218</v>
      </c>
      <c r="AD41" s="294">
        <v>5767</v>
      </c>
      <c r="AE41" s="294">
        <v>1205</v>
      </c>
      <c r="AF41" s="301">
        <v>0</v>
      </c>
      <c r="AG41" s="227">
        <v>0</v>
      </c>
      <c r="AH41" s="227">
        <v>0</v>
      </c>
      <c r="AI41" s="227">
        <v>73</v>
      </c>
      <c r="AJ41" s="227">
        <v>0</v>
      </c>
      <c r="AK41" s="227">
        <v>0</v>
      </c>
      <c r="AL41" s="227">
        <v>0</v>
      </c>
      <c r="AM41" s="227">
        <v>2235</v>
      </c>
      <c r="AN41" s="227">
        <v>840</v>
      </c>
      <c r="AO41" s="227">
        <v>12198</v>
      </c>
      <c r="AP41" s="227">
        <v>921</v>
      </c>
      <c r="AQ41" s="227">
        <v>1205</v>
      </c>
      <c r="AR41" s="227">
        <v>9784</v>
      </c>
      <c r="AS41" s="293">
        <v>0</v>
      </c>
      <c r="AT41" s="227">
        <v>0</v>
      </c>
      <c r="AU41" s="227">
        <v>55</v>
      </c>
      <c r="AV41" s="227">
        <v>0</v>
      </c>
      <c r="AW41" s="227">
        <v>18</v>
      </c>
      <c r="AX41" s="227">
        <v>0</v>
      </c>
      <c r="AY41" s="227">
        <v>665</v>
      </c>
      <c r="AZ41" s="227">
        <v>1947</v>
      </c>
      <c r="BA41" s="227">
        <v>9393</v>
      </c>
      <c r="BB41" s="227">
        <v>3100</v>
      </c>
      <c r="BC41" s="227">
        <v>2294</v>
      </c>
      <c r="BD41" s="227">
        <v>9784</v>
      </c>
      <c r="BE41" s="249" t="s">
        <v>687</v>
      </c>
      <c r="BF41" s="227" t="s">
        <v>687</v>
      </c>
      <c r="BG41" s="227" t="s">
        <v>687</v>
      </c>
      <c r="BH41" s="305" t="s">
        <v>687</v>
      </c>
      <c r="BI41" s="305" t="s">
        <v>687</v>
      </c>
      <c r="BJ41" s="227" t="s">
        <v>687</v>
      </c>
      <c r="BK41" s="227" t="s">
        <v>687</v>
      </c>
      <c r="BL41" s="305" t="s">
        <v>687</v>
      </c>
      <c r="BM41" s="305" t="s">
        <v>687</v>
      </c>
      <c r="BN41" s="227" t="s">
        <v>687</v>
      </c>
      <c r="BO41" s="227" t="s">
        <v>687</v>
      </c>
      <c r="BP41" s="308" t="s">
        <v>687</v>
      </c>
    </row>
    <row r="42" spans="1:68" x14ac:dyDescent="0.45">
      <c r="A42">
        <v>332</v>
      </c>
      <c r="B42" t="s">
        <v>37</v>
      </c>
      <c r="C42" s="238" t="s">
        <v>568</v>
      </c>
      <c r="D42" s="280">
        <v>30664155.280000001</v>
      </c>
      <c r="E42" s="203">
        <v>24475</v>
      </c>
      <c r="F42" s="282">
        <v>27384</v>
      </c>
      <c r="G42" s="286">
        <v>0.11885597548518897</v>
      </c>
      <c r="H42" s="160">
        <v>27546</v>
      </c>
      <c r="I42" s="159">
        <v>28435</v>
      </c>
      <c r="J42" s="159">
        <v>0</v>
      </c>
      <c r="K42" s="159">
        <v>140</v>
      </c>
      <c r="L42" s="159">
        <v>1190</v>
      </c>
      <c r="M42" s="171">
        <v>4.1772396829099598E-2</v>
      </c>
      <c r="N42" s="270">
        <v>27137</v>
      </c>
      <c r="O42" s="273">
        <v>27339</v>
      </c>
      <c r="P42" s="274">
        <v>7.44371153775288E-3</v>
      </c>
      <c r="Q42" s="273">
        <v>27312</v>
      </c>
      <c r="R42" s="278">
        <v>6.4487599955779899E-3</v>
      </c>
      <c r="S42" s="265">
        <v>92.3</v>
      </c>
      <c r="T42" s="265">
        <v>4.7</v>
      </c>
      <c r="U42" s="265">
        <v>1</v>
      </c>
      <c r="V42" s="265">
        <v>98</v>
      </c>
      <c r="W42" s="160">
        <v>0</v>
      </c>
      <c r="X42" s="159">
        <v>15</v>
      </c>
      <c r="Y42" s="159">
        <v>42</v>
      </c>
      <c r="Z42" s="159">
        <v>0</v>
      </c>
      <c r="AA42" s="159">
        <v>0</v>
      </c>
      <c r="AB42" s="159">
        <v>1844</v>
      </c>
      <c r="AC42" s="159">
        <v>19652</v>
      </c>
      <c r="AD42" s="159">
        <v>4362</v>
      </c>
      <c r="AE42" s="159">
        <v>1050</v>
      </c>
      <c r="AF42" s="161">
        <v>0</v>
      </c>
      <c r="AG42" s="203">
        <v>0</v>
      </c>
      <c r="AH42" s="203">
        <v>0</v>
      </c>
      <c r="AI42" s="203">
        <v>57</v>
      </c>
      <c r="AJ42" s="203">
        <v>0</v>
      </c>
      <c r="AK42" s="203">
        <v>0</v>
      </c>
      <c r="AL42" s="203">
        <v>0</v>
      </c>
      <c r="AM42" s="203">
        <v>210</v>
      </c>
      <c r="AN42" s="203">
        <v>1724</v>
      </c>
      <c r="AO42" s="203">
        <v>13301</v>
      </c>
      <c r="AP42" s="203">
        <v>4436</v>
      </c>
      <c r="AQ42" s="203">
        <v>7237</v>
      </c>
      <c r="AR42" s="203">
        <v>0</v>
      </c>
      <c r="AS42" s="160">
        <v>0</v>
      </c>
      <c r="AT42" s="203">
        <v>15</v>
      </c>
      <c r="AU42" s="203">
        <v>42</v>
      </c>
      <c r="AV42" s="203">
        <v>0</v>
      </c>
      <c r="AW42" s="203">
        <v>0</v>
      </c>
      <c r="AX42" s="203">
        <v>0</v>
      </c>
      <c r="AY42" s="203">
        <v>630</v>
      </c>
      <c r="AZ42" s="203">
        <v>3349</v>
      </c>
      <c r="BA42" s="203">
        <v>11057</v>
      </c>
      <c r="BB42" s="203">
        <v>7577</v>
      </c>
      <c r="BC42" s="203">
        <v>4295</v>
      </c>
      <c r="BD42" s="203">
        <v>0</v>
      </c>
      <c r="BE42" s="162">
        <v>9188926.4796045125</v>
      </c>
      <c r="BF42" s="203">
        <v>9</v>
      </c>
      <c r="BG42" s="203">
        <v>595</v>
      </c>
      <c r="BH42" s="217">
        <v>15443.573915301702</v>
      </c>
      <c r="BI42" s="217">
        <v>0</v>
      </c>
      <c r="BJ42" s="203">
        <v>0</v>
      </c>
      <c r="BK42" s="203">
        <v>0</v>
      </c>
      <c r="BL42" s="217" t="s">
        <v>687</v>
      </c>
      <c r="BM42" s="217">
        <v>0</v>
      </c>
      <c r="BN42" s="203">
        <v>0</v>
      </c>
      <c r="BO42" s="203">
        <v>0</v>
      </c>
      <c r="BP42" s="307" t="s">
        <v>687</v>
      </c>
    </row>
    <row r="43" spans="1:68" x14ac:dyDescent="0.45">
      <c r="A43">
        <v>840</v>
      </c>
      <c r="B43" t="s">
        <v>38</v>
      </c>
      <c r="C43" s="238" t="s">
        <v>572</v>
      </c>
      <c r="D43" s="280">
        <v>21179499.390000001</v>
      </c>
      <c r="E43" s="203">
        <v>35782</v>
      </c>
      <c r="F43" s="282">
        <v>39339</v>
      </c>
      <c r="G43" s="286">
        <v>9.9407523335755407E-2</v>
      </c>
      <c r="H43" s="160">
        <v>42888</v>
      </c>
      <c r="I43" s="159">
        <v>45795</v>
      </c>
      <c r="J43" s="159">
        <v>193</v>
      </c>
      <c r="K43" s="159">
        <v>180</v>
      </c>
      <c r="L43" s="159">
        <v>6830</v>
      </c>
      <c r="M43" s="171">
        <v>0.148461681750441</v>
      </c>
      <c r="N43" s="270">
        <v>39136</v>
      </c>
      <c r="O43" s="273">
        <v>40208</v>
      </c>
      <c r="P43" s="274">
        <v>2.7391659852820899E-2</v>
      </c>
      <c r="Q43" s="273">
        <v>38464</v>
      </c>
      <c r="R43" s="278">
        <v>-1.71708912510221E-2</v>
      </c>
      <c r="S43" s="265">
        <v>95.4</v>
      </c>
      <c r="T43" s="265">
        <v>3.5</v>
      </c>
      <c r="U43" s="265">
        <v>0.4</v>
      </c>
      <c r="V43" s="265">
        <v>99.3</v>
      </c>
      <c r="W43" s="160">
        <v>245</v>
      </c>
      <c r="X43" s="159">
        <v>212</v>
      </c>
      <c r="Y43" s="159">
        <v>0</v>
      </c>
      <c r="Z43" s="159">
        <v>0</v>
      </c>
      <c r="AA43" s="159">
        <v>0</v>
      </c>
      <c r="AB43" s="159">
        <v>6891</v>
      </c>
      <c r="AC43" s="159">
        <v>32129</v>
      </c>
      <c r="AD43" s="159">
        <v>5163</v>
      </c>
      <c r="AE43" s="159">
        <v>630</v>
      </c>
      <c r="AF43" s="161">
        <v>0</v>
      </c>
      <c r="AG43" s="203">
        <v>56</v>
      </c>
      <c r="AH43" s="203">
        <v>0</v>
      </c>
      <c r="AI43" s="203">
        <v>372</v>
      </c>
      <c r="AJ43" s="203">
        <v>29</v>
      </c>
      <c r="AK43" s="203">
        <v>0</v>
      </c>
      <c r="AL43" s="203">
        <v>0</v>
      </c>
      <c r="AM43" s="203">
        <v>3913</v>
      </c>
      <c r="AN43" s="203">
        <v>3868</v>
      </c>
      <c r="AO43" s="203">
        <v>28088</v>
      </c>
      <c r="AP43" s="203">
        <v>1738</v>
      </c>
      <c r="AQ43" s="203">
        <v>4710</v>
      </c>
      <c r="AR43" s="203">
        <v>2496</v>
      </c>
      <c r="AS43" s="160">
        <v>128</v>
      </c>
      <c r="AT43" s="203">
        <v>0</v>
      </c>
      <c r="AU43" s="203">
        <v>300</v>
      </c>
      <c r="AV43" s="203">
        <v>0</v>
      </c>
      <c r="AW43" s="203">
        <v>29</v>
      </c>
      <c r="AX43" s="203">
        <v>0</v>
      </c>
      <c r="AY43" s="203">
        <v>4893</v>
      </c>
      <c r="AZ43" s="203">
        <v>3470</v>
      </c>
      <c r="BA43" s="203">
        <v>28206</v>
      </c>
      <c r="BB43" s="203">
        <v>2782</v>
      </c>
      <c r="BC43" s="203">
        <v>2966</v>
      </c>
      <c r="BD43" s="203">
        <v>2496</v>
      </c>
      <c r="BE43" s="162">
        <v>14046030.766159294</v>
      </c>
      <c r="BF43" s="203">
        <v>17</v>
      </c>
      <c r="BG43" s="203">
        <v>894</v>
      </c>
      <c r="BH43" s="217">
        <v>15711.443810021581</v>
      </c>
      <c r="BI43" s="217">
        <v>0</v>
      </c>
      <c r="BJ43" s="203">
        <v>0</v>
      </c>
      <c r="BK43" s="203">
        <v>0</v>
      </c>
      <c r="BL43" s="217" t="s">
        <v>687</v>
      </c>
      <c r="BM43" s="217">
        <v>0</v>
      </c>
      <c r="BN43" s="203">
        <v>0</v>
      </c>
      <c r="BO43" s="203">
        <v>0</v>
      </c>
      <c r="BP43" s="307" t="s">
        <v>687</v>
      </c>
    </row>
    <row r="44" spans="1:68" x14ac:dyDescent="0.45">
      <c r="A44">
        <v>307</v>
      </c>
      <c r="B44" t="s">
        <v>39</v>
      </c>
      <c r="C44" s="238" t="s">
        <v>564</v>
      </c>
      <c r="D44" s="280">
        <v>131777790</v>
      </c>
      <c r="E44" s="203">
        <v>24385</v>
      </c>
      <c r="F44" s="282">
        <v>29410</v>
      </c>
      <c r="G44" s="286">
        <v>0.20606930490055361</v>
      </c>
      <c r="H44" s="160">
        <v>25538</v>
      </c>
      <c r="I44" s="159">
        <v>32903</v>
      </c>
      <c r="J44" s="159">
        <v>0</v>
      </c>
      <c r="K44" s="159">
        <v>0</v>
      </c>
      <c r="L44" s="159">
        <v>4120</v>
      </c>
      <c r="M44" s="171">
        <v>0.12295350788262099</v>
      </c>
      <c r="N44" s="270">
        <v>30703</v>
      </c>
      <c r="O44" s="273">
        <v>30460</v>
      </c>
      <c r="P44" s="274">
        <v>-7.9145360388235692E-3</v>
      </c>
      <c r="Q44" s="273">
        <v>31349</v>
      </c>
      <c r="R44" s="278">
        <v>2.1040289222551498E-2</v>
      </c>
      <c r="S44" s="265">
        <v>86.5</v>
      </c>
      <c r="T44" s="265">
        <v>7.1</v>
      </c>
      <c r="U44" s="265">
        <v>2.2999999999999998</v>
      </c>
      <c r="V44" s="265">
        <v>95.8</v>
      </c>
      <c r="W44" s="160">
        <v>30</v>
      </c>
      <c r="X44" s="159">
        <v>143</v>
      </c>
      <c r="Y44" s="159">
        <v>0</v>
      </c>
      <c r="Z44" s="159">
        <v>0</v>
      </c>
      <c r="AA44" s="159">
        <v>0</v>
      </c>
      <c r="AB44" s="159">
        <v>6281</v>
      </c>
      <c r="AC44" s="159">
        <v>24616</v>
      </c>
      <c r="AD44" s="159">
        <v>1623</v>
      </c>
      <c r="AE44" s="159">
        <v>0</v>
      </c>
      <c r="AF44" s="161">
        <v>0</v>
      </c>
      <c r="AG44" s="203">
        <v>30</v>
      </c>
      <c r="AH44" s="203">
        <v>30</v>
      </c>
      <c r="AI44" s="203">
        <v>113</v>
      </c>
      <c r="AJ44" s="203">
        <v>0</v>
      </c>
      <c r="AK44" s="203">
        <v>0</v>
      </c>
      <c r="AL44" s="203">
        <v>0</v>
      </c>
      <c r="AM44" s="203">
        <v>2925</v>
      </c>
      <c r="AN44" s="203">
        <v>9092</v>
      </c>
      <c r="AO44" s="203">
        <v>16740</v>
      </c>
      <c r="AP44" s="203">
        <v>2149</v>
      </c>
      <c r="AQ44" s="203">
        <v>0</v>
      </c>
      <c r="AR44" s="203">
        <v>1614</v>
      </c>
      <c r="AS44" s="160">
        <v>30</v>
      </c>
      <c r="AT44" s="203">
        <v>93</v>
      </c>
      <c r="AU44" s="203">
        <v>50</v>
      </c>
      <c r="AV44" s="203">
        <v>0</v>
      </c>
      <c r="AW44" s="203">
        <v>0</v>
      </c>
      <c r="AX44" s="203">
        <v>0</v>
      </c>
      <c r="AY44" s="203">
        <v>6770</v>
      </c>
      <c r="AZ44" s="203">
        <v>11731</v>
      </c>
      <c r="BA44" s="203">
        <v>11027</v>
      </c>
      <c r="BB44" s="203">
        <v>1378</v>
      </c>
      <c r="BC44" s="203">
        <v>0</v>
      </c>
      <c r="BD44" s="203">
        <v>1614</v>
      </c>
      <c r="BE44" s="162">
        <v>12069170.93688878</v>
      </c>
      <c r="BF44" s="203">
        <v>6</v>
      </c>
      <c r="BG44" s="203">
        <v>694</v>
      </c>
      <c r="BH44" s="217">
        <v>17390.736220300838</v>
      </c>
      <c r="BI44" s="217">
        <v>2997937.3978855973</v>
      </c>
      <c r="BJ44" s="203">
        <v>3</v>
      </c>
      <c r="BK44" s="203">
        <v>150</v>
      </c>
      <c r="BL44" s="217">
        <v>19986.249319237315</v>
      </c>
      <c r="BM44" s="217">
        <v>0</v>
      </c>
      <c r="BN44" s="203">
        <v>0</v>
      </c>
      <c r="BO44" s="203">
        <v>0</v>
      </c>
      <c r="BP44" s="307" t="s">
        <v>687</v>
      </c>
    </row>
    <row r="45" spans="1:68" x14ac:dyDescent="0.45">
      <c r="A45">
        <v>811</v>
      </c>
      <c r="B45" t="s">
        <v>40</v>
      </c>
      <c r="C45" s="238" t="s">
        <v>565</v>
      </c>
      <c r="D45" s="280">
        <v>17296644.670000002</v>
      </c>
      <c r="E45" s="203">
        <v>23237</v>
      </c>
      <c r="F45" s="282">
        <v>24107</v>
      </c>
      <c r="G45" s="286">
        <v>3.7440289193957914E-2</v>
      </c>
      <c r="H45" s="160">
        <v>27287</v>
      </c>
      <c r="I45" s="159">
        <v>27753</v>
      </c>
      <c r="J45" s="159">
        <v>0</v>
      </c>
      <c r="K45" s="159">
        <v>120</v>
      </c>
      <c r="L45" s="159">
        <v>4180</v>
      </c>
      <c r="M45" s="171">
        <v>0.14841265149112701</v>
      </c>
      <c r="N45" s="270">
        <v>24847</v>
      </c>
      <c r="O45" s="273">
        <v>24761</v>
      </c>
      <c r="P45" s="274">
        <v>-3.46118243651145E-3</v>
      </c>
      <c r="Q45" s="273">
        <v>24656</v>
      </c>
      <c r="R45" s="278">
        <v>-7.6870447136475201E-3</v>
      </c>
      <c r="S45" s="265">
        <v>96.2</v>
      </c>
      <c r="T45" s="265">
        <v>2.2000000000000002</v>
      </c>
      <c r="U45" s="265">
        <v>0.4</v>
      </c>
      <c r="V45" s="265">
        <v>98.8</v>
      </c>
      <c r="W45" s="160">
        <v>0</v>
      </c>
      <c r="X45" s="159">
        <v>207</v>
      </c>
      <c r="Y45" s="159">
        <v>0</v>
      </c>
      <c r="Z45" s="159">
        <v>0</v>
      </c>
      <c r="AA45" s="159">
        <v>0</v>
      </c>
      <c r="AB45" s="159">
        <v>3481</v>
      </c>
      <c r="AC45" s="159">
        <v>19472</v>
      </c>
      <c r="AD45" s="159">
        <v>3688</v>
      </c>
      <c r="AE45" s="159">
        <v>210</v>
      </c>
      <c r="AF45" s="161">
        <v>0</v>
      </c>
      <c r="AG45" s="203">
        <v>0</v>
      </c>
      <c r="AH45" s="203">
        <v>16</v>
      </c>
      <c r="AI45" s="203">
        <v>113</v>
      </c>
      <c r="AJ45" s="203">
        <v>0</v>
      </c>
      <c r="AK45" s="203">
        <v>78</v>
      </c>
      <c r="AL45" s="203">
        <v>0</v>
      </c>
      <c r="AM45" s="203">
        <v>1577</v>
      </c>
      <c r="AN45" s="203">
        <v>676</v>
      </c>
      <c r="AO45" s="203">
        <v>16655</v>
      </c>
      <c r="AP45" s="203">
        <v>2928</v>
      </c>
      <c r="AQ45" s="203">
        <v>2823</v>
      </c>
      <c r="AR45" s="203">
        <v>2192</v>
      </c>
      <c r="AS45" s="160">
        <v>0</v>
      </c>
      <c r="AT45" s="203">
        <v>16</v>
      </c>
      <c r="AU45" s="203">
        <v>144</v>
      </c>
      <c r="AV45" s="203">
        <v>47</v>
      </c>
      <c r="AW45" s="203">
        <v>0</v>
      </c>
      <c r="AX45" s="203">
        <v>0</v>
      </c>
      <c r="AY45" s="203">
        <v>1238</v>
      </c>
      <c r="AZ45" s="203">
        <v>823</v>
      </c>
      <c r="BA45" s="203">
        <v>16148</v>
      </c>
      <c r="BB45" s="203">
        <v>4687</v>
      </c>
      <c r="BC45" s="203">
        <v>1763</v>
      </c>
      <c r="BD45" s="203">
        <v>2192</v>
      </c>
      <c r="BE45" s="162">
        <v>4193560.5984282116</v>
      </c>
      <c r="BF45" s="203">
        <v>11</v>
      </c>
      <c r="BG45" s="203">
        <v>407</v>
      </c>
      <c r="BH45" s="217">
        <v>10303.588693926809</v>
      </c>
      <c r="BI45" s="217">
        <v>154521.94441644</v>
      </c>
      <c r="BJ45" s="203">
        <v>1</v>
      </c>
      <c r="BK45" s="203">
        <v>30</v>
      </c>
      <c r="BL45" s="217">
        <v>5150.731480548</v>
      </c>
      <c r="BM45" s="217">
        <v>0</v>
      </c>
      <c r="BN45" s="203">
        <v>0</v>
      </c>
      <c r="BO45" s="203">
        <v>0</v>
      </c>
      <c r="BP45" s="307" t="s">
        <v>687</v>
      </c>
    </row>
    <row r="46" spans="1:68" x14ac:dyDescent="0.45">
      <c r="A46">
        <v>845</v>
      </c>
      <c r="B46" t="s">
        <v>41</v>
      </c>
      <c r="C46" s="238" t="s">
        <v>570</v>
      </c>
      <c r="D46" s="280">
        <v>91141945.679999992</v>
      </c>
      <c r="E46" s="203">
        <v>34284</v>
      </c>
      <c r="F46" s="282">
        <v>38168</v>
      </c>
      <c r="G46" s="286">
        <v>0.11328899778322249</v>
      </c>
      <c r="H46" s="160">
        <v>37878</v>
      </c>
      <c r="I46" s="159">
        <v>40416</v>
      </c>
      <c r="J46" s="159">
        <v>626</v>
      </c>
      <c r="K46" s="159">
        <v>140</v>
      </c>
      <c r="L46" s="159">
        <v>3830</v>
      </c>
      <c r="M46" s="171">
        <v>9.14609143888091E-2</v>
      </c>
      <c r="N46" s="270">
        <v>38637</v>
      </c>
      <c r="O46" s="273">
        <v>38643</v>
      </c>
      <c r="P46" s="274">
        <v>1.5529155990371901E-4</v>
      </c>
      <c r="Q46" s="273">
        <v>40141</v>
      </c>
      <c r="R46" s="278">
        <v>3.8926417682532299E-2</v>
      </c>
      <c r="S46" s="265">
        <v>88.9</v>
      </c>
      <c r="T46" s="265">
        <v>6.4</v>
      </c>
      <c r="U46" s="265">
        <v>1.6</v>
      </c>
      <c r="V46" s="265">
        <v>97</v>
      </c>
      <c r="W46" s="160">
        <v>0</v>
      </c>
      <c r="X46" s="159">
        <v>55</v>
      </c>
      <c r="Y46" s="159">
        <v>0</v>
      </c>
      <c r="Z46" s="159">
        <v>0</v>
      </c>
      <c r="AA46" s="159">
        <v>0</v>
      </c>
      <c r="AB46" s="159">
        <v>3595</v>
      </c>
      <c r="AC46" s="159">
        <v>33598</v>
      </c>
      <c r="AD46" s="159">
        <v>2000</v>
      </c>
      <c r="AE46" s="159">
        <v>420</v>
      </c>
      <c r="AF46" s="161">
        <v>0</v>
      </c>
      <c r="AG46" s="203">
        <v>0</v>
      </c>
      <c r="AH46" s="203">
        <v>30</v>
      </c>
      <c r="AI46" s="203">
        <v>25</v>
      </c>
      <c r="AJ46" s="203">
        <v>0</v>
      </c>
      <c r="AK46" s="203">
        <v>0</v>
      </c>
      <c r="AL46" s="203">
        <v>0</v>
      </c>
      <c r="AM46" s="203">
        <v>835</v>
      </c>
      <c r="AN46" s="203">
        <v>3600</v>
      </c>
      <c r="AO46" s="203">
        <v>22661</v>
      </c>
      <c r="AP46" s="203">
        <v>3840</v>
      </c>
      <c r="AQ46" s="203">
        <v>4395</v>
      </c>
      <c r="AR46" s="203">
        <v>4282</v>
      </c>
      <c r="AS46" s="160">
        <v>0</v>
      </c>
      <c r="AT46" s="203">
        <v>0</v>
      </c>
      <c r="AU46" s="203">
        <v>30</v>
      </c>
      <c r="AV46" s="203">
        <v>0</v>
      </c>
      <c r="AW46" s="203">
        <v>25</v>
      </c>
      <c r="AX46" s="203">
        <v>0</v>
      </c>
      <c r="AY46" s="203">
        <v>434</v>
      </c>
      <c r="AZ46" s="203">
        <v>3830</v>
      </c>
      <c r="BA46" s="203">
        <v>16266</v>
      </c>
      <c r="BB46" s="203">
        <v>7121</v>
      </c>
      <c r="BC46" s="203">
        <v>7680</v>
      </c>
      <c r="BD46" s="203">
        <v>4282</v>
      </c>
      <c r="BE46" s="162">
        <v>11990356.497567764</v>
      </c>
      <c r="BF46" s="203">
        <v>11</v>
      </c>
      <c r="BG46" s="203">
        <v>648</v>
      </c>
      <c r="BH46" s="217">
        <v>18503.636570320621</v>
      </c>
      <c r="BI46" s="217">
        <v>5056031.4646617612</v>
      </c>
      <c r="BJ46" s="203">
        <v>16</v>
      </c>
      <c r="BK46" s="203">
        <v>510</v>
      </c>
      <c r="BL46" s="217">
        <v>9913.7871856112961</v>
      </c>
      <c r="BM46" s="217">
        <v>19557987.588287968</v>
      </c>
      <c r="BN46" s="203">
        <v>3</v>
      </c>
      <c r="BO46" s="203">
        <v>894</v>
      </c>
      <c r="BP46" s="307">
        <v>21876.943611060367</v>
      </c>
    </row>
    <row r="47" spans="1:68" x14ac:dyDescent="0.45">
      <c r="A47">
        <v>308</v>
      </c>
      <c r="B47" t="s">
        <v>42</v>
      </c>
      <c r="C47" s="238" t="s">
        <v>564</v>
      </c>
      <c r="D47" s="280">
        <v>122655077.05</v>
      </c>
      <c r="E47" s="203">
        <v>26494</v>
      </c>
      <c r="F47" s="282">
        <v>32152</v>
      </c>
      <c r="G47" s="286">
        <v>0.21355778666867969</v>
      </c>
      <c r="H47" s="160">
        <v>26960</v>
      </c>
      <c r="I47" s="159">
        <v>33050</v>
      </c>
      <c r="J47" s="159">
        <v>0</v>
      </c>
      <c r="K47" s="159">
        <v>240</v>
      </c>
      <c r="L47" s="159">
        <v>3200</v>
      </c>
      <c r="M47" s="171">
        <v>9.1224106947706898E-2</v>
      </c>
      <c r="N47" s="270">
        <v>31771</v>
      </c>
      <c r="O47" s="273">
        <v>32721</v>
      </c>
      <c r="P47" s="274">
        <v>2.9901482484026298E-2</v>
      </c>
      <c r="Q47" s="273">
        <v>33524</v>
      </c>
      <c r="R47" s="278">
        <v>5.5176103994208602E-2</v>
      </c>
      <c r="S47" s="265">
        <v>86</v>
      </c>
      <c r="T47" s="265">
        <v>7.1</v>
      </c>
      <c r="U47" s="265">
        <v>2.7</v>
      </c>
      <c r="V47" s="265">
        <v>95.8</v>
      </c>
      <c r="W47" s="160">
        <v>0</v>
      </c>
      <c r="X47" s="159">
        <v>0</v>
      </c>
      <c r="Y47" s="159">
        <v>0</v>
      </c>
      <c r="Z47" s="159">
        <v>0</v>
      </c>
      <c r="AA47" s="159">
        <v>0</v>
      </c>
      <c r="AB47" s="159">
        <v>6215</v>
      </c>
      <c r="AC47" s="159">
        <v>22185</v>
      </c>
      <c r="AD47" s="159">
        <v>5070</v>
      </c>
      <c r="AE47" s="159">
        <v>840</v>
      </c>
      <c r="AF47" s="161">
        <v>210</v>
      </c>
      <c r="AG47" s="203">
        <v>0</v>
      </c>
      <c r="AH47" s="203">
        <v>0</v>
      </c>
      <c r="AI47" s="203">
        <v>0</v>
      </c>
      <c r="AJ47" s="203">
        <v>0</v>
      </c>
      <c r="AK47" s="203">
        <v>0</v>
      </c>
      <c r="AL47" s="203">
        <v>0</v>
      </c>
      <c r="AM47" s="203">
        <v>2100</v>
      </c>
      <c r="AN47" s="203">
        <v>9626</v>
      </c>
      <c r="AO47" s="203">
        <v>11685</v>
      </c>
      <c r="AP47" s="203">
        <v>3570</v>
      </c>
      <c r="AQ47" s="203">
        <v>1435</v>
      </c>
      <c r="AR47" s="203">
        <v>6104</v>
      </c>
      <c r="AS47" s="160">
        <v>0</v>
      </c>
      <c r="AT47" s="203">
        <v>0</v>
      </c>
      <c r="AU47" s="203">
        <v>0</v>
      </c>
      <c r="AV47" s="203">
        <v>0</v>
      </c>
      <c r="AW47" s="203">
        <v>0</v>
      </c>
      <c r="AX47" s="203">
        <v>0</v>
      </c>
      <c r="AY47" s="203">
        <v>4350</v>
      </c>
      <c r="AZ47" s="203">
        <v>8160</v>
      </c>
      <c r="BA47" s="203">
        <v>13421</v>
      </c>
      <c r="BB47" s="203">
        <v>1470</v>
      </c>
      <c r="BC47" s="203">
        <v>1015</v>
      </c>
      <c r="BD47" s="203">
        <v>6104</v>
      </c>
      <c r="BE47" s="162">
        <v>9141460.1688946206</v>
      </c>
      <c r="BF47" s="203">
        <v>4</v>
      </c>
      <c r="BG47" s="203">
        <v>524</v>
      </c>
      <c r="BH47" s="217">
        <v>17445.534673463015</v>
      </c>
      <c r="BI47" s="217">
        <v>1025224.8993339404</v>
      </c>
      <c r="BJ47" s="203">
        <v>3</v>
      </c>
      <c r="BK47" s="203">
        <v>90</v>
      </c>
      <c r="BL47" s="217">
        <v>11391.387770377116</v>
      </c>
      <c r="BM47" s="217">
        <v>0</v>
      </c>
      <c r="BN47" s="203">
        <v>0</v>
      </c>
      <c r="BO47" s="203">
        <v>0</v>
      </c>
      <c r="BP47" s="307" t="s">
        <v>687</v>
      </c>
    </row>
    <row r="48" spans="1:68" x14ac:dyDescent="0.45">
      <c r="A48">
        <v>881</v>
      </c>
      <c r="B48" t="s">
        <v>43</v>
      </c>
      <c r="C48" s="238" t="s">
        <v>567</v>
      </c>
      <c r="D48" s="280">
        <v>284669714.81999999</v>
      </c>
      <c r="E48" s="203">
        <v>101600</v>
      </c>
      <c r="F48" s="282">
        <v>120989</v>
      </c>
      <c r="G48" s="286">
        <v>0.19083661417322834</v>
      </c>
      <c r="H48" s="160">
        <v>114730</v>
      </c>
      <c r="I48" s="159">
        <v>127093</v>
      </c>
      <c r="J48" s="159">
        <v>2885</v>
      </c>
      <c r="K48" s="159">
        <v>1220</v>
      </c>
      <c r="L48" s="159">
        <v>10630</v>
      </c>
      <c r="M48" s="171">
        <v>8.15386986087452E-2</v>
      </c>
      <c r="N48" s="270">
        <v>117527</v>
      </c>
      <c r="O48" s="273">
        <v>118183</v>
      </c>
      <c r="P48" s="274">
        <v>5.5816961208913704E-3</v>
      </c>
      <c r="Q48" s="273">
        <v>120428</v>
      </c>
      <c r="R48" s="278">
        <v>2.4683689705344299E-2</v>
      </c>
      <c r="S48" s="265">
        <v>89.4</v>
      </c>
      <c r="T48" s="265">
        <v>6.2</v>
      </c>
      <c r="U48" s="265">
        <v>1.9</v>
      </c>
      <c r="V48" s="265">
        <v>97.5</v>
      </c>
      <c r="W48" s="160">
        <v>354</v>
      </c>
      <c r="X48" s="159">
        <v>1119</v>
      </c>
      <c r="Y48" s="159">
        <v>120</v>
      </c>
      <c r="Z48" s="159">
        <v>0</v>
      </c>
      <c r="AA48" s="159">
        <v>840</v>
      </c>
      <c r="AB48" s="159">
        <v>19723</v>
      </c>
      <c r="AC48" s="159">
        <v>87687</v>
      </c>
      <c r="AD48" s="159">
        <v>7785</v>
      </c>
      <c r="AE48" s="159">
        <v>1225</v>
      </c>
      <c r="AF48" s="161">
        <v>420</v>
      </c>
      <c r="AG48" s="203">
        <v>89</v>
      </c>
      <c r="AH48" s="203">
        <v>267</v>
      </c>
      <c r="AI48" s="203">
        <v>675</v>
      </c>
      <c r="AJ48" s="203">
        <v>390</v>
      </c>
      <c r="AK48" s="203">
        <v>112</v>
      </c>
      <c r="AL48" s="203">
        <v>900</v>
      </c>
      <c r="AM48" s="203">
        <v>7339</v>
      </c>
      <c r="AN48" s="203">
        <v>9320</v>
      </c>
      <c r="AO48" s="203">
        <v>68025</v>
      </c>
      <c r="AP48" s="203">
        <v>11183</v>
      </c>
      <c r="AQ48" s="203">
        <v>8272</v>
      </c>
      <c r="AR48" s="203">
        <v>12701</v>
      </c>
      <c r="AS48" s="160">
        <v>332</v>
      </c>
      <c r="AT48" s="203">
        <v>0</v>
      </c>
      <c r="AU48" s="203">
        <v>804</v>
      </c>
      <c r="AV48" s="203">
        <v>285</v>
      </c>
      <c r="AW48" s="203">
        <v>112</v>
      </c>
      <c r="AX48" s="203">
        <v>900</v>
      </c>
      <c r="AY48" s="203">
        <v>8324</v>
      </c>
      <c r="AZ48" s="203">
        <v>14358</v>
      </c>
      <c r="BA48" s="203">
        <v>58802</v>
      </c>
      <c r="BB48" s="203">
        <v>12336</v>
      </c>
      <c r="BC48" s="203">
        <v>10319</v>
      </c>
      <c r="BD48" s="203">
        <v>12701</v>
      </c>
      <c r="BE48" s="162">
        <v>58524032.192401871</v>
      </c>
      <c r="BF48" s="203">
        <v>36</v>
      </c>
      <c r="BG48" s="203">
        <v>4055</v>
      </c>
      <c r="BH48" s="217">
        <v>14432.560343379006</v>
      </c>
      <c r="BI48" s="217">
        <v>4664132.5556413466</v>
      </c>
      <c r="BJ48" s="203">
        <v>23</v>
      </c>
      <c r="BK48" s="203">
        <v>720</v>
      </c>
      <c r="BL48" s="217">
        <v>6477.9618828352041</v>
      </c>
      <c r="BM48" s="217">
        <v>16869739.823730849</v>
      </c>
      <c r="BN48" s="203">
        <v>2</v>
      </c>
      <c r="BO48" s="203">
        <v>840</v>
      </c>
      <c r="BP48" s="307">
        <v>20083.023599679582</v>
      </c>
    </row>
    <row r="49" spans="1:68" x14ac:dyDescent="0.45">
      <c r="A49">
        <v>390</v>
      </c>
      <c r="B49" t="s">
        <v>44</v>
      </c>
      <c r="C49" s="238" t="s">
        <v>572</v>
      </c>
      <c r="D49" s="280">
        <v>20289947.439999998</v>
      </c>
      <c r="E49" s="203">
        <v>13527</v>
      </c>
      <c r="F49" s="282">
        <v>15079</v>
      </c>
      <c r="G49" s="286">
        <v>0.11473349597102092</v>
      </c>
      <c r="H49" s="160">
        <v>15695</v>
      </c>
      <c r="I49" s="159">
        <v>17153</v>
      </c>
      <c r="J49" s="159">
        <v>9</v>
      </c>
      <c r="K49" s="159">
        <v>10</v>
      </c>
      <c r="L49" s="159">
        <v>2090</v>
      </c>
      <c r="M49" s="171">
        <v>0.121964261969884</v>
      </c>
      <c r="N49" s="270">
        <v>14956</v>
      </c>
      <c r="O49" s="273">
        <v>14855</v>
      </c>
      <c r="P49" s="274">
        <v>-6.7531425514843497E-3</v>
      </c>
      <c r="Q49" s="273">
        <v>15409</v>
      </c>
      <c r="R49" s="278">
        <v>3.0288847285370402E-2</v>
      </c>
      <c r="S49" s="265">
        <v>92</v>
      </c>
      <c r="T49" s="265">
        <v>4.5999999999999996</v>
      </c>
      <c r="U49" s="265">
        <v>1.5</v>
      </c>
      <c r="V49" s="265">
        <v>98.1</v>
      </c>
      <c r="W49" s="160">
        <v>0</v>
      </c>
      <c r="X49" s="159">
        <v>44</v>
      </c>
      <c r="Y49" s="159">
        <v>25</v>
      </c>
      <c r="Z49" s="159">
        <v>0</v>
      </c>
      <c r="AA49" s="159">
        <v>0</v>
      </c>
      <c r="AB49" s="159">
        <v>5779</v>
      </c>
      <c r="AC49" s="159">
        <v>10075</v>
      </c>
      <c r="AD49" s="159">
        <v>1230</v>
      </c>
      <c r="AE49" s="159">
        <v>0</v>
      </c>
      <c r="AF49" s="161">
        <v>0</v>
      </c>
      <c r="AG49" s="203">
        <v>0</v>
      </c>
      <c r="AH49" s="203">
        <v>0</v>
      </c>
      <c r="AI49" s="203">
        <v>44</v>
      </c>
      <c r="AJ49" s="203">
        <v>0</v>
      </c>
      <c r="AK49" s="203">
        <v>25</v>
      </c>
      <c r="AL49" s="203">
        <v>0</v>
      </c>
      <c r="AM49" s="203">
        <v>3486</v>
      </c>
      <c r="AN49" s="203">
        <v>888</v>
      </c>
      <c r="AO49" s="203">
        <v>10257</v>
      </c>
      <c r="AP49" s="203">
        <v>898</v>
      </c>
      <c r="AQ49" s="203">
        <v>1116</v>
      </c>
      <c r="AR49" s="203">
        <v>439</v>
      </c>
      <c r="AS49" s="160">
        <v>0</v>
      </c>
      <c r="AT49" s="203">
        <v>0</v>
      </c>
      <c r="AU49" s="203">
        <v>44</v>
      </c>
      <c r="AV49" s="203">
        <v>0</v>
      </c>
      <c r="AW49" s="203">
        <v>25</v>
      </c>
      <c r="AX49" s="203">
        <v>0</v>
      </c>
      <c r="AY49" s="203">
        <v>3370</v>
      </c>
      <c r="AZ49" s="203">
        <v>2877</v>
      </c>
      <c r="BA49" s="203">
        <v>8564</v>
      </c>
      <c r="BB49" s="203">
        <v>1341</v>
      </c>
      <c r="BC49" s="203">
        <v>493</v>
      </c>
      <c r="BD49" s="203">
        <v>439</v>
      </c>
      <c r="BE49" s="162">
        <v>5535675.7792129843</v>
      </c>
      <c r="BF49" s="203">
        <v>2</v>
      </c>
      <c r="BG49" s="203">
        <v>308</v>
      </c>
      <c r="BH49" s="217">
        <v>17972.973309133067</v>
      </c>
      <c r="BI49" s="217">
        <v>0</v>
      </c>
      <c r="BJ49" s="203">
        <v>0</v>
      </c>
      <c r="BK49" s="203">
        <v>0</v>
      </c>
      <c r="BL49" s="217" t="s">
        <v>687</v>
      </c>
      <c r="BM49" s="217">
        <v>0</v>
      </c>
      <c r="BN49" s="203">
        <v>0</v>
      </c>
      <c r="BO49" s="203">
        <v>0</v>
      </c>
      <c r="BP49" s="307" t="s">
        <v>687</v>
      </c>
    </row>
    <row r="50" spans="1:68" x14ac:dyDescent="0.45">
      <c r="A50">
        <v>916</v>
      </c>
      <c r="B50" t="s">
        <v>45</v>
      </c>
      <c r="C50" s="238" t="s">
        <v>566</v>
      </c>
      <c r="D50" s="280">
        <v>120948065.31999999</v>
      </c>
      <c r="E50" s="203">
        <v>41592</v>
      </c>
      <c r="F50" s="282">
        <v>49758</v>
      </c>
      <c r="G50" s="286">
        <v>0.19633583381419503</v>
      </c>
      <c r="H50" s="160">
        <v>46562</v>
      </c>
      <c r="I50" s="159">
        <v>51957</v>
      </c>
      <c r="J50" s="159">
        <v>2434</v>
      </c>
      <c r="K50" s="159">
        <v>500</v>
      </c>
      <c r="L50" s="159">
        <v>5010</v>
      </c>
      <c r="M50" s="171">
        <v>9.2396096536365893E-2</v>
      </c>
      <c r="N50" s="270">
        <v>47518</v>
      </c>
      <c r="O50" s="273">
        <v>47639</v>
      </c>
      <c r="P50" s="274">
        <v>2.5464034681594301E-3</v>
      </c>
      <c r="Q50" s="273">
        <v>48177</v>
      </c>
      <c r="R50" s="278">
        <v>1.3868428805926199E-2</v>
      </c>
      <c r="S50" s="265">
        <v>91.3</v>
      </c>
      <c r="T50" s="265">
        <v>5.0999999999999996</v>
      </c>
      <c r="U50" s="265">
        <v>1.3</v>
      </c>
      <c r="V50" s="265">
        <v>97.7</v>
      </c>
      <c r="W50" s="160">
        <v>111</v>
      </c>
      <c r="X50" s="159">
        <v>231</v>
      </c>
      <c r="Y50" s="159">
        <v>81</v>
      </c>
      <c r="Z50" s="159">
        <v>0</v>
      </c>
      <c r="AA50" s="159">
        <v>0</v>
      </c>
      <c r="AB50" s="159">
        <v>10697</v>
      </c>
      <c r="AC50" s="159">
        <v>32199</v>
      </c>
      <c r="AD50" s="159">
        <v>5624</v>
      </c>
      <c r="AE50" s="159">
        <v>1310</v>
      </c>
      <c r="AF50" s="161">
        <v>630</v>
      </c>
      <c r="AG50" s="203">
        <v>36</v>
      </c>
      <c r="AH50" s="203">
        <v>30</v>
      </c>
      <c r="AI50" s="203">
        <v>302</v>
      </c>
      <c r="AJ50" s="203">
        <v>0</v>
      </c>
      <c r="AK50" s="203">
        <v>0</v>
      </c>
      <c r="AL50" s="203">
        <v>55</v>
      </c>
      <c r="AM50" s="203">
        <v>4283</v>
      </c>
      <c r="AN50" s="203">
        <v>6882</v>
      </c>
      <c r="AO50" s="203">
        <v>28248</v>
      </c>
      <c r="AP50" s="203">
        <v>2855</v>
      </c>
      <c r="AQ50" s="203">
        <v>2915</v>
      </c>
      <c r="AR50" s="203">
        <v>5277</v>
      </c>
      <c r="AS50" s="160">
        <v>15</v>
      </c>
      <c r="AT50" s="203">
        <v>30</v>
      </c>
      <c r="AU50" s="203">
        <v>206</v>
      </c>
      <c r="AV50" s="203">
        <v>57</v>
      </c>
      <c r="AW50" s="203">
        <v>60</v>
      </c>
      <c r="AX50" s="203">
        <v>55</v>
      </c>
      <c r="AY50" s="203">
        <v>3842</v>
      </c>
      <c r="AZ50" s="203">
        <v>6595</v>
      </c>
      <c r="BA50" s="203">
        <v>27096</v>
      </c>
      <c r="BB50" s="203">
        <v>2833</v>
      </c>
      <c r="BC50" s="203">
        <v>4817</v>
      </c>
      <c r="BD50" s="203">
        <v>5277</v>
      </c>
      <c r="BE50" s="162">
        <v>13400186.622611757</v>
      </c>
      <c r="BF50" s="203">
        <v>8</v>
      </c>
      <c r="BG50" s="203">
        <v>739</v>
      </c>
      <c r="BH50" s="217">
        <v>18132.864171328496</v>
      </c>
      <c r="BI50" s="217">
        <v>4729600.8801660165</v>
      </c>
      <c r="BJ50" s="203">
        <v>23</v>
      </c>
      <c r="BK50" s="203">
        <v>460</v>
      </c>
      <c r="BL50" s="217">
        <v>10281.741043839167</v>
      </c>
      <c r="BM50" s="217">
        <v>0</v>
      </c>
      <c r="BN50" s="203">
        <v>0</v>
      </c>
      <c r="BO50" s="203">
        <v>0</v>
      </c>
      <c r="BP50" s="307" t="s">
        <v>687</v>
      </c>
    </row>
    <row r="51" spans="1:68" x14ac:dyDescent="0.45">
      <c r="A51">
        <v>203</v>
      </c>
      <c r="B51" t="s">
        <v>46</v>
      </c>
      <c r="C51" s="238" t="s">
        <v>564</v>
      </c>
      <c r="D51" s="280">
        <v>155796069.06</v>
      </c>
      <c r="E51" s="203">
        <v>18771</v>
      </c>
      <c r="F51" s="282">
        <v>25051</v>
      </c>
      <c r="G51" s="286">
        <v>0.33455862767034256</v>
      </c>
      <c r="H51" s="160">
        <v>20631</v>
      </c>
      <c r="I51" s="159">
        <v>26823</v>
      </c>
      <c r="J51" s="159">
        <v>120</v>
      </c>
      <c r="K51" s="159">
        <v>420</v>
      </c>
      <c r="L51" s="159">
        <v>3150</v>
      </c>
      <c r="M51" s="171">
        <v>0.11339177286785</v>
      </c>
      <c r="N51" s="270">
        <v>24560</v>
      </c>
      <c r="O51" s="273">
        <v>24938</v>
      </c>
      <c r="P51" s="274">
        <v>1.5390879478827399E-2</v>
      </c>
      <c r="Q51" s="273">
        <v>25647</v>
      </c>
      <c r="R51" s="278">
        <v>4.4258957654723097E-2</v>
      </c>
      <c r="S51" s="265">
        <v>86.1</v>
      </c>
      <c r="T51" s="265">
        <v>6.4</v>
      </c>
      <c r="U51" s="265">
        <v>2.6</v>
      </c>
      <c r="V51" s="265">
        <v>95.2</v>
      </c>
      <c r="W51" s="160">
        <v>0</v>
      </c>
      <c r="X51" s="159">
        <v>540</v>
      </c>
      <c r="Y51" s="159">
        <v>0</v>
      </c>
      <c r="Z51" s="159">
        <v>0</v>
      </c>
      <c r="AA51" s="159">
        <v>0</v>
      </c>
      <c r="AB51" s="159">
        <v>7281</v>
      </c>
      <c r="AC51" s="159">
        <v>18966</v>
      </c>
      <c r="AD51" s="159">
        <v>240</v>
      </c>
      <c r="AE51" s="159">
        <v>636</v>
      </c>
      <c r="AF51" s="161">
        <v>0</v>
      </c>
      <c r="AG51" s="203">
        <v>0</v>
      </c>
      <c r="AH51" s="203">
        <v>0</v>
      </c>
      <c r="AI51" s="203">
        <v>360</v>
      </c>
      <c r="AJ51" s="203">
        <v>180</v>
      </c>
      <c r="AK51" s="203">
        <v>0</v>
      </c>
      <c r="AL51" s="203">
        <v>0</v>
      </c>
      <c r="AM51" s="203">
        <v>840</v>
      </c>
      <c r="AN51" s="203">
        <v>4713</v>
      </c>
      <c r="AO51" s="203">
        <v>15489</v>
      </c>
      <c r="AP51" s="203">
        <v>3981</v>
      </c>
      <c r="AQ51" s="203">
        <v>2100</v>
      </c>
      <c r="AR51" s="203">
        <v>0</v>
      </c>
      <c r="AS51" s="160">
        <v>0</v>
      </c>
      <c r="AT51" s="203">
        <v>0</v>
      </c>
      <c r="AU51" s="203">
        <v>540</v>
      </c>
      <c r="AV51" s="203">
        <v>0</v>
      </c>
      <c r="AW51" s="203">
        <v>0</v>
      </c>
      <c r="AX51" s="203">
        <v>0</v>
      </c>
      <c r="AY51" s="203">
        <v>3780</v>
      </c>
      <c r="AZ51" s="203">
        <v>4929</v>
      </c>
      <c r="BA51" s="203">
        <v>14212</v>
      </c>
      <c r="BB51" s="203">
        <v>3362</v>
      </c>
      <c r="BC51" s="203">
        <v>840</v>
      </c>
      <c r="BD51" s="203">
        <v>0</v>
      </c>
      <c r="BE51" s="162">
        <v>4795984.9158094022</v>
      </c>
      <c r="BF51" s="203">
        <v>3</v>
      </c>
      <c r="BG51" s="203">
        <v>260</v>
      </c>
      <c r="BH51" s="217">
        <v>18446.095830036164</v>
      </c>
      <c r="BI51" s="217">
        <v>1318887.8123467893</v>
      </c>
      <c r="BJ51" s="203">
        <v>3</v>
      </c>
      <c r="BK51" s="203">
        <v>90</v>
      </c>
      <c r="BL51" s="217">
        <v>14654.309026075436</v>
      </c>
      <c r="BM51" s="217">
        <v>0</v>
      </c>
      <c r="BN51" s="203">
        <v>0</v>
      </c>
      <c r="BO51" s="203">
        <v>0</v>
      </c>
      <c r="BP51" s="307" t="s">
        <v>687</v>
      </c>
    </row>
    <row r="52" spans="1:68" x14ac:dyDescent="0.45">
      <c r="A52">
        <v>204</v>
      </c>
      <c r="B52" t="s">
        <v>47</v>
      </c>
      <c r="C52" s="238" t="s">
        <v>571</v>
      </c>
      <c r="D52" s="280">
        <v>47590725.320000008</v>
      </c>
      <c r="E52" s="203">
        <v>15866</v>
      </c>
      <c r="F52" s="282">
        <v>17495</v>
      </c>
      <c r="G52" s="286">
        <v>0.10267238119248707</v>
      </c>
      <c r="H52" s="160">
        <v>17648</v>
      </c>
      <c r="I52" s="159">
        <v>21990</v>
      </c>
      <c r="J52" s="159">
        <v>0</v>
      </c>
      <c r="K52" s="159">
        <v>0</v>
      </c>
      <c r="L52" s="159">
        <v>4500</v>
      </c>
      <c r="M52" s="171">
        <v>0.20448905228504499</v>
      </c>
      <c r="N52" s="270">
        <v>18336</v>
      </c>
      <c r="O52" s="273">
        <v>18370</v>
      </c>
      <c r="P52" s="274">
        <v>1.8542757417103E-3</v>
      </c>
      <c r="Q52" s="273">
        <v>19121</v>
      </c>
      <c r="R52" s="278">
        <v>4.2811954624781899E-2</v>
      </c>
      <c r="S52" s="265">
        <v>86.8</v>
      </c>
      <c r="T52" s="265">
        <v>7.3</v>
      </c>
      <c r="U52" s="265">
        <v>2.2999999999999998</v>
      </c>
      <c r="V52" s="265">
        <v>96.5</v>
      </c>
      <c r="W52" s="160">
        <v>43</v>
      </c>
      <c r="X52" s="159">
        <v>24</v>
      </c>
      <c r="Y52" s="159">
        <v>0</v>
      </c>
      <c r="Z52" s="159">
        <v>0</v>
      </c>
      <c r="AA52" s="159">
        <v>0</v>
      </c>
      <c r="AB52" s="159">
        <v>8816</v>
      </c>
      <c r="AC52" s="159">
        <v>11698</v>
      </c>
      <c r="AD52" s="159">
        <v>1260</v>
      </c>
      <c r="AE52" s="159">
        <v>0</v>
      </c>
      <c r="AF52" s="161">
        <v>0</v>
      </c>
      <c r="AG52" s="203">
        <v>24</v>
      </c>
      <c r="AH52" s="203">
        <v>0</v>
      </c>
      <c r="AI52" s="203">
        <v>0</v>
      </c>
      <c r="AJ52" s="203">
        <v>43</v>
      </c>
      <c r="AK52" s="203">
        <v>0</v>
      </c>
      <c r="AL52" s="203">
        <v>0</v>
      </c>
      <c r="AM52" s="203">
        <v>1781</v>
      </c>
      <c r="AN52" s="203">
        <v>2939</v>
      </c>
      <c r="AO52" s="203">
        <v>8800</v>
      </c>
      <c r="AP52" s="203">
        <v>3131</v>
      </c>
      <c r="AQ52" s="203">
        <v>3093</v>
      </c>
      <c r="AR52" s="203">
        <v>2030</v>
      </c>
      <c r="AS52" s="160">
        <v>24</v>
      </c>
      <c r="AT52" s="203">
        <v>0</v>
      </c>
      <c r="AU52" s="203">
        <v>0</v>
      </c>
      <c r="AV52" s="203">
        <v>43</v>
      </c>
      <c r="AW52" s="203">
        <v>0</v>
      </c>
      <c r="AX52" s="203">
        <v>0</v>
      </c>
      <c r="AY52" s="203">
        <v>1161</v>
      </c>
      <c r="AZ52" s="203">
        <v>1807</v>
      </c>
      <c r="BA52" s="203">
        <v>11392</v>
      </c>
      <c r="BB52" s="203">
        <v>3422</v>
      </c>
      <c r="BC52" s="203">
        <v>1962</v>
      </c>
      <c r="BD52" s="203">
        <v>2030</v>
      </c>
      <c r="BE52" s="162">
        <v>2863247.8632478626</v>
      </c>
      <c r="BF52" s="203">
        <v>1</v>
      </c>
      <c r="BG52" s="203">
        <v>210</v>
      </c>
      <c r="BH52" s="217">
        <v>13634.513634513631</v>
      </c>
      <c r="BI52" s="217">
        <v>0</v>
      </c>
      <c r="BJ52" s="203">
        <v>0</v>
      </c>
      <c r="BK52" s="203">
        <v>0</v>
      </c>
      <c r="BL52" s="217" t="s">
        <v>687</v>
      </c>
      <c r="BM52" s="217">
        <v>12247405.299145296</v>
      </c>
      <c r="BN52" s="203">
        <v>1</v>
      </c>
      <c r="BO52" s="203">
        <v>630</v>
      </c>
      <c r="BP52" s="307">
        <v>19440.325871659199</v>
      </c>
    </row>
    <row r="53" spans="1:68" x14ac:dyDescent="0.45">
      <c r="A53">
        <v>876</v>
      </c>
      <c r="B53" t="s">
        <v>48</v>
      </c>
      <c r="C53" s="238" t="s">
        <v>569</v>
      </c>
      <c r="D53" s="280">
        <v>6475502.8199999994</v>
      </c>
      <c r="E53" s="203">
        <v>9684</v>
      </c>
      <c r="F53" s="282">
        <v>10661</v>
      </c>
      <c r="G53" s="286">
        <v>0.10088806278397357</v>
      </c>
      <c r="H53" s="160">
        <v>11165</v>
      </c>
      <c r="I53" s="159">
        <v>11631</v>
      </c>
      <c r="J53" s="159">
        <v>10</v>
      </c>
      <c r="K53" s="159">
        <v>0</v>
      </c>
      <c r="L53" s="159">
        <v>1400</v>
      </c>
      <c r="M53" s="171">
        <v>0.116076609756807</v>
      </c>
      <c r="N53" s="270">
        <v>10730</v>
      </c>
      <c r="O53" s="273">
        <v>10733</v>
      </c>
      <c r="P53" s="274">
        <v>2.7958993476234902E-4</v>
      </c>
      <c r="Q53" s="273">
        <v>10892</v>
      </c>
      <c r="R53" s="278">
        <v>1.5097856477166801E-2</v>
      </c>
      <c r="S53" s="265">
        <v>90.4</v>
      </c>
      <c r="T53" s="265">
        <v>6.1</v>
      </c>
      <c r="U53" s="265">
        <v>1</v>
      </c>
      <c r="V53" s="265">
        <v>97.6</v>
      </c>
      <c r="W53" s="160">
        <v>70</v>
      </c>
      <c r="X53" s="159">
        <v>90</v>
      </c>
      <c r="Y53" s="159">
        <v>0</v>
      </c>
      <c r="Z53" s="159">
        <v>0</v>
      </c>
      <c r="AA53" s="159">
        <v>0</v>
      </c>
      <c r="AB53" s="159">
        <v>2173</v>
      </c>
      <c r="AC53" s="159">
        <v>6708</v>
      </c>
      <c r="AD53" s="159">
        <v>1890</v>
      </c>
      <c r="AE53" s="159">
        <v>700</v>
      </c>
      <c r="AF53" s="161">
        <v>0</v>
      </c>
      <c r="AG53" s="203">
        <v>0</v>
      </c>
      <c r="AH53" s="203">
        <v>0</v>
      </c>
      <c r="AI53" s="203">
        <v>90</v>
      </c>
      <c r="AJ53" s="203">
        <v>0</v>
      </c>
      <c r="AK53" s="203">
        <v>70</v>
      </c>
      <c r="AL53" s="203">
        <v>0</v>
      </c>
      <c r="AM53" s="203">
        <v>752</v>
      </c>
      <c r="AN53" s="203">
        <v>1225</v>
      </c>
      <c r="AO53" s="203">
        <v>7056</v>
      </c>
      <c r="AP53" s="203">
        <v>945</v>
      </c>
      <c r="AQ53" s="203">
        <v>1260</v>
      </c>
      <c r="AR53" s="203">
        <v>233</v>
      </c>
      <c r="AS53" s="160">
        <v>0</v>
      </c>
      <c r="AT53" s="203">
        <v>0</v>
      </c>
      <c r="AU53" s="203">
        <v>90</v>
      </c>
      <c r="AV53" s="203">
        <v>70</v>
      </c>
      <c r="AW53" s="203">
        <v>0</v>
      </c>
      <c r="AX53" s="203">
        <v>0</v>
      </c>
      <c r="AY53" s="203">
        <v>787</v>
      </c>
      <c r="AZ53" s="203">
        <v>1050</v>
      </c>
      <c r="BA53" s="203">
        <v>6601</v>
      </c>
      <c r="BB53" s="203">
        <v>1680</v>
      </c>
      <c r="BC53" s="203">
        <v>1120</v>
      </c>
      <c r="BD53" s="203">
        <v>233</v>
      </c>
      <c r="BE53" s="162">
        <v>0</v>
      </c>
      <c r="BF53" s="203">
        <v>0</v>
      </c>
      <c r="BG53" s="203">
        <v>0</v>
      </c>
      <c r="BH53" s="217" t="s">
        <v>687</v>
      </c>
      <c r="BI53" s="217">
        <v>0</v>
      </c>
      <c r="BJ53" s="203">
        <v>0</v>
      </c>
      <c r="BK53" s="203">
        <v>0</v>
      </c>
      <c r="BL53" s="217" t="s">
        <v>687</v>
      </c>
      <c r="BM53" s="217">
        <v>0</v>
      </c>
      <c r="BN53" s="203">
        <v>0</v>
      </c>
      <c r="BO53" s="203">
        <v>0</v>
      </c>
      <c r="BP53" s="307" t="s">
        <v>687</v>
      </c>
    </row>
    <row r="54" spans="1:68" x14ac:dyDescent="0.45">
      <c r="A54">
        <v>205</v>
      </c>
      <c r="B54" t="s">
        <v>49</v>
      </c>
      <c r="C54" s="238" t="s">
        <v>571</v>
      </c>
      <c r="D54" s="280">
        <v>65121935.779999986</v>
      </c>
      <c r="E54" s="203">
        <v>8781</v>
      </c>
      <c r="F54" s="282">
        <v>9879</v>
      </c>
      <c r="G54" s="286">
        <v>0.12504270584215921</v>
      </c>
      <c r="H54" s="160">
        <v>9157</v>
      </c>
      <c r="I54" s="159">
        <v>11595</v>
      </c>
      <c r="J54" s="159">
        <v>840</v>
      </c>
      <c r="K54" s="159">
        <v>0</v>
      </c>
      <c r="L54" s="159">
        <v>3060</v>
      </c>
      <c r="M54" s="171">
        <v>0.236317254174397</v>
      </c>
      <c r="N54" s="270">
        <v>9852</v>
      </c>
      <c r="O54" s="273">
        <v>9747</v>
      </c>
      <c r="P54" s="274">
        <v>-1.06577344701583E-2</v>
      </c>
      <c r="Q54" s="273">
        <v>9969</v>
      </c>
      <c r="R54" s="278">
        <v>1.18757612667479E-2</v>
      </c>
      <c r="S54" s="265">
        <v>75.2</v>
      </c>
      <c r="T54" s="265">
        <v>11.1</v>
      </c>
      <c r="U54" s="265">
        <v>4.9000000000000004</v>
      </c>
      <c r="V54" s="265">
        <v>91.2</v>
      </c>
      <c r="W54" s="160">
        <v>46</v>
      </c>
      <c r="X54" s="159">
        <v>0</v>
      </c>
      <c r="Y54" s="159">
        <v>0</v>
      </c>
      <c r="Z54" s="159">
        <v>0</v>
      </c>
      <c r="AA54" s="159">
        <v>0</v>
      </c>
      <c r="AB54" s="159">
        <v>4610</v>
      </c>
      <c r="AC54" s="159">
        <v>7020</v>
      </c>
      <c r="AD54" s="159">
        <v>420</v>
      </c>
      <c r="AE54" s="159">
        <v>0</v>
      </c>
      <c r="AF54" s="161">
        <v>0</v>
      </c>
      <c r="AG54" s="203">
        <v>20</v>
      </c>
      <c r="AH54" s="203">
        <v>0</v>
      </c>
      <c r="AI54" s="203">
        <v>26</v>
      </c>
      <c r="AJ54" s="203">
        <v>0</v>
      </c>
      <c r="AK54" s="203">
        <v>0</v>
      </c>
      <c r="AL54" s="203">
        <v>0</v>
      </c>
      <c r="AM54" s="203">
        <v>3130</v>
      </c>
      <c r="AN54" s="203">
        <v>1710</v>
      </c>
      <c r="AO54" s="203">
        <v>5530</v>
      </c>
      <c r="AP54" s="203">
        <v>0</v>
      </c>
      <c r="AQ54" s="203">
        <v>0</v>
      </c>
      <c r="AR54" s="203">
        <v>1680</v>
      </c>
      <c r="AS54" s="160">
        <v>46</v>
      </c>
      <c r="AT54" s="203">
        <v>0</v>
      </c>
      <c r="AU54" s="203">
        <v>0</v>
      </c>
      <c r="AV54" s="203">
        <v>0</v>
      </c>
      <c r="AW54" s="203">
        <v>0</v>
      </c>
      <c r="AX54" s="203">
        <v>0</v>
      </c>
      <c r="AY54" s="203">
        <v>2789</v>
      </c>
      <c r="AZ54" s="203">
        <v>2745</v>
      </c>
      <c r="BA54" s="203">
        <v>4545</v>
      </c>
      <c r="BB54" s="203">
        <v>291</v>
      </c>
      <c r="BC54" s="203">
        <v>0</v>
      </c>
      <c r="BD54" s="203">
        <v>1680</v>
      </c>
      <c r="BE54" s="162">
        <v>4310837.8610237334</v>
      </c>
      <c r="BF54" s="203">
        <v>1</v>
      </c>
      <c r="BG54" s="203">
        <v>210</v>
      </c>
      <c r="BH54" s="217">
        <v>20527.799338208253</v>
      </c>
      <c r="BI54" s="217">
        <v>0</v>
      </c>
      <c r="BJ54" s="203">
        <v>0</v>
      </c>
      <c r="BK54" s="203">
        <v>0</v>
      </c>
      <c r="BL54" s="217" t="s">
        <v>687</v>
      </c>
      <c r="BM54" s="217">
        <v>0</v>
      </c>
      <c r="BN54" s="203">
        <v>0</v>
      </c>
      <c r="BO54" s="203">
        <v>0</v>
      </c>
      <c r="BP54" s="307" t="s">
        <v>687</v>
      </c>
    </row>
    <row r="55" spans="1:68" x14ac:dyDescent="0.45">
      <c r="A55">
        <v>850</v>
      </c>
      <c r="B55" t="s">
        <v>50</v>
      </c>
      <c r="C55" s="238" t="s">
        <v>570</v>
      </c>
      <c r="D55" s="280">
        <v>272060853.66999996</v>
      </c>
      <c r="E55" s="203">
        <v>93928</v>
      </c>
      <c r="F55" s="282">
        <v>108574</v>
      </c>
      <c r="G55" s="286">
        <v>0.15592794480878971</v>
      </c>
      <c r="H55" s="160">
        <v>102532</v>
      </c>
      <c r="I55" s="159">
        <v>113669</v>
      </c>
      <c r="J55" s="159">
        <v>2240</v>
      </c>
      <c r="K55" s="159">
        <v>1440</v>
      </c>
      <c r="L55" s="159">
        <v>9890</v>
      </c>
      <c r="M55" s="171">
        <v>8.4491052884614296E-2</v>
      </c>
      <c r="N55" s="270">
        <v>106163</v>
      </c>
      <c r="O55" s="273">
        <v>106959</v>
      </c>
      <c r="P55" s="274">
        <v>7.4979041662349404E-3</v>
      </c>
      <c r="Q55" s="273">
        <v>109480</v>
      </c>
      <c r="R55" s="278">
        <v>3.12444071851775E-2</v>
      </c>
      <c r="S55" s="265">
        <v>92.2</v>
      </c>
      <c r="T55" s="265">
        <v>5</v>
      </c>
      <c r="U55" s="265">
        <v>1.2</v>
      </c>
      <c r="V55" s="265">
        <v>98.5</v>
      </c>
      <c r="W55" s="160">
        <v>216</v>
      </c>
      <c r="X55" s="159">
        <v>1614</v>
      </c>
      <c r="Y55" s="159">
        <v>0</v>
      </c>
      <c r="Z55" s="159">
        <v>0</v>
      </c>
      <c r="AA55" s="159">
        <v>0</v>
      </c>
      <c r="AB55" s="159">
        <v>28158</v>
      </c>
      <c r="AC55" s="159">
        <v>75288</v>
      </c>
      <c r="AD55" s="159">
        <v>8064</v>
      </c>
      <c r="AE55" s="159">
        <v>569</v>
      </c>
      <c r="AF55" s="161">
        <v>0</v>
      </c>
      <c r="AG55" s="203">
        <v>212</v>
      </c>
      <c r="AH55" s="203">
        <v>46</v>
      </c>
      <c r="AI55" s="203">
        <v>743</v>
      </c>
      <c r="AJ55" s="203">
        <v>541</v>
      </c>
      <c r="AK55" s="203">
        <v>72</v>
      </c>
      <c r="AL55" s="203">
        <v>216</v>
      </c>
      <c r="AM55" s="203">
        <v>4229</v>
      </c>
      <c r="AN55" s="203">
        <v>9402</v>
      </c>
      <c r="AO55" s="203">
        <v>51481</v>
      </c>
      <c r="AP55" s="203">
        <v>11297</v>
      </c>
      <c r="AQ55" s="203">
        <v>10391</v>
      </c>
      <c r="AR55" s="203">
        <v>25279</v>
      </c>
      <c r="AS55" s="160">
        <v>0</v>
      </c>
      <c r="AT55" s="203">
        <v>328</v>
      </c>
      <c r="AU55" s="203">
        <v>1136</v>
      </c>
      <c r="AV55" s="203">
        <v>30</v>
      </c>
      <c r="AW55" s="203">
        <v>120</v>
      </c>
      <c r="AX55" s="203">
        <v>216</v>
      </c>
      <c r="AY55" s="203">
        <v>2010</v>
      </c>
      <c r="AZ55" s="203">
        <v>9750</v>
      </c>
      <c r="BA55" s="203">
        <v>48455</v>
      </c>
      <c r="BB55" s="203">
        <v>14642</v>
      </c>
      <c r="BC55" s="203">
        <v>11943</v>
      </c>
      <c r="BD55" s="203">
        <v>25279</v>
      </c>
      <c r="BE55" s="162">
        <v>38545308.005840965</v>
      </c>
      <c r="BF55" s="203">
        <v>25</v>
      </c>
      <c r="BG55" s="203">
        <v>2108</v>
      </c>
      <c r="BH55" s="217">
        <v>18285.250477154157</v>
      </c>
      <c r="BI55" s="217">
        <v>4753726.0004949579</v>
      </c>
      <c r="BJ55" s="203">
        <v>33</v>
      </c>
      <c r="BK55" s="203">
        <v>1145</v>
      </c>
      <c r="BL55" s="217">
        <v>4151.725764624417</v>
      </c>
      <c r="BM55" s="217">
        <v>6480764.8579702163</v>
      </c>
      <c r="BN55" s="203">
        <v>1</v>
      </c>
      <c r="BO55" s="203">
        <v>210</v>
      </c>
      <c r="BP55" s="307">
        <v>30860.78503795341</v>
      </c>
    </row>
    <row r="56" spans="1:68" x14ac:dyDescent="0.45">
      <c r="A56">
        <v>309</v>
      </c>
      <c r="B56" t="s">
        <v>51</v>
      </c>
      <c r="C56" s="238" t="s">
        <v>571</v>
      </c>
      <c r="D56" s="280">
        <v>43029994.730000004</v>
      </c>
      <c r="E56" s="203">
        <v>19605</v>
      </c>
      <c r="F56" s="282">
        <v>20442</v>
      </c>
      <c r="G56" s="286">
        <v>4.2693190512624331E-2</v>
      </c>
      <c r="H56" s="160">
        <v>20884</v>
      </c>
      <c r="I56" s="159">
        <v>23307</v>
      </c>
      <c r="J56" s="159">
        <v>90</v>
      </c>
      <c r="K56" s="159">
        <v>0</v>
      </c>
      <c r="L56" s="159">
        <v>3380</v>
      </c>
      <c r="M56" s="171">
        <v>0.14187345133982501</v>
      </c>
      <c r="N56" s="270">
        <v>21296</v>
      </c>
      <c r="O56" s="273">
        <v>21068</v>
      </c>
      <c r="P56" s="274">
        <v>-1.07062359128475E-2</v>
      </c>
      <c r="Q56" s="273">
        <v>21928</v>
      </c>
      <c r="R56" s="278">
        <v>2.9676934635612301E-2</v>
      </c>
      <c r="S56" s="265">
        <v>85.7</v>
      </c>
      <c r="T56" s="265">
        <v>7.6</v>
      </c>
      <c r="U56" s="265">
        <v>3.2</v>
      </c>
      <c r="V56" s="265">
        <v>96.5</v>
      </c>
      <c r="W56" s="160">
        <v>0</v>
      </c>
      <c r="X56" s="159">
        <v>0</v>
      </c>
      <c r="Y56" s="159">
        <v>0</v>
      </c>
      <c r="Z56" s="159">
        <v>0</v>
      </c>
      <c r="AA56" s="159">
        <v>0</v>
      </c>
      <c r="AB56" s="159">
        <v>7002</v>
      </c>
      <c r="AC56" s="159">
        <v>16485</v>
      </c>
      <c r="AD56" s="159">
        <v>0</v>
      </c>
      <c r="AE56" s="159">
        <v>240</v>
      </c>
      <c r="AF56" s="161">
        <v>0</v>
      </c>
      <c r="AG56" s="203">
        <v>0</v>
      </c>
      <c r="AH56" s="203">
        <v>0</v>
      </c>
      <c r="AI56" s="203">
        <v>0</v>
      </c>
      <c r="AJ56" s="203">
        <v>0</v>
      </c>
      <c r="AK56" s="203">
        <v>0</v>
      </c>
      <c r="AL56" s="203">
        <v>0</v>
      </c>
      <c r="AM56" s="203">
        <v>2370</v>
      </c>
      <c r="AN56" s="203">
        <v>2310</v>
      </c>
      <c r="AO56" s="203">
        <v>12120</v>
      </c>
      <c r="AP56" s="203">
        <v>3387</v>
      </c>
      <c r="AQ56" s="203">
        <v>1212</v>
      </c>
      <c r="AR56" s="203">
        <v>2328</v>
      </c>
      <c r="AS56" s="160">
        <v>0</v>
      </c>
      <c r="AT56" s="203">
        <v>0</v>
      </c>
      <c r="AU56" s="203">
        <v>0</v>
      </c>
      <c r="AV56" s="203">
        <v>0</v>
      </c>
      <c r="AW56" s="203">
        <v>0</v>
      </c>
      <c r="AX56" s="203">
        <v>0</v>
      </c>
      <c r="AY56" s="203">
        <v>840</v>
      </c>
      <c r="AZ56" s="203">
        <v>6120</v>
      </c>
      <c r="BA56" s="203">
        <v>11409</v>
      </c>
      <c r="BB56" s="203">
        <v>1740</v>
      </c>
      <c r="BC56" s="203">
        <v>1290</v>
      </c>
      <c r="BD56" s="203">
        <v>2328</v>
      </c>
      <c r="BE56" s="162">
        <v>7106891.9717689697</v>
      </c>
      <c r="BF56" s="203">
        <v>2</v>
      </c>
      <c r="BG56" s="203">
        <v>360</v>
      </c>
      <c r="BH56" s="217">
        <v>19741.36658824714</v>
      </c>
      <c r="BI56" s="217">
        <v>373335.14541995095</v>
      </c>
      <c r="BJ56" s="203">
        <v>1</v>
      </c>
      <c r="BK56" s="203">
        <v>30</v>
      </c>
      <c r="BL56" s="217">
        <v>12444.504847331698</v>
      </c>
      <c r="BM56" s="217">
        <v>0</v>
      </c>
      <c r="BN56" s="203">
        <v>0</v>
      </c>
      <c r="BO56" s="203">
        <v>0</v>
      </c>
      <c r="BP56" s="307" t="s">
        <v>687</v>
      </c>
    </row>
    <row r="57" spans="1:68" x14ac:dyDescent="0.45">
      <c r="A57">
        <v>310</v>
      </c>
      <c r="B57" t="s">
        <v>52</v>
      </c>
      <c r="C57" s="238" t="s">
        <v>564</v>
      </c>
      <c r="D57" s="280">
        <v>126068117.71000001</v>
      </c>
      <c r="E57" s="203">
        <v>16928</v>
      </c>
      <c r="F57" s="282">
        <v>22202</v>
      </c>
      <c r="G57" s="286">
        <v>0.31155482041587901</v>
      </c>
      <c r="H57" s="160">
        <v>20877</v>
      </c>
      <c r="I57" s="159">
        <v>23493</v>
      </c>
      <c r="J57" s="159">
        <v>120</v>
      </c>
      <c r="K57" s="159">
        <v>240</v>
      </c>
      <c r="L57" s="159">
        <v>2220</v>
      </c>
      <c r="M57" s="171">
        <v>9.1823081613233007E-2</v>
      </c>
      <c r="N57" s="270">
        <v>21713</v>
      </c>
      <c r="O57" s="273">
        <v>21646</v>
      </c>
      <c r="P57" s="274">
        <v>-3.0857090222447402E-3</v>
      </c>
      <c r="Q57" s="273">
        <v>22978</v>
      </c>
      <c r="R57" s="278">
        <v>5.8260028554322302E-2</v>
      </c>
      <c r="S57" s="265">
        <v>84.9</v>
      </c>
      <c r="T57" s="265">
        <v>7.8</v>
      </c>
      <c r="U57" s="265">
        <v>2.8</v>
      </c>
      <c r="V57" s="265">
        <v>95.4</v>
      </c>
      <c r="W57" s="160">
        <v>20</v>
      </c>
      <c r="X57" s="159">
        <v>175</v>
      </c>
      <c r="Y57" s="159">
        <v>0</v>
      </c>
      <c r="Z57" s="159">
        <v>0</v>
      </c>
      <c r="AA57" s="159">
        <v>0</v>
      </c>
      <c r="AB57" s="159">
        <v>10069</v>
      </c>
      <c r="AC57" s="159">
        <v>11129</v>
      </c>
      <c r="AD57" s="159">
        <v>1260</v>
      </c>
      <c r="AE57" s="159">
        <v>0</v>
      </c>
      <c r="AF57" s="161">
        <v>420</v>
      </c>
      <c r="AG57" s="203">
        <v>0</v>
      </c>
      <c r="AH57" s="203">
        <v>20</v>
      </c>
      <c r="AI57" s="203">
        <v>175</v>
      </c>
      <c r="AJ57" s="203">
        <v>0</v>
      </c>
      <c r="AK57" s="203">
        <v>0</v>
      </c>
      <c r="AL57" s="203">
        <v>0</v>
      </c>
      <c r="AM57" s="203">
        <v>2964</v>
      </c>
      <c r="AN57" s="203">
        <v>3835</v>
      </c>
      <c r="AO57" s="203">
        <v>10960</v>
      </c>
      <c r="AP57" s="203">
        <v>630</v>
      </c>
      <c r="AQ57" s="203">
        <v>0</v>
      </c>
      <c r="AR57" s="203">
        <v>4489</v>
      </c>
      <c r="AS57" s="160">
        <v>20</v>
      </c>
      <c r="AT57" s="203">
        <v>0</v>
      </c>
      <c r="AU57" s="203">
        <v>175</v>
      </c>
      <c r="AV57" s="203">
        <v>0</v>
      </c>
      <c r="AW57" s="203">
        <v>0</v>
      </c>
      <c r="AX57" s="203">
        <v>0</v>
      </c>
      <c r="AY57" s="203">
        <v>5511</v>
      </c>
      <c r="AZ57" s="203">
        <v>5669</v>
      </c>
      <c r="BA57" s="203">
        <v>6579</v>
      </c>
      <c r="BB57" s="203">
        <v>630</v>
      </c>
      <c r="BC57" s="203">
        <v>0</v>
      </c>
      <c r="BD57" s="203">
        <v>4489</v>
      </c>
      <c r="BE57" s="162">
        <v>54563776.154396906</v>
      </c>
      <c r="BF57" s="203">
        <v>20</v>
      </c>
      <c r="BG57" s="203">
        <v>3360</v>
      </c>
      <c r="BH57" s="217">
        <v>16239.219093570508</v>
      </c>
      <c r="BI57" s="217">
        <v>5162415.8237414258</v>
      </c>
      <c r="BJ57" s="203">
        <v>1</v>
      </c>
      <c r="BK57" s="203">
        <v>210</v>
      </c>
      <c r="BL57" s="217">
        <v>24582.932494006789</v>
      </c>
      <c r="BM57" s="217">
        <v>0</v>
      </c>
      <c r="BN57" s="203">
        <v>0</v>
      </c>
      <c r="BO57" s="203">
        <v>0</v>
      </c>
      <c r="BP57" s="307" t="s">
        <v>687</v>
      </c>
    </row>
    <row r="58" spans="1:68" x14ac:dyDescent="0.45">
      <c r="A58">
        <v>805</v>
      </c>
      <c r="B58" t="s">
        <v>53</v>
      </c>
      <c r="C58" s="238" t="s">
        <v>572</v>
      </c>
      <c r="D58" s="280">
        <v>8640607.5199999996</v>
      </c>
      <c r="E58" s="203">
        <v>7427</v>
      </c>
      <c r="F58" s="282">
        <v>7774</v>
      </c>
      <c r="G58" s="286">
        <v>4.6721421839235222E-2</v>
      </c>
      <c r="H58" s="160">
        <v>8172</v>
      </c>
      <c r="I58" s="159">
        <v>9056</v>
      </c>
      <c r="J58" s="159">
        <v>0</v>
      </c>
      <c r="K58" s="159">
        <v>10</v>
      </c>
      <c r="L58" s="159">
        <v>1300</v>
      </c>
      <c r="M58" s="171">
        <v>0.14301515460967601</v>
      </c>
      <c r="N58" s="270">
        <v>8075</v>
      </c>
      <c r="O58" s="273">
        <v>8078</v>
      </c>
      <c r="P58" s="274">
        <v>3.7151702786377701E-4</v>
      </c>
      <c r="Q58" s="273">
        <v>8057</v>
      </c>
      <c r="R58" s="278">
        <v>-2.2291021671826598E-3</v>
      </c>
      <c r="S58" s="265">
        <v>97.5</v>
      </c>
      <c r="T58" s="265">
        <v>1.6</v>
      </c>
      <c r="U58" s="265">
        <v>0.5</v>
      </c>
      <c r="V58" s="265">
        <v>99.6</v>
      </c>
      <c r="W58" s="160">
        <v>0</v>
      </c>
      <c r="X58" s="159">
        <v>35</v>
      </c>
      <c r="Y58" s="159">
        <v>0</v>
      </c>
      <c r="Z58" s="159">
        <v>0</v>
      </c>
      <c r="AA58" s="159">
        <v>0</v>
      </c>
      <c r="AB58" s="159">
        <v>1079</v>
      </c>
      <c r="AC58" s="159">
        <v>7116</v>
      </c>
      <c r="AD58" s="159">
        <v>826</v>
      </c>
      <c r="AE58" s="159">
        <v>0</v>
      </c>
      <c r="AF58" s="161">
        <v>0</v>
      </c>
      <c r="AG58" s="203">
        <v>0</v>
      </c>
      <c r="AH58" s="203">
        <v>0</v>
      </c>
      <c r="AI58" s="203">
        <v>35</v>
      </c>
      <c r="AJ58" s="203">
        <v>0</v>
      </c>
      <c r="AK58" s="203">
        <v>0</v>
      </c>
      <c r="AL58" s="203">
        <v>0</v>
      </c>
      <c r="AM58" s="203">
        <v>1253</v>
      </c>
      <c r="AN58" s="203">
        <v>410</v>
      </c>
      <c r="AO58" s="203">
        <v>5722</v>
      </c>
      <c r="AP58" s="203">
        <v>450</v>
      </c>
      <c r="AQ58" s="203">
        <v>976</v>
      </c>
      <c r="AR58" s="203">
        <v>210</v>
      </c>
      <c r="AS58" s="160">
        <v>0</v>
      </c>
      <c r="AT58" s="203">
        <v>0</v>
      </c>
      <c r="AU58" s="203">
        <v>35</v>
      </c>
      <c r="AV58" s="203">
        <v>0</v>
      </c>
      <c r="AW58" s="203">
        <v>0</v>
      </c>
      <c r="AX58" s="203">
        <v>0</v>
      </c>
      <c r="AY58" s="203">
        <v>1226</v>
      </c>
      <c r="AZ58" s="203">
        <v>540</v>
      </c>
      <c r="BA58" s="203">
        <v>5929</v>
      </c>
      <c r="BB58" s="203">
        <v>735</v>
      </c>
      <c r="BC58" s="203">
        <v>381</v>
      </c>
      <c r="BD58" s="203">
        <v>210</v>
      </c>
      <c r="BE58" s="162">
        <v>494991.57275714155</v>
      </c>
      <c r="BF58" s="203">
        <v>2</v>
      </c>
      <c r="BG58" s="203">
        <v>36</v>
      </c>
      <c r="BH58" s="217">
        <v>13749.765909920599</v>
      </c>
      <c r="BI58" s="217">
        <v>0</v>
      </c>
      <c r="BJ58" s="203">
        <v>0</v>
      </c>
      <c r="BK58" s="203">
        <v>0</v>
      </c>
      <c r="BL58" s="217" t="s">
        <v>687</v>
      </c>
      <c r="BM58" s="217">
        <v>0</v>
      </c>
      <c r="BN58" s="203">
        <v>0</v>
      </c>
      <c r="BO58" s="203">
        <v>0</v>
      </c>
      <c r="BP58" s="307" t="s">
        <v>687</v>
      </c>
    </row>
    <row r="59" spans="1:68" x14ac:dyDescent="0.45">
      <c r="A59">
        <v>311</v>
      </c>
      <c r="B59" t="s">
        <v>54</v>
      </c>
      <c r="C59" s="238" t="s">
        <v>564</v>
      </c>
      <c r="D59" s="280">
        <v>103005789.97</v>
      </c>
      <c r="E59" s="203">
        <v>18378</v>
      </c>
      <c r="F59" s="282">
        <v>24159</v>
      </c>
      <c r="G59" s="286">
        <v>0.31456088801828275</v>
      </c>
      <c r="H59" s="160">
        <v>19243</v>
      </c>
      <c r="I59" s="159">
        <v>25344</v>
      </c>
      <c r="J59" s="159">
        <v>1200</v>
      </c>
      <c r="K59" s="159">
        <v>60</v>
      </c>
      <c r="L59" s="159">
        <v>2350</v>
      </c>
      <c r="M59" s="171">
        <v>8.88710436422019E-2</v>
      </c>
      <c r="N59" s="270">
        <v>22152</v>
      </c>
      <c r="O59" s="273">
        <v>22621</v>
      </c>
      <c r="P59" s="274">
        <v>2.1171903214156702E-2</v>
      </c>
      <c r="Q59" s="273">
        <v>23686</v>
      </c>
      <c r="R59" s="278">
        <v>6.9248826291079799E-2</v>
      </c>
      <c r="S59" s="265">
        <v>87.5</v>
      </c>
      <c r="T59" s="265">
        <v>6.9</v>
      </c>
      <c r="U59" s="265">
        <v>2.2000000000000002</v>
      </c>
      <c r="V59" s="265">
        <v>96.6</v>
      </c>
      <c r="W59" s="160">
        <v>21</v>
      </c>
      <c r="X59" s="159">
        <v>120</v>
      </c>
      <c r="Y59" s="159">
        <v>0</v>
      </c>
      <c r="Z59" s="159">
        <v>0</v>
      </c>
      <c r="AA59" s="159">
        <v>0</v>
      </c>
      <c r="AB59" s="159">
        <v>4132</v>
      </c>
      <c r="AC59" s="159">
        <v>20274</v>
      </c>
      <c r="AD59" s="159">
        <v>180</v>
      </c>
      <c r="AE59" s="159">
        <v>0</v>
      </c>
      <c r="AF59" s="161">
        <v>0</v>
      </c>
      <c r="AG59" s="203">
        <v>0</v>
      </c>
      <c r="AH59" s="203">
        <v>0</v>
      </c>
      <c r="AI59" s="203">
        <v>141</v>
      </c>
      <c r="AJ59" s="203">
        <v>0</v>
      </c>
      <c r="AK59" s="203">
        <v>0</v>
      </c>
      <c r="AL59" s="203">
        <v>0</v>
      </c>
      <c r="AM59" s="203">
        <v>1106</v>
      </c>
      <c r="AN59" s="203">
        <v>2772</v>
      </c>
      <c r="AO59" s="203">
        <v>12786</v>
      </c>
      <c r="AP59" s="203">
        <v>3281</v>
      </c>
      <c r="AQ59" s="203">
        <v>360</v>
      </c>
      <c r="AR59" s="203">
        <v>4281</v>
      </c>
      <c r="AS59" s="160">
        <v>0</v>
      </c>
      <c r="AT59" s="203">
        <v>21</v>
      </c>
      <c r="AU59" s="203">
        <v>120</v>
      </c>
      <c r="AV59" s="203">
        <v>0</v>
      </c>
      <c r="AW59" s="203">
        <v>0</v>
      </c>
      <c r="AX59" s="203">
        <v>0</v>
      </c>
      <c r="AY59" s="203">
        <v>1766</v>
      </c>
      <c r="AZ59" s="203">
        <v>5229</v>
      </c>
      <c r="BA59" s="203">
        <v>10977</v>
      </c>
      <c r="BB59" s="203">
        <v>2333</v>
      </c>
      <c r="BC59" s="203">
        <v>0</v>
      </c>
      <c r="BD59" s="203">
        <v>4281</v>
      </c>
      <c r="BE59" s="162">
        <v>18603196.102178369</v>
      </c>
      <c r="BF59" s="203">
        <v>11</v>
      </c>
      <c r="BG59" s="203">
        <v>1585</v>
      </c>
      <c r="BH59" s="217">
        <v>11737.032241121999</v>
      </c>
      <c r="BI59" s="217">
        <v>2527985.1507288329</v>
      </c>
      <c r="BJ59" s="203">
        <v>8</v>
      </c>
      <c r="BK59" s="203">
        <v>300</v>
      </c>
      <c r="BL59" s="217">
        <v>8426.6171690961091</v>
      </c>
      <c r="BM59" s="217">
        <v>0</v>
      </c>
      <c r="BN59" s="203">
        <v>0</v>
      </c>
      <c r="BO59" s="203">
        <v>0</v>
      </c>
      <c r="BP59" s="307" t="s">
        <v>687</v>
      </c>
    </row>
    <row r="60" spans="1:68" x14ac:dyDescent="0.45">
      <c r="A60">
        <v>884</v>
      </c>
      <c r="B60" t="s">
        <v>55</v>
      </c>
      <c r="C60" s="238" t="s">
        <v>568</v>
      </c>
      <c r="D60" s="280">
        <v>14755303.989999998</v>
      </c>
      <c r="E60" s="203">
        <v>12006</v>
      </c>
      <c r="F60" s="282">
        <v>13396</v>
      </c>
      <c r="G60" s="286">
        <v>0.11577544561052806</v>
      </c>
      <c r="H60" s="160">
        <v>14557</v>
      </c>
      <c r="I60" s="159">
        <v>14536</v>
      </c>
      <c r="J60" s="159">
        <v>240</v>
      </c>
      <c r="K60" s="159">
        <v>130</v>
      </c>
      <c r="L60" s="159">
        <v>1690</v>
      </c>
      <c r="M60" s="171">
        <v>0.113041678341671</v>
      </c>
      <c r="N60" s="270">
        <v>13459</v>
      </c>
      <c r="O60" s="273">
        <v>13587</v>
      </c>
      <c r="P60" s="274">
        <v>9.5103648116502005E-3</v>
      </c>
      <c r="Q60" s="273">
        <v>13529</v>
      </c>
      <c r="R60" s="278">
        <v>5.2009807563712001E-3</v>
      </c>
      <c r="S60" s="265">
        <v>96.1</v>
      </c>
      <c r="T60" s="265">
        <v>2.5</v>
      </c>
      <c r="U60" s="265">
        <v>0.5</v>
      </c>
      <c r="V60" s="265">
        <v>99.1</v>
      </c>
      <c r="W60" s="160">
        <v>30</v>
      </c>
      <c r="X60" s="159">
        <v>19</v>
      </c>
      <c r="Y60" s="159">
        <v>0</v>
      </c>
      <c r="Z60" s="159">
        <v>0</v>
      </c>
      <c r="AA60" s="159">
        <v>0</v>
      </c>
      <c r="AB60" s="159">
        <v>3079</v>
      </c>
      <c r="AC60" s="159">
        <v>11110</v>
      </c>
      <c r="AD60" s="159">
        <v>210</v>
      </c>
      <c r="AE60" s="159">
        <v>270</v>
      </c>
      <c r="AF60" s="161">
        <v>0</v>
      </c>
      <c r="AG60" s="203">
        <v>49</v>
      </c>
      <c r="AH60" s="203">
        <v>0</v>
      </c>
      <c r="AI60" s="203">
        <v>0</v>
      </c>
      <c r="AJ60" s="203">
        <v>0</v>
      </c>
      <c r="AK60" s="203">
        <v>0</v>
      </c>
      <c r="AL60" s="203">
        <v>0</v>
      </c>
      <c r="AM60" s="203">
        <v>4362</v>
      </c>
      <c r="AN60" s="203">
        <v>807</v>
      </c>
      <c r="AO60" s="203">
        <v>8266</v>
      </c>
      <c r="AP60" s="203">
        <v>0</v>
      </c>
      <c r="AQ60" s="203">
        <v>525</v>
      </c>
      <c r="AR60" s="203">
        <v>709</v>
      </c>
      <c r="AS60" s="160">
        <v>30</v>
      </c>
      <c r="AT60" s="203">
        <v>0</v>
      </c>
      <c r="AU60" s="203">
        <v>19</v>
      </c>
      <c r="AV60" s="203">
        <v>0</v>
      </c>
      <c r="AW60" s="203">
        <v>0</v>
      </c>
      <c r="AX60" s="203">
        <v>0</v>
      </c>
      <c r="AY60" s="203">
        <v>3682</v>
      </c>
      <c r="AZ60" s="203">
        <v>540</v>
      </c>
      <c r="BA60" s="203">
        <v>8369</v>
      </c>
      <c r="BB60" s="203">
        <v>690</v>
      </c>
      <c r="BC60" s="203">
        <v>679</v>
      </c>
      <c r="BD60" s="203">
        <v>709</v>
      </c>
      <c r="BE60" s="162">
        <v>994101.76361039246</v>
      </c>
      <c r="BF60" s="203">
        <v>3</v>
      </c>
      <c r="BG60" s="203">
        <v>98</v>
      </c>
      <c r="BH60" s="217">
        <v>10143.895547044822</v>
      </c>
      <c r="BI60" s="217">
        <v>129859.34415442028</v>
      </c>
      <c r="BJ60" s="203">
        <v>1</v>
      </c>
      <c r="BK60" s="203">
        <v>30</v>
      </c>
      <c r="BL60" s="217">
        <v>4328.6448051473426</v>
      </c>
      <c r="BM60" s="217">
        <v>0</v>
      </c>
      <c r="BN60" s="203">
        <v>0</v>
      </c>
      <c r="BO60" s="203">
        <v>0</v>
      </c>
      <c r="BP60" s="307" t="s">
        <v>687</v>
      </c>
    </row>
    <row r="61" spans="1:68" x14ac:dyDescent="0.45">
      <c r="A61">
        <v>919</v>
      </c>
      <c r="B61" t="s">
        <v>56</v>
      </c>
      <c r="C61" s="238" t="s">
        <v>567</v>
      </c>
      <c r="D61" s="280">
        <v>283979768.29999995</v>
      </c>
      <c r="E61" s="203">
        <v>85040</v>
      </c>
      <c r="F61" s="282">
        <v>101009</v>
      </c>
      <c r="G61" s="286">
        <v>0.18778222013170273</v>
      </c>
      <c r="H61" s="160">
        <v>92347</v>
      </c>
      <c r="I61" s="159">
        <v>108365</v>
      </c>
      <c r="J61" s="159">
        <v>1323</v>
      </c>
      <c r="K61" s="159">
        <v>1120</v>
      </c>
      <c r="L61" s="159">
        <v>11110</v>
      </c>
      <c r="M61" s="171">
        <v>0.100109153175893</v>
      </c>
      <c r="N61" s="270">
        <v>100123</v>
      </c>
      <c r="O61" s="273">
        <v>100663</v>
      </c>
      <c r="P61" s="274">
        <v>5.3933661596236599E-3</v>
      </c>
      <c r="Q61" s="273">
        <v>103598</v>
      </c>
      <c r="R61" s="278">
        <v>3.4707310008689297E-2</v>
      </c>
      <c r="S61" s="265">
        <v>86.6</v>
      </c>
      <c r="T61" s="265">
        <v>7.4</v>
      </c>
      <c r="U61" s="265">
        <v>2.7</v>
      </c>
      <c r="V61" s="265">
        <v>96.7</v>
      </c>
      <c r="W61" s="160">
        <v>195</v>
      </c>
      <c r="X61" s="159">
        <v>354</v>
      </c>
      <c r="Y61" s="159">
        <v>18</v>
      </c>
      <c r="Z61" s="159">
        <v>0</v>
      </c>
      <c r="AA61" s="159">
        <v>0</v>
      </c>
      <c r="AB61" s="159">
        <v>23819</v>
      </c>
      <c r="AC61" s="159">
        <v>73999</v>
      </c>
      <c r="AD61" s="159">
        <v>8780</v>
      </c>
      <c r="AE61" s="159">
        <v>900</v>
      </c>
      <c r="AF61" s="161">
        <v>0</v>
      </c>
      <c r="AG61" s="203">
        <v>148</v>
      </c>
      <c r="AH61" s="203">
        <v>0</v>
      </c>
      <c r="AI61" s="203">
        <v>260</v>
      </c>
      <c r="AJ61" s="203">
        <v>33</v>
      </c>
      <c r="AK61" s="203">
        <v>0</v>
      </c>
      <c r="AL61" s="203">
        <v>126</v>
      </c>
      <c r="AM61" s="203">
        <v>7952</v>
      </c>
      <c r="AN61" s="203">
        <v>8717</v>
      </c>
      <c r="AO61" s="203">
        <v>59001</v>
      </c>
      <c r="AP61" s="203">
        <v>9938</v>
      </c>
      <c r="AQ61" s="203">
        <v>7041</v>
      </c>
      <c r="AR61" s="203">
        <v>14849</v>
      </c>
      <c r="AS61" s="160">
        <v>0</v>
      </c>
      <c r="AT61" s="203">
        <v>30</v>
      </c>
      <c r="AU61" s="203">
        <v>343</v>
      </c>
      <c r="AV61" s="203">
        <v>68</v>
      </c>
      <c r="AW61" s="203">
        <v>0</v>
      </c>
      <c r="AX61" s="203">
        <v>126</v>
      </c>
      <c r="AY61" s="203">
        <v>6562</v>
      </c>
      <c r="AZ61" s="203">
        <v>9466</v>
      </c>
      <c r="BA61" s="203">
        <v>53625</v>
      </c>
      <c r="BB61" s="203">
        <v>13707</v>
      </c>
      <c r="BC61" s="203">
        <v>9289</v>
      </c>
      <c r="BD61" s="203">
        <v>14849</v>
      </c>
      <c r="BE61" s="162">
        <v>45175320.776864924</v>
      </c>
      <c r="BF61" s="203">
        <v>16</v>
      </c>
      <c r="BG61" s="203">
        <v>2019</v>
      </c>
      <c r="BH61" s="217">
        <v>22375.096967243648</v>
      </c>
      <c r="BI61" s="217">
        <v>5185060.2227632478</v>
      </c>
      <c r="BJ61" s="203">
        <v>30</v>
      </c>
      <c r="BK61" s="203">
        <v>787</v>
      </c>
      <c r="BL61" s="217">
        <v>6588.3865600549525</v>
      </c>
      <c r="BM61" s="217">
        <v>0</v>
      </c>
      <c r="BN61" s="203">
        <v>0</v>
      </c>
      <c r="BO61" s="203">
        <v>0</v>
      </c>
      <c r="BP61" s="307" t="s">
        <v>687</v>
      </c>
    </row>
    <row r="62" spans="1:68" x14ac:dyDescent="0.45">
      <c r="A62">
        <v>312</v>
      </c>
      <c r="B62" t="s">
        <v>57</v>
      </c>
      <c r="C62" s="238" t="s">
        <v>564</v>
      </c>
      <c r="D62" s="280">
        <v>113305659.45999999</v>
      </c>
      <c r="E62" s="203">
        <v>22130</v>
      </c>
      <c r="F62" s="282">
        <v>27974</v>
      </c>
      <c r="G62" s="286">
        <v>0.26407591504744693</v>
      </c>
      <c r="H62" s="160">
        <v>24225</v>
      </c>
      <c r="I62" s="159">
        <v>32092</v>
      </c>
      <c r="J62" s="159">
        <v>150</v>
      </c>
      <c r="K62" s="159">
        <v>50</v>
      </c>
      <c r="L62" s="159">
        <v>4770</v>
      </c>
      <c r="M62" s="171">
        <v>0.14587666665649199</v>
      </c>
      <c r="N62" s="270">
        <v>27967</v>
      </c>
      <c r="O62" s="273">
        <v>28249</v>
      </c>
      <c r="P62" s="274">
        <v>1.0083312475417499E-2</v>
      </c>
      <c r="Q62" s="273">
        <v>29675</v>
      </c>
      <c r="R62" s="278">
        <v>6.1071977687989401E-2</v>
      </c>
      <c r="S62" s="265">
        <v>89.4</v>
      </c>
      <c r="T62" s="265">
        <v>6.4</v>
      </c>
      <c r="U62" s="265">
        <v>2.1</v>
      </c>
      <c r="V62" s="265">
        <v>97.9</v>
      </c>
      <c r="W62" s="160">
        <v>0</v>
      </c>
      <c r="X62" s="159">
        <v>390</v>
      </c>
      <c r="Y62" s="159">
        <v>0</v>
      </c>
      <c r="Z62" s="159">
        <v>0</v>
      </c>
      <c r="AA62" s="159">
        <v>0</v>
      </c>
      <c r="AB62" s="159">
        <v>4560</v>
      </c>
      <c r="AC62" s="159">
        <v>24412</v>
      </c>
      <c r="AD62" s="159">
        <v>2520</v>
      </c>
      <c r="AE62" s="159">
        <v>0</v>
      </c>
      <c r="AF62" s="161">
        <v>0</v>
      </c>
      <c r="AG62" s="203">
        <v>0</v>
      </c>
      <c r="AH62" s="203">
        <v>0</v>
      </c>
      <c r="AI62" s="203">
        <v>330</v>
      </c>
      <c r="AJ62" s="203">
        <v>0</v>
      </c>
      <c r="AK62" s="203">
        <v>0</v>
      </c>
      <c r="AL62" s="203">
        <v>60</v>
      </c>
      <c r="AM62" s="203">
        <v>3420</v>
      </c>
      <c r="AN62" s="203">
        <v>3740</v>
      </c>
      <c r="AO62" s="203">
        <v>14784</v>
      </c>
      <c r="AP62" s="203">
        <v>3150</v>
      </c>
      <c r="AQ62" s="203">
        <v>660</v>
      </c>
      <c r="AR62" s="203">
        <v>5738</v>
      </c>
      <c r="AS62" s="160">
        <v>0</v>
      </c>
      <c r="AT62" s="203">
        <v>0</v>
      </c>
      <c r="AU62" s="203">
        <v>330</v>
      </c>
      <c r="AV62" s="203">
        <v>0</v>
      </c>
      <c r="AW62" s="203">
        <v>0</v>
      </c>
      <c r="AX62" s="203">
        <v>60</v>
      </c>
      <c r="AY62" s="203">
        <v>3930</v>
      </c>
      <c r="AZ62" s="203">
        <v>5474</v>
      </c>
      <c r="BA62" s="203">
        <v>15690</v>
      </c>
      <c r="BB62" s="203">
        <v>660</v>
      </c>
      <c r="BC62" s="203">
        <v>0</v>
      </c>
      <c r="BD62" s="203">
        <v>5738</v>
      </c>
      <c r="BE62" s="162">
        <v>0</v>
      </c>
      <c r="BF62" s="203">
        <v>0</v>
      </c>
      <c r="BG62" s="203">
        <v>0</v>
      </c>
      <c r="BH62" s="217" t="s">
        <v>687</v>
      </c>
      <c r="BI62" s="217">
        <v>147522.66001046391</v>
      </c>
      <c r="BJ62" s="203">
        <v>1</v>
      </c>
      <c r="BK62" s="203">
        <v>30</v>
      </c>
      <c r="BL62" s="217">
        <v>4917.4220003487972</v>
      </c>
      <c r="BM62" s="217">
        <v>10458981.93037571</v>
      </c>
      <c r="BN62" s="203">
        <v>1</v>
      </c>
      <c r="BO62" s="203">
        <v>630</v>
      </c>
      <c r="BP62" s="307">
        <v>16601.558619643984</v>
      </c>
    </row>
    <row r="63" spans="1:68" x14ac:dyDescent="0.45">
      <c r="A63">
        <v>313</v>
      </c>
      <c r="B63" t="s">
        <v>58</v>
      </c>
      <c r="C63" s="238" t="s">
        <v>564</v>
      </c>
      <c r="D63" s="280">
        <v>128594212.73000003</v>
      </c>
      <c r="E63" s="203">
        <v>17351</v>
      </c>
      <c r="F63" s="282">
        <v>23854</v>
      </c>
      <c r="G63" s="286">
        <v>0.37479107832401592</v>
      </c>
      <c r="H63" s="160">
        <v>18197</v>
      </c>
      <c r="I63" s="159">
        <v>25110</v>
      </c>
      <c r="J63" s="159">
        <v>0</v>
      </c>
      <c r="K63" s="159">
        <v>20</v>
      </c>
      <c r="L63" s="159">
        <v>2310</v>
      </c>
      <c r="M63" s="171">
        <v>8.8324653759180305E-2</v>
      </c>
      <c r="N63" s="270">
        <v>23625</v>
      </c>
      <c r="O63" s="273">
        <v>23482</v>
      </c>
      <c r="P63" s="274">
        <v>-6.0529100529100504E-3</v>
      </c>
      <c r="Q63" s="273">
        <v>23541</v>
      </c>
      <c r="R63" s="278">
        <v>-3.5555555555555601E-3</v>
      </c>
      <c r="S63" s="265">
        <v>84.2</v>
      </c>
      <c r="T63" s="265">
        <v>9.4</v>
      </c>
      <c r="U63" s="265">
        <v>2.8</v>
      </c>
      <c r="V63" s="265">
        <v>96.4</v>
      </c>
      <c r="W63" s="160">
        <v>120</v>
      </c>
      <c r="X63" s="159">
        <v>0</v>
      </c>
      <c r="Y63" s="159">
        <v>0</v>
      </c>
      <c r="Z63" s="159">
        <v>0</v>
      </c>
      <c r="AA63" s="159">
        <v>0</v>
      </c>
      <c r="AB63" s="159">
        <v>7720</v>
      </c>
      <c r="AC63" s="159">
        <v>16650</v>
      </c>
      <c r="AD63" s="159">
        <v>1110</v>
      </c>
      <c r="AE63" s="159">
        <v>0</v>
      </c>
      <c r="AF63" s="161">
        <v>0</v>
      </c>
      <c r="AG63" s="203">
        <v>120</v>
      </c>
      <c r="AH63" s="203">
        <v>0</v>
      </c>
      <c r="AI63" s="203">
        <v>0</v>
      </c>
      <c r="AJ63" s="203">
        <v>0</v>
      </c>
      <c r="AK63" s="203">
        <v>0</v>
      </c>
      <c r="AL63" s="203">
        <v>0</v>
      </c>
      <c r="AM63" s="203">
        <v>2460</v>
      </c>
      <c r="AN63" s="203">
        <v>2490</v>
      </c>
      <c r="AO63" s="203">
        <v>13600</v>
      </c>
      <c r="AP63" s="203">
        <v>2730</v>
      </c>
      <c r="AQ63" s="203">
        <v>840</v>
      </c>
      <c r="AR63" s="203">
        <v>3360</v>
      </c>
      <c r="AS63" s="160">
        <v>0</v>
      </c>
      <c r="AT63" s="203">
        <v>120</v>
      </c>
      <c r="AU63" s="203">
        <v>0</v>
      </c>
      <c r="AV63" s="203">
        <v>0</v>
      </c>
      <c r="AW63" s="203">
        <v>0</v>
      </c>
      <c r="AX63" s="203">
        <v>0</v>
      </c>
      <c r="AY63" s="203">
        <v>2730</v>
      </c>
      <c r="AZ63" s="203">
        <v>8320</v>
      </c>
      <c r="BA63" s="203">
        <v>9000</v>
      </c>
      <c r="BB63" s="203">
        <v>1290</v>
      </c>
      <c r="BC63" s="203">
        <v>780</v>
      </c>
      <c r="BD63" s="203">
        <v>3360</v>
      </c>
      <c r="BE63" s="162">
        <v>36829944.214683406</v>
      </c>
      <c r="BF63" s="203">
        <v>8</v>
      </c>
      <c r="BG63" s="203">
        <v>1920</v>
      </c>
      <c r="BH63" s="217">
        <v>19182.262611814273</v>
      </c>
      <c r="BI63" s="217">
        <v>584234.391349843</v>
      </c>
      <c r="BJ63" s="203">
        <v>1</v>
      </c>
      <c r="BK63" s="203">
        <v>120</v>
      </c>
      <c r="BL63" s="217">
        <v>4868.6199279153579</v>
      </c>
      <c r="BM63" s="217">
        <v>0</v>
      </c>
      <c r="BN63" s="203">
        <v>0</v>
      </c>
      <c r="BO63" s="203">
        <v>0</v>
      </c>
      <c r="BP63" s="307" t="s">
        <v>687</v>
      </c>
    </row>
    <row r="64" spans="1:68" x14ac:dyDescent="0.45">
      <c r="A64">
        <v>921</v>
      </c>
      <c r="B64" t="s">
        <v>59</v>
      </c>
      <c r="C64" s="238" t="s">
        <v>570</v>
      </c>
      <c r="D64" s="280">
        <v>5743425.3399999999</v>
      </c>
      <c r="E64" s="203">
        <v>8944</v>
      </c>
      <c r="F64" s="282">
        <v>8956</v>
      </c>
      <c r="G64" s="286">
        <v>1.3416815742397137E-3</v>
      </c>
      <c r="H64" s="160">
        <v>8075</v>
      </c>
      <c r="I64" s="159">
        <v>10237</v>
      </c>
      <c r="J64" s="159">
        <v>0</v>
      </c>
      <c r="K64" s="159">
        <v>60</v>
      </c>
      <c r="L64" s="159">
        <v>1760</v>
      </c>
      <c r="M64" s="171">
        <v>0.16541539989106999</v>
      </c>
      <c r="N64" s="270">
        <v>9247</v>
      </c>
      <c r="O64" s="273">
        <v>9266</v>
      </c>
      <c r="P64" s="274">
        <v>2.0547204498756401E-3</v>
      </c>
      <c r="Q64" s="273">
        <v>9259</v>
      </c>
      <c r="R64" s="278">
        <v>1.2977181788688199E-3</v>
      </c>
      <c r="S64" s="265">
        <v>94.8</v>
      </c>
      <c r="T64" s="265">
        <v>3.2</v>
      </c>
      <c r="U64" s="265">
        <v>0.5</v>
      </c>
      <c r="V64" s="265">
        <v>98.4</v>
      </c>
      <c r="W64" s="160">
        <v>0</v>
      </c>
      <c r="X64" s="159">
        <v>0</v>
      </c>
      <c r="Y64" s="159">
        <v>0</v>
      </c>
      <c r="Z64" s="159">
        <v>0</v>
      </c>
      <c r="AA64" s="159">
        <v>0</v>
      </c>
      <c r="AB64" s="159">
        <v>210</v>
      </c>
      <c r="AC64" s="159">
        <v>7745</v>
      </c>
      <c r="AD64" s="159">
        <v>2312</v>
      </c>
      <c r="AE64" s="159">
        <v>0</v>
      </c>
      <c r="AF64" s="161">
        <v>0</v>
      </c>
      <c r="AG64" s="203">
        <v>0</v>
      </c>
      <c r="AH64" s="203">
        <v>0</v>
      </c>
      <c r="AI64" s="203">
        <v>0</v>
      </c>
      <c r="AJ64" s="203">
        <v>0</v>
      </c>
      <c r="AK64" s="203">
        <v>0</v>
      </c>
      <c r="AL64" s="203">
        <v>0</v>
      </c>
      <c r="AM64" s="203">
        <v>210</v>
      </c>
      <c r="AN64" s="203">
        <v>420</v>
      </c>
      <c r="AO64" s="203">
        <v>8734</v>
      </c>
      <c r="AP64" s="203">
        <v>615</v>
      </c>
      <c r="AQ64" s="203">
        <v>210</v>
      </c>
      <c r="AR64" s="203">
        <v>78</v>
      </c>
      <c r="AS64" s="160">
        <v>0</v>
      </c>
      <c r="AT64" s="203">
        <v>0</v>
      </c>
      <c r="AU64" s="203">
        <v>0</v>
      </c>
      <c r="AV64" s="203">
        <v>0</v>
      </c>
      <c r="AW64" s="203">
        <v>0</v>
      </c>
      <c r="AX64" s="203">
        <v>0</v>
      </c>
      <c r="AY64" s="203">
        <v>0</v>
      </c>
      <c r="AZ64" s="203">
        <v>420</v>
      </c>
      <c r="BA64" s="203">
        <v>6892</v>
      </c>
      <c r="BB64" s="203">
        <v>2457</v>
      </c>
      <c r="BC64" s="203">
        <v>420</v>
      </c>
      <c r="BD64" s="203">
        <v>78</v>
      </c>
      <c r="BE64" s="162">
        <v>2430906.1080262498</v>
      </c>
      <c r="BF64" s="203">
        <v>1</v>
      </c>
      <c r="BG64" s="203">
        <v>120</v>
      </c>
      <c r="BH64" s="217">
        <v>20257.55090021875</v>
      </c>
      <c r="BI64" s="217">
        <v>0</v>
      </c>
      <c r="BJ64" s="203">
        <v>0</v>
      </c>
      <c r="BK64" s="203">
        <v>0</v>
      </c>
      <c r="BL64" s="217" t="s">
        <v>687</v>
      </c>
      <c r="BM64" s="217">
        <v>0</v>
      </c>
      <c r="BN64" s="203">
        <v>0</v>
      </c>
      <c r="BO64" s="203">
        <v>0</v>
      </c>
      <c r="BP64" s="307" t="s">
        <v>687</v>
      </c>
    </row>
    <row r="65" spans="1:68" x14ac:dyDescent="0.45">
      <c r="A65">
        <v>420</v>
      </c>
      <c r="B65" t="s">
        <v>639</v>
      </c>
      <c r="C65" s="238" t="s">
        <v>566</v>
      </c>
      <c r="D65" s="280">
        <v>874552.54</v>
      </c>
      <c r="E65" s="203">
        <v>146</v>
      </c>
      <c r="F65" s="282">
        <v>148</v>
      </c>
      <c r="G65" s="286">
        <v>1.3698630136986301E-2</v>
      </c>
      <c r="H65" s="160">
        <v>265</v>
      </c>
      <c r="I65" s="159">
        <v>0</v>
      </c>
      <c r="J65" s="159">
        <v>0</v>
      </c>
      <c r="K65" s="159">
        <v>10</v>
      </c>
      <c r="L65" s="159">
        <v>30</v>
      </c>
      <c r="M65" s="171">
        <v>0.16006883012255499</v>
      </c>
      <c r="N65" s="270">
        <v>146</v>
      </c>
      <c r="O65" s="273">
        <v>142</v>
      </c>
      <c r="P65" s="274">
        <v>-2.7397260273972601E-2</v>
      </c>
      <c r="Q65" s="273">
        <v>146</v>
      </c>
      <c r="R65" s="278">
        <v>0</v>
      </c>
      <c r="S65" s="169" t="s">
        <v>687</v>
      </c>
      <c r="T65" s="169" t="s">
        <v>687</v>
      </c>
      <c r="U65" s="169" t="s">
        <v>687</v>
      </c>
      <c r="V65" s="169" t="s">
        <v>687</v>
      </c>
      <c r="W65" s="160" t="s">
        <v>711</v>
      </c>
      <c r="X65" s="159" t="s">
        <v>711</v>
      </c>
      <c r="Y65" s="159" t="s">
        <v>711</v>
      </c>
      <c r="Z65" s="159" t="s">
        <v>711</v>
      </c>
      <c r="AA65" s="159" t="s">
        <v>711</v>
      </c>
      <c r="AB65" s="159" t="s">
        <v>711</v>
      </c>
      <c r="AC65" s="159" t="s">
        <v>711</v>
      </c>
      <c r="AD65" s="159" t="s">
        <v>711</v>
      </c>
      <c r="AE65" s="159" t="s">
        <v>711</v>
      </c>
      <c r="AF65" s="161" t="s">
        <v>711</v>
      </c>
      <c r="AG65" s="203" t="s">
        <v>711</v>
      </c>
      <c r="AH65" s="203" t="s">
        <v>711</v>
      </c>
      <c r="AI65" s="203" t="s">
        <v>711</v>
      </c>
      <c r="AJ65" s="203" t="s">
        <v>711</v>
      </c>
      <c r="AK65" s="203" t="s">
        <v>711</v>
      </c>
      <c r="AL65" s="203" t="s">
        <v>711</v>
      </c>
      <c r="AM65" s="203" t="s">
        <v>711</v>
      </c>
      <c r="AN65" s="203" t="s">
        <v>711</v>
      </c>
      <c r="AO65" s="203" t="s">
        <v>711</v>
      </c>
      <c r="AP65" s="203" t="s">
        <v>711</v>
      </c>
      <c r="AQ65" s="203" t="s">
        <v>711</v>
      </c>
      <c r="AR65" s="203" t="s">
        <v>711</v>
      </c>
      <c r="AS65" s="160" t="s">
        <v>711</v>
      </c>
      <c r="AT65" s="203" t="s">
        <v>711</v>
      </c>
      <c r="AU65" s="203" t="s">
        <v>711</v>
      </c>
      <c r="AV65" s="203" t="s">
        <v>711</v>
      </c>
      <c r="AW65" s="203" t="s">
        <v>711</v>
      </c>
      <c r="AX65" s="203" t="s">
        <v>711</v>
      </c>
      <c r="AY65" s="203" t="s">
        <v>711</v>
      </c>
      <c r="AZ65" s="203" t="s">
        <v>711</v>
      </c>
      <c r="BA65" s="203" t="s">
        <v>711</v>
      </c>
      <c r="BB65" s="203" t="s">
        <v>711</v>
      </c>
      <c r="BC65" s="203" t="s">
        <v>711</v>
      </c>
      <c r="BD65" s="203" t="s">
        <v>711</v>
      </c>
      <c r="BE65" s="162">
        <v>0</v>
      </c>
      <c r="BF65" s="203">
        <v>0</v>
      </c>
      <c r="BG65" s="203">
        <v>0</v>
      </c>
      <c r="BH65" s="217" t="s">
        <v>687</v>
      </c>
      <c r="BI65" s="217">
        <v>0</v>
      </c>
      <c r="BJ65" s="203">
        <v>0</v>
      </c>
      <c r="BK65" s="203">
        <v>0</v>
      </c>
      <c r="BL65" s="217" t="s">
        <v>687</v>
      </c>
      <c r="BM65" s="217">
        <v>0</v>
      </c>
      <c r="BN65" s="203">
        <v>0</v>
      </c>
      <c r="BO65" s="203">
        <v>0</v>
      </c>
      <c r="BP65" s="307" t="s">
        <v>687</v>
      </c>
    </row>
    <row r="66" spans="1:68" x14ac:dyDescent="0.45">
      <c r="A66">
        <v>206</v>
      </c>
      <c r="B66" t="s">
        <v>61</v>
      </c>
      <c r="C66" s="238" t="s">
        <v>571</v>
      </c>
      <c r="D66" s="280">
        <v>27581656.440000001</v>
      </c>
      <c r="E66" s="203">
        <v>12258</v>
      </c>
      <c r="F66" s="282">
        <v>13146</v>
      </c>
      <c r="G66" s="286">
        <v>7.2442486539402842E-2</v>
      </c>
      <c r="H66" s="160">
        <v>14069</v>
      </c>
      <c r="I66" s="159">
        <v>15305</v>
      </c>
      <c r="J66" s="159">
        <v>315</v>
      </c>
      <c r="K66" s="159">
        <v>0</v>
      </c>
      <c r="L66" s="159">
        <v>2860</v>
      </c>
      <c r="M66" s="171">
        <v>0.178888194673051</v>
      </c>
      <c r="N66" s="270">
        <v>13510</v>
      </c>
      <c r="O66" s="273">
        <v>13646</v>
      </c>
      <c r="P66" s="274">
        <v>1.0066617320503299E-2</v>
      </c>
      <c r="Q66" s="273">
        <v>14266</v>
      </c>
      <c r="R66" s="278">
        <v>5.5958549222797901E-2</v>
      </c>
      <c r="S66" s="265">
        <v>78.599999999999994</v>
      </c>
      <c r="T66" s="265">
        <v>9.6999999999999993</v>
      </c>
      <c r="U66" s="265">
        <v>3.7</v>
      </c>
      <c r="V66" s="265">
        <v>91.9</v>
      </c>
      <c r="W66" s="160">
        <v>0</v>
      </c>
      <c r="X66" s="159">
        <v>105</v>
      </c>
      <c r="Y66" s="159">
        <v>0</v>
      </c>
      <c r="Z66" s="159">
        <v>0</v>
      </c>
      <c r="AA66" s="159">
        <v>0</v>
      </c>
      <c r="AB66" s="159">
        <v>2970</v>
      </c>
      <c r="AC66" s="159">
        <v>11240</v>
      </c>
      <c r="AD66" s="159">
        <v>420</v>
      </c>
      <c r="AE66" s="159">
        <v>0</v>
      </c>
      <c r="AF66" s="161">
        <v>90</v>
      </c>
      <c r="AG66" s="203">
        <v>0</v>
      </c>
      <c r="AH66" s="203">
        <v>30</v>
      </c>
      <c r="AI66" s="203">
        <v>15</v>
      </c>
      <c r="AJ66" s="203">
        <v>60</v>
      </c>
      <c r="AK66" s="203">
        <v>0</v>
      </c>
      <c r="AL66" s="203">
        <v>0</v>
      </c>
      <c r="AM66" s="203">
        <v>3435</v>
      </c>
      <c r="AN66" s="203">
        <v>4085</v>
      </c>
      <c r="AO66" s="203">
        <v>4755</v>
      </c>
      <c r="AP66" s="203">
        <v>1095</v>
      </c>
      <c r="AQ66" s="203">
        <v>840</v>
      </c>
      <c r="AR66" s="203">
        <v>510</v>
      </c>
      <c r="AS66" s="160">
        <v>30</v>
      </c>
      <c r="AT66" s="203">
        <v>0</v>
      </c>
      <c r="AU66" s="203">
        <v>75</v>
      </c>
      <c r="AV66" s="203">
        <v>0</v>
      </c>
      <c r="AW66" s="203">
        <v>0</v>
      </c>
      <c r="AX66" s="203">
        <v>0</v>
      </c>
      <c r="AY66" s="203">
        <v>4480</v>
      </c>
      <c r="AZ66" s="203">
        <v>1790</v>
      </c>
      <c r="BA66" s="203">
        <v>6020</v>
      </c>
      <c r="BB66" s="203">
        <v>1500</v>
      </c>
      <c r="BC66" s="203">
        <v>420</v>
      </c>
      <c r="BD66" s="203">
        <v>510</v>
      </c>
      <c r="BE66" s="162">
        <v>7254820.182329474</v>
      </c>
      <c r="BF66" s="203">
        <v>2</v>
      </c>
      <c r="BG66" s="203">
        <v>276</v>
      </c>
      <c r="BH66" s="217">
        <v>26285.580370758962</v>
      </c>
      <c r="BI66" s="217">
        <v>0</v>
      </c>
      <c r="BJ66" s="203">
        <v>0</v>
      </c>
      <c r="BK66" s="203">
        <v>0</v>
      </c>
      <c r="BL66" s="217" t="s">
        <v>687</v>
      </c>
      <c r="BM66" s="217">
        <v>728458.82033161167</v>
      </c>
      <c r="BN66" s="203">
        <v>1</v>
      </c>
      <c r="BO66" s="203">
        <v>60</v>
      </c>
      <c r="BP66" s="307">
        <v>12140.980338860194</v>
      </c>
    </row>
    <row r="67" spans="1:68" x14ac:dyDescent="0.45">
      <c r="A67">
        <v>207</v>
      </c>
      <c r="B67" t="s">
        <v>62</v>
      </c>
      <c r="C67" s="238" t="s">
        <v>571</v>
      </c>
      <c r="D67" s="280">
        <v>9657698.9999999981</v>
      </c>
      <c r="E67" s="203">
        <v>6380</v>
      </c>
      <c r="F67" s="282">
        <v>6413</v>
      </c>
      <c r="G67" s="286">
        <v>5.1724137931034482E-3</v>
      </c>
      <c r="H67" s="160">
        <v>6898</v>
      </c>
      <c r="I67" s="159">
        <v>7725</v>
      </c>
      <c r="J67" s="159">
        <v>80</v>
      </c>
      <c r="K67" s="159">
        <v>0</v>
      </c>
      <c r="L67" s="159">
        <v>1390</v>
      </c>
      <c r="M67" s="171">
        <v>0.178347212587884</v>
      </c>
      <c r="N67" s="270">
        <v>6791</v>
      </c>
      <c r="O67" s="273">
        <v>6744</v>
      </c>
      <c r="P67" s="274">
        <v>-6.9209247533500197E-3</v>
      </c>
      <c r="Q67" s="273">
        <v>6553</v>
      </c>
      <c r="R67" s="278">
        <v>-3.5046384921219302E-2</v>
      </c>
      <c r="S67" s="265">
        <v>65.7</v>
      </c>
      <c r="T67" s="265">
        <v>13.1</v>
      </c>
      <c r="U67" s="265">
        <v>5.4</v>
      </c>
      <c r="V67" s="265">
        <v>84.3</v>
      </c>
      <c r="W67" s="160">
        <v>0</v>
      </c>
      <c r="X67" s="159">
        <v>0</v>
      </c>
      <c r="Y67" s="159">
        <v>0</v>
      </c>
      <c r="Z67" s="159">
        <v>0</v>
      </c>
      <c r="AA67" s="159">
        <v>0</v>
      </c>
      <c r="AB67" s="159">
        <v>4365</v>
      </c>
      <c r="AC67" s="159">
        <v>3360</v>
      </c>
      <c r="AD67" s="159">
        <v>0</v>
      </c>
      <c r="AE67" s="159">
        <v>0</v>
      </c>
      <c r="AF67" s="161">
        <v>0</v>
      </c>
      <c r="AG67" s="203">
        <v>0</v>
      </c>
      <c r="AH67" s="203">
        <v>0</v>
      </c>
      <c r="AI67" s="203">
        <v>0</v>
      </c>
      <c r="AJ67" s="203">
        <v>0</v>
      </c>
      <c r="AK67" s="203">
        <v>0</v>
      </c>
      <c r="AL67" s="203">
        <v>0</v>
      </c>
      <c r="AM67" s="203">
        <v>4015</v>
      </c>
      <c r="AN67" s="203">
        <v>560</v>
      </c>
      <c r="AO67" s="203">
        <v>2520</v>
      </c>
      <c r="AP67" s="203">
        <v>0</v>
      </c>
      <c r="AQ67" s="203">
        <v>420</v>
      </c>
      <c r="AR67" s="203">
        <v>210</v>
      </c>
      <c r="AS67" s="160">
        <v>0</v>
      </c>
      <c r="AT67" s="203">
        <v>0</v>
      </c>
      <c r="AU67" s="203">
        <v>0</v>
      </c>
      <c r="AV67" s="203">
        <v>0</v>
      </c>
      <c r="AW67" s="203">
        <v>0</v>
      </c>
      <c r="AX67" s="203">
        <v>0</v>
      </c>
      <c r="AY67" s="203">
        <v>2965</v>
      </c>
      <c r="AZ67" s="203">
        <v>840</v>
      </c>
      <c r="BA67" s="203">
        <v>2450</v>
      </c>
      <c r="BB67" s="203">
        <v>840</v>
      </c>
      <c r="BC67" s="203">
        <v>420</v>
      </c>
      <c r="BD67" s="203">
        <v>210</v>
      </c>
      <c r="BE67" s="162">
        <v>6381899.0624190606</v>
      </c>
      <c r="BF67" s="203">
        <v>2</v>
      </c>
      <c r="BG67" s="203">
        <v>210</v>
      </c>
      <c r="BH67" s="217">
        <v>30389.995535328861</v>
      </c>
      <c r="BI67" s="217">
        <v>0</v>
      </c>
      <c r="BJ67" s="203">
        <v>0</v>
      </c>
      <c r="BK67" s="203">
        <v>0</v>
      </c>
      <c r="BL67" s="217" t="s">
        <v>687</v>
      </c>
      <c r="BM67" s="217">
        <v>16043100.868003588</v>
      </c>
      <c r="BN67" s="203">
        <v>1</v>
      </c>
      <c r="BO67" s="203">
        <v>210</v>
      </c>
      <c r="BP67" s="307">
        <v>76395.718419064709</v>
      </c>
    </row>
    <row r="68" spans="1:68" x14ac:dyDescent="0.45">
      <c r="A68">
        <v>886</v>
      </c>
      <c r="B68" t="s">
        <v>63</v>
      </c>
      <c r="C68" s="238" t="s">
        <v>570</v>
      </c>
      <c r="D68" s="280">
        <v>351801194.80000001</v>
      </c>
      <c r="E68" s="203">
        <v>105705</v>
      </c>
      <c r="F68" s="282">
        <v>127247</v>
      </c>
      <c r="G68" s="286">
        <v>0.20379357646279742</v>
      </c>
      <c r="H68" s="160">
        <v>116944</v>
      </c>
      <c r="I68" s="159">
        <v>135762</v>
      </c>
      <c r="J68" s="159">
        <v>2979</v>
      </c>
      <c r="K68" s="159">
        <v>1220</v>
      </c>
      <c r="L68" s="159">
        <v>13730</v>
      </c>
      <c r="M68" s="171">
        <v>9.8269767052577506E-2</v>
      </c>
      <c r="N68" s="270">
        <v>126138</v>
      </c>
      <c r="O68" s="273">
        <v>126922</v>
      </c>
      <c r="P68" s="274">
        <v>6.2154148630864598E-3</v>
      </c>
      <c r="Q68" s="273">
        <v>126683</v>
      </c>
      <c r="R68" s="278">
        <v>4.3206646688547503E-3</v>
      </c>
      <c r="S68" s="265">
        <v>89.4</v>
      </c>
      <c r="T68" s="265">
        <v>6.1</v>
      </c>
      <c r="U68" s="265">
        <v>1.9</v>
      </c>
      <c r="V68" s="265">
        <v>97.4</v>
      </c>
      <c r="W68" s="160">
        <v>90</v>
      </c>
      <c r="X68" s="159">
        <v>687</v>
      </c>
      <c r="Y68" s="159">
        <v>0</v>
      </c>
      <c r="Z68" s="159">
        <v>0</v>
      </c>
      <c r="AA68" s="159">
        <v>210</v>
      </c>
      <c r="AB68" s="159">
        <v>24893</v>
      </c>
      <c r="AC68" s="159">
        <v>98887</v>
      </c>
      <c r="AD68" s="159">
        <v>6715</v>
      </c>
      <c r="AE68" s="159">
        <v>1695</v>
      </c>
      <c r="AF68" s="161">
        <v>420</v>
      </c>
      <c r="AG68" s="203">
        <v>0</v>
      </c>
      <c r="AH68" s="203">
        <v>48</v>
      </c>
      <c r="AI68" s="203">
        <v>199</v>
      </c>
      <c r="AJ68" s="203">
        <v>0</v>
      </c>
      <c r="AK68" s="203">
        <v>230</v>
      </c>
      <c r="AL68" s="203">
        <v>510</v>
      </c>
      <c r="AM68" s="203">
        <v>11171</v>
      </c>
      <c r="AN68" s="203">
        <v>10313</v>
      </c>
      <c r="AO68" s="203">
        <v>80868</v>
      </c>
      <c r="AP68" s="203">
        <v>10502</v>
      </c>
      <c r="AQ68" s="203">
        <v>9707</v>
      </c>
      <c r="AR68" s="203">
        <v>10049</v>
      </c>
      <c r="AS68" s="160">
        <v>0</v>
      </c>
      <c r="AT68" s="203">
        <v>0</v>
      </c>
      <c r="AU68" s="203">
        <v>442</v>
      </c>
      <c r="AV68" s="203">
        <v>0</v>
      </c>
      <c r="AW68" s="203">
        <v>35</v>
      </c>
      <c r="AX68" s="203">
        <v>510</v>
      </c>
      <c r="AY68" s="203">
        <v>7654</v>
      </c>
      <c r="AZ68" s="203">
        <v>11886</v>
      </c>
      <c r="BA68" s="203">
        <v>74747</v>
      </c>
      <c r="BB68" s="203">
        <v>16368</v>
      </c>
      <c r="BC68" s="203">
        <v>11906</v>
      </c>
      <c r="BD68" s="203">
        <v>10049</v>
      </c>
      <c r="BE68" s="162">
        <v>102244639.2633917</v>
      </c>
      <c r="BF68" s="203">
        <v>45</v>
      </c>
      <c r="BG68" s="203">
        <v>5812</v>
      </c>
      <c r="BH68" s="217">
        <v>17591.988861560858</v>
      </c>
      <c r="BI68" s="217">
        <v>2185441.4676515763</v>
      </c>
      <c r="BJ68" s="203">
        <v>13</v>
      </c>
      <c r="BK68" s="203">
        <v>442</v>
      </c>
      <c r="BL68" s="217">
        <v>4944.437709618951</v>
      </c>
      <c r="BM68" s="217">
        <v>50020317.515684702</v>
      </c>
      <c r="BN68" s="203">
        <v>8</v>
      </c>
      <c r="BO68" s="203">
        <v>1680</v>
      </c>
      <c r="BP68" s="307">
        <v>29773.998521240894</v>
      </c>
    </row>
    <row r="69" spans="1:68" x14ac:dyDescent="0.45">
      <c r="A69">
        <v>810</v>
      </c>
      <c r="B69" t="s">
        <v>64</v>
      </c>
      <c r="C69" s="238" t="s">
        <v>565</v>
      </c>
      <c r="D69" s="280">
        <v>49322209.439999998</v>
      </c>
      <c r="E69" s="203">
        <v>18498</v>
      </c>
      <c r="F69" s="282">
        <v>23493</v>
      </c>
      <c r="G69" s="286">
        <v>0.27002919234511841</v>
      </c>
      <c r="H69" s="160">
        <v>20776</v>
      </c>
      <c r="I69" s="159">
        <v>25505</v>
      </c>
      <c r="J69" s="159">
        <v>315</v>
      </c>
      <c r="K69" s="159">
        <v>30</v>
      </c>
      <c r="L69" s="159">
        <v>2350</v>
      </c>
      <c r="M69" s="171">
        <v>9.1092176290465898E-2</v>
      </c>
      <c r="N69" s="270">
        <v>23385</v>
      </c>
      <c r="O69" s="273">
        <v>23452</v>
      </c>
      <c r="P69" s="274">
        <v>2.8650844558477701E-3</v>
      </c>
      <c r="Q69" s="273">
        <v>23643</v>
      </c>
      <c r="R69" s="278">
        <v>1.10327132777421E-2</v>
      </c>
      <c r="S69" s="265">
        <v>93.2</v>
      </c>
      <c r="T69" s="265">
        <v>4.2</v>
      </c>
      <c r="U69" s="265">
        <v>0.7</v>
      </c>
      <c r="V69" s="265">
        <v>98.2</v>
      </c>
      <c r="W69" s="160">
        <v>0</v>
      </c>
      <c r="X69" s="159">
        <v>255</v>
      </c>
      <c r="Y69" s="159">
        <v>185</v>
      </c>
      <c r="Z69" s="159">
        <v>0</v>
      </c>
      <c r="AA69" s="159">
        <v>0</v>
      </c>
      <c r="AB69" s="159">
        <v>5175</v>
      </c>
      <c r="AC69" s="159">
        <v>15700</v>
      </c>
      <c r="AD69" s="159">
        <v>3140</v>
      </c>
      <c r="AE69" s="159">
        <v>420</v>
      </c>
      <c r="AF69" s="161">
        <v>0</v>
      </c>
      <c r="AG69" s="203">
        <v>35</v>
      </c>
      <c r="AH69" s="203">
        <v>0</v>
      </c>
      <c r="AI69" s="203">
        <v>405</v>
      </c>
      <c r="AJ69" s="203">
        <v>0</v>
      </c>
      <c r="AK69" s="203">
        <v>0</v>
      </c>
      <c r="AL69" s="203">
        <v>0</v>
      </c>
      <c r="AM69" s="203">
        <v>5295</v>
      </c>
      <c r="AN69" s="203">
        <v>5920</v>
      </c>
      <c r="AO69" s="203">
        <v>10660</v>
      </c>
      <c r="AP69" s="203">
        <v>1370</v>
      </c>
      <c r="AQ69" s="203">
        <v>1190</v>
      </c>
      <c r="AR69" s="203">
        <v>0</v>
      </c>
      <c r="AS69" s="160">
        <v>0</v>
      </c>
      <c r="AT69" s="203">
        <v>60</v>
      </c>
      <c r="AU69" s="203">
        <v>380</v>
      </c>
      <c r="AV69" s="203">
        <v>0</v>
      </c>
      <c r="AW69" s="203">
        <v>0</v>
      </c>
      <c r="AX69" s="203">
        <v>0</v>
      </c>
      <c r="AY69" s="203">
        <v>4890</v>
      </c>
      <c r="AZ69" s="203">
        <v>5285</v>
      </c>
      <c r="BA69" s="203">
        <v>12545</v>
      </c>
      <c r="BB69" s="203">
        <v>1400</v>
      </c>
      <c r="BC69" s="203">
        <v>0</v>
      </c>
      <c r="BD69" s="203">
        <v>315</v>
      </c>
      <c r="BE69" s="162">
        <v>4498877.4073335584</v>
      </c>
      <c r="BF69" s="203">
        <v>7</v>
      </c>
      <c r="BG69" s="203">
        <v>493</v>
      </c>
      <c r="BH69" s="217">
        <v>9125.5119824210105</v>
      </c>
      <c r="BI69" s="217">
        <v>373926.77314651298</v>
      </c>
      <c r="BJ69" s="203">
        <v>2</v>
      </c>
      <c r="BK69" s="203">
        <v>55</v>
      </c>
      <c r="BL69" s="217">
        <v>6798.6686026638727</v>
      </c>
      <c r="BM69" s="217">
        <v>1787462.9268340063</v>
      </c>
      <c r="BN69" s="203">
        <v>2</v>
      </c>
      <c r="BO69" s="203">
        <v>280</v>
      </c>
      <c r="BP69" s="307">
        <v>6383.7961672643087</v>
      </c>
    </row>
    <row r="70" spans="1:68" x14ac:dyDescent="0.45">
      <c r="A70">
        <v>314</v>
      </c>
      <c r="B70" t="s">
        <v>65</v>
      </c>
      <c r="C70" s="238" t="s">
        <v>564</v>
      </c>
      <c r="D70" s="280">
        <v>51958601.960000001</v>
      </c>
      <c r="E70" s="203">
        <v>11009</v>
      </c>
      <c r="F70" s="282">
        <v>13443</v>
      </c>
      <c r="G70" s="286">
        <v>0.22109183395403761</v>
      </c>
      <c r="H70" s="160">
        <v>11112</v>
      </c>
      <c r="I70" s="159">
        <v>14820</v>
      </c>
      <c r="J70" s="159">
        <v>30</v>
      </c>
      <c r="K70" s="159">
        <v>210</v>
      </c>
      <c r="L70" s="159">
        <v>1620</v>
      </c>
      <c r="M70" s="171">
        <v>0.10883288950822601</v>
      </c>
      <c r="N70" s="270">
        <v>13512</v>
      </c>
      <c r="O70" s="273">
        <v>13402</v>
      </c>
      <c r="P70" s="274">
        <v>-8.1409117821196007E-3</v>
      </c>
      <c r="Q70" s="273">
        <v>13894</v>
      </c>
      <c r="R70" s="278">
        <v>2.82711663706335E-2</v>
      </c>
      <c r="S70" s="265">
        <v>82.1</v>
      </c>
      <c r="T70" s="265">
        <v>7.9</v>
      </c>
      <c r="U70" s="265">
        <v>3.6</v>
      </c>
      <c r="V70" s="265">
        <v>93.7</v>
      </c>
      <c r="W70" s="160">
        <v>0</v>
      </c>
      <c r="X70" s="159">
        <v>0</v>
      </c>
      <c r="Y70" s="159">
        <v>30</v>
      </c>
      <c r="Z70" s="159">
        <v>0</v>
      </c>
      <c r="AA70" s="159">
        <v>0</v>
      </c>
      <c r="AB70" s="159">
        <v>3090</v>
      </c>
      <c r="AC70" s="159">
        <v>9990</v>
      </c>
      <c r="AD70" s="159">
        <v>1710</v>
      </c>
      <c r="AE70" s="159">
        <v>0</v>
      </c>
      <c r="AF70" s="161">
        <v>0</v>
      </c>
      <c r="AG70" s="203">
        <v>0</v>
      </c>
      <c r="AH70" s="203">
        <v>0</v>
      </c>
      <c r="AI70" s="203">
        <v>0</v>
      </c>
      <c r="AJ70" s="203">
        <v>30</v>
      </c>
      <c r="AK70" s="203">
        <v>0</v>
      </c>
      <c r="AL70" s="203">
        <v>0</v>
      </c>
      <c r="AM70" s="203">
        <v>420</v>
      </c>
      <c r="AN70" s="203">
        <v>3900</v>
      </c>
      <c r="AO70" s="203">
        <v>6210</v>
      </c>
      <c r="AP70" s="203">
        <v>1470</v>
      </c>
      <c r="AQ70" s="203">
        <v>660</v>
      </c>
      <c r="AR70" s="203">
        <v>2130</v>
      </c>
      <c r="AS70" s="160">
        <v>0</v>
      </c>
      <c r="AT70" s="203">
        <v>0</v>
      </c>
      <c r="AU70" s="203">
        <v>0</v>
      </c>
      <c r="AV70" s="203">
        <v>0</v>
      </c>
      <c r="AW70" s="203">
        <v>30</v>
      </c>
      <c r="AX70" s="203">
        <v>0</v>
      </c>
      <c r="AY70" s="203">
        <v>870</v>
      </c>
      <c r="AZ70" s="203">
        <v>5340</v>
      </c>
      <c r="BA70" s="203">
        <v>4320</v>
      </c>
      <c r="BB70" s="203">
        <v>1470</v>
      </c>
      <c r="BC70" s="203">
        <v>660</v>
      </c>
      <c r="BD70" s="203">
        <v>2130</v>
      </c>
      <c r="BE70" s="162">
        <v>10426641.29476523</v>
      </c>
      <c r="BF70" s="203">
        <v>8</v>
      </c>
      <c r="BG70" s="203">
        <v>570</v>
      </c>
      <c r="BH70" s="217">
        <v>18292.353148710929</v>
      </c>
      <c r="BI70" s="217">
        <v>471529.70018821867</v>
      </c>
      <c r="BJ70" s="203">
        <v>3</v>
      </c>
      <c r="BK70" s="203">
        <v>90</v>
      </c>
      <c r="BL70" s="217">
        <v>5239.2188909802071</v>
      </c>
      <c r="BM70" s="217">
        <v>0</v>
      </c>
      <c r="BN70" s="203">
        <v>0</v>
      </c>
      <c r="BO70" s="203">
        <v>0</v>
      </c>
      <c r="BP70" s="307" t="s">
        <v>687</v>
      </c>
    </row>
    <row r="71" spans="1:68" x14ac:dyDescent="0.45">
      <c r="A71">
        <v>382</v>
      </c>
      <c r="B71" t="s">
        <v>66</v>
      </c>
      <c r="C71" s="238" t="s">
        <v>565</v>
      </c>
      <c r="D71" s="280">
        <v>53224451.890000008</v>
      </c>
      <c r="E71" s="203">
        <v>33671</v>
      </c>
      <c r="F71" s="282">
        <v>37484</v>
      </c>
      <c r="G71" s="286">
        <v>0.113242849930207</v>
      </c>
      <c r="H71" s="160">
        <v>36549</v>
      </c>
      <c r="I71" s="159">
        <v>39545</v>
      </c>
      <c r="J71" s="159">
        <v>270</v>
      </c>
      <c r="K71" s="159">
        <v>150</v>
      </c>
      <c r="L71" s="159">
        <v>4280</v>
      </c>
      <c r="M71" s="171">
        <v>0.10280859732989001</v>
      </c>
      <c r="N71" s="270">
        <v>38260</v>
      </c>
      <c r="O71" s="273">
        <v>38408</v>
      </c>
      <c r="P71" s="274">
        <v>3.8682697334030298E-3</v>
      </c>
      <c r="Q71" s="273">
        <v>38566</v>
      </c>
      <c r="R71" s="278">
        <v>7.9979090433873502E-3</v>
      </c>
      <c r="S71" s="265">
        <v>91.9</v>
      </c>
      <c r="T71" s="265">
        <v>5.0999999999999996</v>
      </c>
      <c r="U71" s="265">
        <v>1.6</v>
      </c>
      <c r="V71" s="265">
        <v>98.5</v>
      </c>
      <c r="W71" s="160">
        <v>0</v>
      </c>
      <c r="X71" s="159">
        <v>76</v>
      </c>
      <c r="Y71" s="159">
        <v>0</v>
      </c>
      <c r="Z71" s="159">
        <v>0</v>
      </c>
      <c r="AA71" s="159">
        <v>60</v>
      </c>
      <c r="AB71" s="159">
        <v>4437</v>
      </c>
      <c r="AC71" s="159">
        <v>28697</v>
      </c>
      <c r="AD71" s="159">
        <v>4704</v>
      </c>
      <c r="AE71" s="159">
        <v>1740</v>
      </c>
      <c r="AF71" s="161">
        <v>0</v>
      </c>
      <c r="AG71" s="203">
        <v>0</v>
      </c>
      <c r="AH71" s="203">
        <v>0</v>
      </c>
      <c r="AI71" s="203">
        <v>30</v>
      </c>
      <c r="AJ71" s="203">
        <v>46</v>
      </c>
      <c r="AK71" s="203">
        <v>0</v>
      </c>
      <c r="AL71" s="203">
        <v>60</v>
      </c>
      <c r="AM71" s="203">
        <v>1153</v>
      </c>
      <c r="AN71" s="203">
        <v>1254</v>
      </c>
      <c r="AO71" s="203">
        <v>21508</v>
      </c>
      <c r="AP71" s="203">
        <v>5185</v>
      </c>
      <c r="AQ71" s="203">
        <v>2862</v>
      </c>
      <c r="AR71" s="203">
        <v>7616</v>
      </c>
      <c r="AS71" s="160">
        <v>0</v>
      </c>
      <c r="AT71" s="203">
        <v>0</v>
      </c>
      <c r="AU71" s="203">
        <v>30</v>
      </c>
      <c r="AV71" s="203">
        <v>30</v>
      </c>
      <c r="AW71" s="203">
        <v>16</v>
      </c>
      <c r="AX71" s="203">
        <v>60</v>
      </c>
      <c r="AY71" s="203">
        <v>1664</v>
      </c>
      <c r="AZ71" s="203">
        <v>5703</v>
      </c>
      <c r="BA71" s="203">
        <v>18151</v>
      </c>
      <c r="BB71" s="203">
        <v>3756</v>
      </c>
      <c r="BC71" s="203">
        <v>2688</v>
      </c>
      <c r="BD71" s="203">
        <v>7616</v>
      </c>
      <c r="BE71" s="162">
        <v>11239028.031131759</v>
      </c>
      <c r="BF71" s="203">
        <v>2</v>
      </c>
      <c r="BG71" s="203">
        <v>366</v>
      </c>
      <c r="BH71" s="217">
        <v>30707.726861015737</v>
      </c>
      <c r="BI71" s="217">
        <v>774088.20638639259</v>
      </c>
      <c r="BJ71" s="203">
        <v>3</v>
      </c>
      <c r="BK71" s="203">
        <v>90</v>
      </c>
      <c r="BL71" s="217">
        <v>8600.9800709599185</v>
      </c>
      <c r="BM71" s="217">
        <v>0</v>
      </c>
      <c r="BN71" s="203">
        <v>0</v>
      </c>
      <c r="BO71" s="203">
        <v>0</v>
      </c>
      <c r="BP71" s="307" t="s">
        <v>687</v>
      </c>
    </row>
    <row r="72" spans="1:68" x14ac:dyDescent="0.45">
      <c r="A72">
        <v>340</v>
      </c>
      <c r="B72" t="s">
        <v>67</v>
      </c>
      <c r="C72" s="238" t="s">
        <v>569</v>
      </c>
      <c r="D72" s="280">
        <v>3425336.4900000007</v>
      </c>
      <c r="E72" s="203">
        <v>12113</v>
      </c>
      <c r="F72" s="282">
        <v>13156</v>
      </c>
      <c r="G72" s="286">
        <v>8.6105836704367208E-2</v>
      </c>
      <c r="H72" s="160">
        <v>15542</v>
      </c>
      <c r="I72" s="159">
        <v>14192</v>
      </c>
      <c r="J72" s="159">
        <v>0</v>
      </c>
      <c r="K72" s="159">
        <v>30</v>
      </c>
      <c r="L72" s="159">
        <v>1070</v>
      </c>
      <c r="M72" s="171">
        <v>7.5375330975620505E-2</v>
      </c>
      <c r="N72" s="270">
        <v>12811</v>
      </c>
      <c r="O72" s="273">
        <v>13056</v>
      </c>
      <c r="P72" s="274">
        <v>1.91241901490906E-2</v>
      </c>
      <c r="Q72" s="273">
        <v>12795</v>
      </c>
      <c r="R72" s="278">
        <v>-1.24892670361408E-3</v>
      </c>
      <c r="S72" s="265">
        <v>88.8</v>
      </c>
      <c r="T72" s="265">
        <v>5.0999999999999996</v>
      </c>
      <c r="U72" s="265">
        <v>2.1</v>
      </c>
      <c r="V72" s="265">
        <v>96</v>
      </c>
      <c r="W72" s="160">
        <v>30</v>
      </c>
      <c r="X72" s="159">
        <v>116</v>
      </c>
      <c r="Y72" s="159">
        <v>0</v>
      </c>
      <c r="Z72" s="159">
        <v>0</v>
      </c>
      <c r="AA72" s="159">
        <v>0</v>
      </c>
      <c r="AB72" s="159">
        <v>1335</v>
      </c>
      <c r="AC72" s="159">
        <v>10774</v>
      </c>
      <c r="AD72" s="159">
        <v>1727</v>
      </c>
      <c r="AE72" s="159">
        <v>0</v>
      </c>
      <c r="AF72" s="161">
        <v>0</v>
      </c>
      <c r="AG72" s="203">
        <v>0</v>
      </c>
      <c r="AH72" s="203">
        <v>0</v>
      </c>
      <c r="AI72" s="203">
        <v>130</v>
      </c>
      <c r="AJ72" s="203">
        <v>0</v>
      </c>
      <c r="AK72" s="203">
        <v>16</v>
      </c>
      <c r="AL72" s="203">
        <v>0</v>
      </c>
      <c r="AM72" s="203">
        <v>1820</v>
      </c>
      <c r="AN72" s="203">
        <v>3562</v>
      </c>
      <c r="AO72" s="203">
        <v>6255</v>
      </c>
      <c r="AP72" s="203">
        <v>420</v>
      </c>
      <c r="AQ72" s="203">
        <v>1244</v>
      </c>
      <c r="AR72" s="203">
        <v>535</v>
      </c>
      <c r="AS72" s="160">
        <v>0</v>
      </c>
      <c r="AT72" s="203">
        <v>0</v>
      </c>
      <c r="AU72" s="203">
        <v>100</v>
      </c>
      <c r="AV72" s="203">
        <v>0</v>
      </c>
      <c r="AW72" s="203">
        <v>46</v>
      </c>
      <c r="AX72" s="203">
        <v>0</v>
      </c>
      <c r="AY72" s="203">
        <v>2380</v>
      </c>
      <c r="AZ72" s="203">
        <v>1777</v>
      </c>
      <c r="BA72" s="203">
        <v>7510</v>
      </c>
      <c r="BB72" s="203">
        <v>630</v>
      </c>
      <c r="BC72" s="203">
        <v>1004</v>
      </c>
      <c r="BD72" s="203">
        <v>535</v>
      </c>
      <c r="BE72" s="162">
        <v>0</v>
      </c>
      <c r="BF72" s="203">
        <v>0</v>
      </c>
      <c r="BG72" s="203">
        <v>0</v>
      </c>
      <c r="BH72" s="217" t="s">
        <v>687</v>
      </c>
      <c r="BI72" s="217">
        <v>0</v>
      </c>
      <c r="BJ72" s="203">
        <v>0</v>
      </c>
      <c r="BK72" s="203">
        <v>0</v>
      </c>
      <c r="BL72" s="217" t="s">
        <v>687</v>
      </c>
      <c r="BM72" s="217">
        <v>0</v>
      </c>
      <c r="BN72" s="203">
        <v>0</v>
      </c>
      <c r="BO72" s="203">
        <v>0</v>
      </c>
      <c r="BP72" s="307" t="s">
        <v>687</v>
      </c>
    </row>
    <row r="73" spans="1:68" x14ac:dyDescent="0.45">
      <c r="A73">
        <v>208</v>
      </c>
      <c r="B73" t="s">
        <v>68</v>
      </c>
      <c r="C73" s="238" t="s">
        <v>571</v>
      </c>
      <c r="D73" s="280">
        <v>114848438.38999999</v>
      </c>
      <c r="E73" s="203">
        <v>18589</v>
      </c>
      <c r="F73" s="282">
        <v>21082</v>
      </c>
      <c r="G73" s="286">
        <v>0.1341115713594061</v>
      </c>
      <c r="H73" s="160">
        <v>19570</v>
      </c>
      <c r="I73" s="159">
        <v>24450</v>
      </c>
      <c r="J73" s="159">
        <v>821</v>
      </c>
      <c r="K73" s="159">
        <v>20</v>
      </c>
      <c r="L73" s="159">
        <v>5470</v>
      </c>
      <c r="M73" s="171">
        <v>0.205989444239561</v>
      </c>
      <c r="N73" s="270">
        <v>21436</v>
      </c>
      <c r="O73" s="273">
        <v>23043</v>
      </c>
      <c r="P73" s="274">
        <v>7.4967344653853296E-2</v>
      </c>
      <c r="Q73" s="273">
        <v>23768</v>
      </c>
      <c r="R73" s="278">
        <v>0.108788953162904</v>
      </c>
      <c r="S73" s="265">
        <v>81.7</v>
      </c>
      <c r="T73" s="265">
        <v>9</v>
      </c>
      <c r="U73" s="265">
        <v>3.2</v>
      </c>
      <c r="V73" s="265">
        <v>93.9</v>
      </c>
      <c r="W73" s="160">
        <v>0</v>
      </c>
      <c r="X73" s="159">
        <v>36</v>
      </c>
      <c r="Y73" s="159">
        <v>0</v>
      </c>
      <c r="Z73" s="159">
        <v>0</v>
      </c>
      <c r="AA73" s="159">
        <v>0</v>
      </c>
      <c r="AB73" s="159">
        <v>9958</v>
      </c>
      <c r="AC73" s="159">
        <v>13791</v>
      </c>
      <c r="AD73" s="159">
        <v>1050</v>
      </c>
      <c r="AE73" s="159">
        <v>875</v>
      </c>
      <c r="AF73" s="161">
        <v>0</v>
      </c>
      <c r="AG73" s="203">
        <v>0</v>
      </c>
      <c r="AH73" s="203">
        <v>36</v>
      </c>
      <c r="AI73" s="203">
        <v>0</v>
      </c>
      <c r="AJ73" s="203">
        <v>0</v>
      </c>
      <c r="AK73" s="203">
        <v>0</v>
      </c>
      <c r="AL73" s="203">
        <v>0</v>
      </c>
      <c r="AM73" s="203">
        <v>7484</v>
      </c>
      <c r="AN73" s="203">
        <v>4104</v>
      </c>
      <c r="AO73" s="203">
        <v>12226</v>
      </c>
      <c r="AP73" s="203">
        <v>840</v>
      </c>
      <c r="AQ73" s="203">
        <v>420</v>
      </c>
      <c r="AR73" s="203">
        <v>600</v>
      </c>
      <c r="AS73" s="160">
        <v>0</v>
      </c>
      <c r="AT73" s="203">
        <v>36</v>
      </c>
      <c r="AU73" s="203">
        <v>0</v>
      </c>
      <c r="AV73" s="203">
        <v>0</v>
      </c>
      <c r="AW73" s="203">
        <v>0</v>
      </c>
      <c r="AX73" s="203">
        <v>0</v>
      </c>
      <c r="AY73" s="203">
        <v>4664</v>
      </c>
      <c r="AZ73" s="203">
        <v>8215</v>
      </c>
      <c r="BA73" s="203">
        <v>10935</v>
      </c>
      <c r="BB73" s="203">
        <v>840</v>
      </c>
      <c r="BC73" s="203">
        <v>420</v>
      </c>
      <c r="BD73" s="203">
        <v>600</v>
      </c>
      <c r="BE73" s="162">
        <v>21353744.483406425</v>
      </c>
      <c r="BF73" s="203">
        <v>5</v>
      </c>
      <c r="BG73" s="203">
        <v>1508</v>
      </c>
      <c r="BH73" s="217">
        <v>14160.308012868982</v>
      </c>
      <c r="BI73" s="217">
        <v>143694.59536745778</v>
      </c>
      <c r="BJ73" s="203">
        <v>1</v>
      </c>
      <c r="BK73" s="203">
        <v>60</v>
      </c>
      <c r="BL73" s="217">
        <v>2394.9099227909628</v>
      </c>
      <c r="BM73" s="217">
        <v>0</v>
      </c>
      <c r="BN73" s="203">
        <v>0</v>
      </c>
      <c r="BO73" s="203">
        <v>0</v>
      </c>
      <c r="BP73" s="307" t="s">
        <v>687</v>
      </c>
    </row>
    <row r="74" spans="1:68" x14ac:dyDescent="0.45">
      <c r="A74">
        <v>888</v>
      </c>
      <c r="B74" t="s">
        <v>69</v>
      </c>
      <c r="C74" s="238" t="s">
        <v>569</v>
      </c>
      <c r="D74" s="280">
        <v>152553216.94999999</v>
      </c>
      <c r="E74" s="203">
        <v>86905</v>
      </c>
      <c r="F74" s="282">
        <v>99657</v>
      </c>
      <c r="G74" s="286">
        <v>0.14673494045221794</v>
      </c>
      <c r="H74" s="160">
        <v>100778</v>
      </c>
      <c r="I74" s="159">
        <v>105696</v>
      </c>
      <c r="J74" s="159">
        <v>140</v>
      </c>
      <c r="K74" s="159">
        <v>1520</v>
      </c>
      <c r="L74" s="159">
        <v>7810</v>
      </c>
      <c r="M74" s="171">
        <v>7.3679567234784998E-2</v>
      </c>
      <c r="N74" s="270">
        <v>98173</v>
      </c>
      <c r="O74" s="273">
        <v>99167</v>
      </c>
      <c r="P74" s="274">
        <v>1.01249834475874E-2</v>
      </c>
      <c r="Q74" s="273">
        <v>100107</v>
      </c>
      <c r="R74" s="278">
        <v>1.9699917492589598E-2</v>
      </c>
      <c r="S74" s="265">
        <v>90.4</v>
      </c>
      <c r="T74" s="265">
        <v>5.6</v>
      </c>
      <c r="U74" s="265">
        <v>1.8</v>
      </c>
      <c r="V74" s="265">
        <v>97.9</v>
      </c>
      <c r="W74" s="160">
        <v>136</v>
      </c>
      <c r="X74" s="159">
        <v>226</v>
      </c>
      <c r="Y74" s="159">
        <v>0</v>
      </c>
      <c r="Z74" s="159">
        <v>0</v>
      </c>
      <c r="AA74" s="159">
        <v>0</v>
      </c>
      <c r="AB74" s="159">
        <v>20235</v>
      </c>
      <c r="AC74" s="159">
        <v>76218</v>
      </c>
      <c r="AD74" s="159">
        <v>8230</v>
      </c>
      <c r="AE74" s="159">
        <v>210</v>
      </c>
      <c r="AF74" s="161">
        <v>0</v>
      </c>
      <c r="AG74" s="203">
        <v>0</v>
      </c>
      <c r="AH74" s="203">
        <v>40</v>
      </c>
      <c r="AI74" s="203">
        <v>269</v>
      </c>
      <c r="AJ74" s="203">
        <v>0</v>
      </c>
      <c r="AK74" s="203">
        <v>20</v>
      </c>
      <c r="AL74" s="203">
        <v>33</v>
      </c>
      <c r="AM74" s="203">
        <v>3755</v>
      </c>
      <c r="AN74" s="203">
        <v>9340</v>
      </c>
      <c r="AO74" s="203">
        <v>72807</v>
      </c>
      <c r="AP74" s="203">
        <v>6916</v>
      </c>
      <c r="AQ74" s="203">
        <v>9197</v>
      </c>
      <c r="AR74" s="203">
        <v>2878</v>
      </c>
      <c r="AS74" s="160">
        <v>0</v>
      </c>
      <c r="AT74" s="203">
        <v>35</v>
      </c>
      <c r="AU74" s="203">
        <v>182</v>
      </c>
      <c r="AV74" s="203">
        <v>77</v>
      </c>
      <c r="AW74" s="203">
        <v>35</v>
      </c>
      <c r="AX74" s="203">
        <v>33</v>
      </c>
      <c r="AY74" s="203">
        <v>8950</v>
      </c>
      <c r="AZ74" s="203">
        <v>10265</v>
      </c>
      <c r="BA74" s="203">
        <v>66767</v>
      </c>
      <c r="BB74" s="203">
        <v>9065</v>
      </c>
      <c r="BC74" s="203">
        <v>6968</v>
      </c>
      <c r="BD74" s="203">
        <v>2878</v>
      </c>
      <c r="BE74" s="162">
        <v>21605107.03226392</v>
      </c>
      <c r="BF74" s="203">
        <v>10</v>
      </c>
      <c r="BG74" s="203">
        <v>948</v>
      </c>
      <c r="BH74" s="217">
        <v>22790.197291417637</v>
      </c>
      <c r="BI74" s="217">
        <v>2475302.1869981037</v>
      </c>
      <c r="BJ74" s="203">
        <v>8</v>
      </c>
      <c r="BK74" s="203">
        <v>270</v>
      </c>
      <c r="BL74" s="217">
        <v>9167.7858777707552</v>
      </c>
      <c r="BM74" s="217">
        <v>0</v>
      </c>
      <c r="BN74" s="203">
        <v>0</v>
      </c>
      <c r="BO74" s="203">
        <v>0</v>
      </c>
      <c r="BP74" s="307" t="s">
        <v>687</v>
      </c>
    </row>
    <row r="75" spans="1:68" x14ac:dyDescent="0.45">
      <c r="A75">
        <v>383</v>
      </c>
      <c r="B75" t="s">
        <v>70</v>
      </c>
      <c r="C75" s="238" t="s">
        <v>565</v>
      </c>
      <c r="D75" s="280">
        <v>287210626.18000001</v>
      </c>
      <c r="E75" s="203">
        <v>54584</v>
      </c>
      <c r="F75" s="282">
        <v>72239</v>
      </c>
      <c r="G75" s="286">
        <v>0.3234464311886267</v>
      </c>
      <c r="H75" s="160">
        <v>59574</v>
      </c>
      <c r="I75" s="159">
        <v>72095</v>
      </c>
      <c r="J75" s="159">
        <v>1575</v>
      </c>
      <c r="K75" s="159">
        <v>2080</v>
      </c>
      <c r="L75" s="159">
        <v>4890</v>
      </c>
      <c r="M75" s="171">
        <v>6.5180427484799006E-2</v>
      </c>
      <c r="N75" s="270">
        <v>69538</v>
      </c>
      <c r="O75" s="273">
        <v>70217</v>
      </c>
      <c r="P75" s="274">
        <v>9.7644453392389807E-3</v>
      </c>
      <c r="Q75" s="273">
        <v>71743</v>
      </c>
      <c r="R75" s="278">
        <v>3.1709281256291501E-2</v>
      </c>
      <c r="S75" s="265">
        <v>88.4</v>
      </c>
      <c r="T75" s="265">
        <v>6</v>
      </c>
      <c r="U75" s="265">
        <v>1.7</v>
      </c>
      <c r="V75" s="265">
        <v>96.1</v>
      </c>
      <c r="W75" s="160">
        <v>157</v>
      </c>
      <c r="X75" s="159">
        <v>982</v>
      </c>
      <c r="Y75" s="159">
        <v>105</v>
      </c>
      <c r="Z75" s="159">
        <v>15</v>
      </c>
      <c r="AA75" s="159">
        <v>420</v>
      </c>
      <c r="AB75" s="159">
        <v>12211</v>
      </c>
      <c r="AC75" s="159">
        <v>45067</v>
      </c>
      <c r="AD75" s="159">
        <v>11017</v>
      </c>
      <c r="AE75" s="159">
        <v>747</v>
      </c>
      <c r="AF75" s="161">
        <v>420</v>
      </c>
      <c r="AG75" s="203">
        <v>60</v>
      </c>
      <c r="AH75" s="203">
        <v>93</v>
      </c>
      <c r="AI75" s="203">
        <v>896</v>
      </c>
      <c r="AJ75" s="203">
        <v>90</v>
      </c>
      <c r="AK75" s="203">
        <v>60</v>
      </c>
      <c r="AL75" s="203">
        <v>480</v>
      </c>
      <c r="AM75" s="203">
        <v>6824</v>
      </c>
      <c r="AN75" s="203">
        <v>7354</v>
      </c>
      <c r="AO75" s="203">
        <v>40072</v>
      </c>
      <c r="AP75" s="203">
        <v>7348</v>
      </c>
      <c r="AQ75" s="203">
        <v>3649</v>
      </c>
      <c r="AR75" s="203">
        <v>4215</v>
      </c>
      <c r="AS75" s="160">
        <v>120</v>
      </c>
      <c r="AT75" s="203">
        <v>343</v>
      </c>
      <c r="AU75" s="203">
        <v>571</v>
      </c>
      <c r="AV75" s="203">
        <v>165</v>
      </c>
      <c r="AW75" s="203">
        <v>0</v>
      </c>
      <c r="AX75" s="203">
        <v>480</v>
      </c>
      <c r="AY75" s="203">
        <v>10430</v>
      </c>
      <c r="AZ75" s="203">
        <v>12390</v>
      </c>
      <c r="BA75" s="203">
        <v>33357</v>
      </c>
      <c r="BB75" s="203">
        <v>6107</v>
      </c>
      <c r="BC75" s="203">
        <v>2963</v>
      </c>
      <c r="BD75" s="203">
        <v>4215</v>
      </c>
      <c r="BE75" s="162">
        <v>57111444.3175596</v>
      </c>
      <c r="BF75" s="203">
        <v>14</v>
      </c>
      <c r="BG75" s="203">
        <v>1095</v>
      </c>
      <c r="BH75" s="217">
        <v>52156.570153022469</v>
      </c>
      <c r="BI75" s="217">
        <v>16333768.950633626</v>
      </c>
      <c r="BJ75" s="203">
        <v>36</v>
      </c>
      <c r="BK75" s="203">
        <v>1000</v>
      </c>
      <c r="BL75" s="217">
        <v>16333.768950633626</v>
      </c>
      <c r="BM75" s="217">
        <v>0</v>
      </c>
      <c r="BN75" s="203">
        <v>0</v>
      </c>
      <c r="BO75" s="203">
        <v>0</v>
      </c>
      <c r="BP75" s="307" t="s">
        <v>687</v>
      </c>
    </row>
    <row r="76" spans="1:68" x14ac:dyDescent="0.45">
      <c r="A76">
        <v>856</v>
      </c>
      <c r="B76" t="s">
        <v>71</v>
      </c>
      <c r="C76" s="238" t="s">
        <v>573</v>
      </c>
      <c r="D76" s="280">
        <v>166735397.37</v>
      </c>
      <c r="E76" s="203">
        <v>25246</v>
      </c>
      <c r="F76" s="282">
        <v>34340</v>
      </c>
      <c r="G76" s="286">
        <v>0.36021547967994932</v>
      </c>
      <c r="H76" s="160">
        <v>27385</v>
      </c>
      <c r="I76" s="159">
        <v>34458</v>
      </c>
      <c r="J76" s="159">
        <v>88</v>
      </c>
      <c r="K76" s="159">
        <v>360</v>
      </c>
      <c r="L76" s="159">
        <v>1110</v>
      </c>
      <c r="M76" s="171">
        <v>3.1532779013651903E-2</v>
      </c>
      <c r="N76" s="270">
        <v>33535</v>
      </c>
      <c r="O76" s="273">
        <v>33717</v>
      </c>
      <c r="P76" s="274">
        <v>5.4271656478306202E-3</v>
      </c>
      <c r="Q76" s="273">
        <v>33834</v>
      </c>
      <c r="R76" s="278">
        <v>8.9160578500074496E-3</v>
      </c>
      <c r="S76" s="265">
        <v>90.5</v>
      </c>
      <c r="T76" s="265">
        <v>5.0999999999999996</v>
      </c>
      <c r="U76" s="265">
        <v>1.2</v>
      </c>
      <c r="V76" s="265">
        <v>96.7</v>
      </c>
      <c r="W76" s="160">
        <v>0</v>
      </c>
      <c r="X76" s="159">
        <v>133</v>
      </c>
      <c r="Y76" s="159">
        <v>0</v>
      </c>
      <c r="Z76" s="159">
        <v>0</v>
      </c>
      <c r="AA76" s="159">
        <v>420</v>
      </c>
      <c r="AB76" s="159">
        <v>4940</v>
      </c>
      <c r="AC76" s="159">
        <v>25225</v>
      </c>
      <c r="AD76" s="159">
        <v>3950</v>
      </c>
      <c r="AE76" s="159">
        <v>420</v>
      </c>
      <c r="AF76" s="161">
        <v>0</v>
      </c>
      <c r="AG76" s="203">
        <v>0</v>
      </c>
      <c r="AH76" s="203">
        <v>16</v>
      </c>
      <c r="AI76" s="203">
        <v>90</v>
      </c>
      <c r="AJ76" s="203">
        <v>0</v>
      </c>
      <c r="AK76" s="203">
        <v>0</v>
      </c>
      <c r="AL76" s="203">
        <v>447</v>
      </c>
      <c r="AM76" s="203">
        <v>4186</v>
      </c>
      <c r="AN76" s="203">
        <v>4900</v>
      </c>
      <c r="AO76" s="203">
        <v>17009</v>
      </c>
      <c r="AP76" s="203">
        <v>1832</v>
      </c>
      <c r="AQ76" s="203">
        <v>2790</v>
      </c>
      <c r="AR76" s="203">
        <v>3818</v>
      </c>
      <c r="AS76" s="160">
        <v>60</v>
      </c>
      <c r="AT76" s="203">
        <v>30</v>
      </c>
      <c r="AU76" s="203">
        <v>16</v>
      </c>
      <c r="AV76" s="203">
        <v>0</v>
      </c>
      <c r="AW76" s="203">
        <v>0</v>
      </c>
      <c r="AX76" s="203">
        <v>447</v>
      </c>
      <c r="AY76" s="203">
        <v>7479</v>
      </c>
      <c r="AZ76" s="203">
        <v>6880</v>
      </c>
      <c r="BA76" s="203">
        <v>14644</v>
      </c>
      <c r="BB76" s="203">
        <v>1294</v>
      </c>
      <c r="BC76" s="203">
        <v>420</v>
      </c>
      <c r="BD76" s="203">
        <v>3818</v>
      </c>
      <c r="BE76" s="162">
        <v>15397511.625061966</v>
      </c>
      <c r="BF76" s="203">
        <v>5</v>
      </c>
      <c r="BG76" s="203">
        <v>915</v>
      </c>
      <c r="BH76" s="217">
        <v>16827.881557444773</v>
      </c>
      <c r="BI76" s="217">
        <v>5442983.314923265</v>
      </c>
      <c r="BJ76" s="203">
        <v>22</v>
      </c>
      <c r="BK76" s="203">
        <v>1147</v>
      </c>
      <c r="BL76" s="217">
        <v>4745.4082954867172</v>
      </c>
      <c r="BM76" s="217">
        <v>3240364.5331075853</v>
      </c>
      <c r="BN76" s="203">
        <v>1</v>
      </c>
      <c r="BO76" s="203">
        <v>210</v>
      </c>
      <c r="BP76" s="307">
        <v>15430.307300512311</v>
      </c>
    </row>
    <row r="77" spans="1:68" x14ac:dyDescent="0.45">
      <c r="A77">
        <v>855</v>
      </c>
      <c r="B77" t="s">
        <v>72</v>
      </c>
      <c r="C77" s="238" t="s">
        <v>573</v>
      </c>
      <c r="D77" s="280">
        <v>139225778.25</v>
      </c>
      <c r="E77" s="203">
        <v>48310</v>
      </c>
      <c r="F77" s="282">
        <v>58608</v>
      </c>
      <c r="G77" s="286">
        <v>0.21316497619540467</v>
      </c>
      <c r="H77" s="160">
        <v>53048</v>
      </c>
      <c r="I77" s="159">
        <v>59681</v>
      </c>
      <c r="J77" s="159">
        <v>2372</v>
      </c>
      <c r="K77" s="159">
        <v>1190</v>
      </c>
      <c r="L77" s="159">
        <v>4640</v>
      </c>
      <c r="M77" s="171">
        <v>7.4768660579270604E-2</v>
      </c>
      <c r="N77" s="270">
        <v>54426</v>
      </c>
      <c r="O77" s="273">
        <v>54713</v>
      </c>
      <c r="P77" s="274">
        <v>5.2732150075331602E-3</v>
      </c>
      <c r="Q77" s="273">
        <v>56127</v>
      </c>
      <c r="R77" s="278">
        <v>3.1253445044647797E-2</v>
      </c>
      <c r="S77" s="265">
        <v>90.4</v>
      </c>
      <c r="T77" s="265">
        <v>5.2</v>
      </c>
      <c r="U77" s="265">
        <v>1.6</v>
      </c>
      <c r="V77" s="265">
        <v>97.2</v>
      </c>
      <c r="W77" s="160">
        <v>92</v>
      </c>
      <c r="X77" s="159">
        <v>738</v>
      </c>
      <c r="Y77" s="159">
        <v>189</v>
      </c>
      <c r="Z77" s="159">
        <v>0</v>
      </c>
      <c r="AA77" s="159">
        <v>0</v>
      </c>
      <c r="AB77" s="159">
        <v>8805</v>
      </c>
      <c r="AC77" s="159">
        <v>41778</v>
      </c>
      <c r="AD77" s="159">
        <v>5970</v>
      </c>
      <c r="AE77" s="159">
        <v>954</v>
      </c>
      <c r="AF77" s="161">
        <v>210</v>
      </c>
      <c r="AG77" s="203">
        <v>0</v>
      </c>
      <c r="AH77" s="203">
        <v>0</v>
      </c>
      <c r="AI77" s="203">
        <v>555</v>
      </c>
      <c r="AJ77" s="203">
        <v>240</v>
      </c>
      <c r="AK77" s="203">
        <v>140</v>
      </c>
      <c r="AL77" s="203">
        <v>84</v>
      </c>
      <c r="AM77" s="203">
        <v>4615</v>
      </c>
      <c r="AN77" s="203">
        <v>4185</v>
      </c>
      <c r="AO77" s="203">
        <v>36960</v>
      </c>
      <c r="AP77" s="203">
        <v>4627</v>
      </c>
      <c r="AQ77" s="203">
        <v>4268</v>
      </c>
      <c r="AR77" s="203">
        <v>3062</v>
      </c>
      <c r="AS77" s="160">
        <v>0</v>
      </c>
      <c r="AT77" s="203">
        <v>0</v>
      </c>
      <c r="AU77" s="203">
        <v>527</v>
      </c>
      <c r="AV77" s="203">
        <v>210</v>
      </c>
      <c r="AW77" s="203">
        <v>198</v>
      </c>
      <c r="AX77" s="203">
        <v>84</v>
      </c>
      <c r="AY77" s="203">
        <v>4779</v>
      </c>
      <c r="AZ77" s="203">
        <v>8352</v>
      </c>
      <c r="BA77" s="203">
        <v>34435</v>
      </c>
      <c r="BB77" s="203">
        <v>3914</v>
      </c>
      <c r="BC77" s="203">
        <v>3175</v>
      </c>
      <c r="BD77" s="203">
        <v>3062</v>
      </c>
      <c r="BE77" s="162">
        <v>33290622.436132874</v>
      </c>
      <c r="BF77" s="203">
        <v>41</v>
      </c>
      <c r="BG77" s="203">
        <v>2734</v>
      </c>
      <c r="BH77" s="217">
        <v>12176.526128797686</v>
      </c>
      <c r="BI77" s="217">
        <v>18195.693244236081</v>
      </c>
      <c r="BJ77" s="203">
        <v>1</v>
      </c>
      <c r="BK77" s="203">
        <v>15</v>
      </c>
      <c r="BL77" s="217">
        <v>1213.0462162824053</v>
      </c>
      <c r="BM77" s="217">
        <v>4895692.5212816475</v>
      </c>
      <c r="BN77" s="203">
        <v>1</v>
      </c>
      <c r="BO77" s="203">
        <v>210</v>
      </c>
      <c r="BP77" s="307">
        <v>23312.821529912606</v>
      </c>
    </row>
    <row r="78" spans="1:68" x14ac:dyDescent="0.45">
      <c r="A78">
        <v>209</v>
      </c>
      <c r="B78" t="s">
        <v>73</v>
      </c>
      <c r="C78" s="238" t="s">
        <v>571</v>
      </c>
      <c r="D78" s="280">
        <v>121272643.90999998</v>
      </c>
      <c r="E78" s="203">
        <v>19637</v>
      </c>
      <c r="F78" s="282">
        <v>24355</v>
      </c>
      <c r="G78" s="286">
        <v>0.24026073229108316</v>
      </c>
      <c r="H78" s="160">
        <v>21093</v>
      </c>
      <c r="I78" s="159">
        <v>26079</v>
      </c>
      <c r="J78" s="159">
        <v>0</v>
      </c>
      <c r="K78" s="159">
        <v>0</v>
      </c>
      <c r="L78" s="159">
        <v>4110</v>
      </c>
      <c r="M78" s="171">
        <v>0.144387844270712</v>
      </c>
      <c r="N78" s="270">
        <v>24874</v>
      </c>
      <c r="O78" s="273">
        <v>24979</v>
      </c>
      <c r="P78" s="274">
        <v>4.2212752271448099E-3</v>
      </c>
      <c r="Q78" s="273">
        <v>26055</v>
      </c>
      <c r="R78" s="278">
        <v>4.74792956500764E-2</v>
      </c>
      <c r="S78" s="265">
        <v>83.6</v>
      </c>
      <c r="T78" s="265">
        <v>9.3000000000000007</v>
      </c>
      <c r="U78" s="265">
        <v>3</v>
      </c>
      <c r="V78" s="265">
        <v>95.8</v>
      </c>
      <c r="W78" s="160">
        <v>0</v>
      </c>
      <c r="X78" s="159">
        <v>105</v>
      </c>
      <c r="Y78" s="159">
        <v>0</v>
      </c>
      <c r="Z78" s="159">
        <v>0</v>
      </c>
      <c r="AA78" s="159">
        <v>0</v>
      </c>
      <c r="AB78" s="159">
        <v>7704</v>
      </c>
      <c r="AC78" s="159">
        <v>18270</v>
      </c>
      <c r="AD78" s="159">
        <v>1756</v>
      </c>
      <c r="AE78" s="159">
        <v>0</v>
      </c>
      <c r="AF78" s="161">
        <v>0</v>
      </c>
      <c r="AG78" s="203">
        <v>0</v>
      </c>
      <c r="AH78" s="203">
        <v>105</v>
      </c>
      <c r="AI78" s="203">
        <v>0</v>
      </c>
      <c r="AJ78" s="203">
        <v>0</v>
      </c>
      <c r="AK78" s="203">
        <v>0</v>
      </c>
      <c r="AL78" s="203">
        <v>0</v>
      </c>
      <c r="AM78" s="203">
        <v>2331</v>
      </c>
      <c r="AN78" s="203">
        <v>3372</v>
      </c>
      <c r="AO78" s="203">
        <v>12878</v>
      </c>
      <c r="AP78" s="203">
        <v>3820</v>
      </c>
      <c r="AQ78" s="203">
        <v>3753</v>
      </c>
      <c r="AR78" s="203">
        <v>1576</v>
      </c>
      <c r="AS78" s="160">
        <v>0</v>
      </c>
      <c r="AT78" s="203">
        <v>0</v>
      </c>
      <c r="AU78" s="203">
        <v>105</v>
      </c>
      <c r="AV78" s="203">
        <v>0</v>
      </c>
      <c r="AW78" s="203">
        <v>0</v>
      </c>
      <c r="AX78" s="203">
        <v>0</v>
      </c>
      <c r="AY78" s="203">
        <v>1886</v>
      </c>
      <c r="AZ78" s="203">
        <v>4057</v>
      </c>
      <c r="BA78" s="203">
        <v>13629</v>
      </c>
      <c r="BB78" s="203">
        <v>3807</v>
      </c>
      <c r="BC78" s="203">
        <v>2775</v>
      </c>
      <c r="BD78" s="203">
        <v>1576</v>
      </c>
      <c r="BE78" s="162">
        <v>22734012.280753888</v>
      </c>
      <c r="BF78" s="203">
        <v>6</v>
      </c>
      <c r="BG78" s="203">
        <v>879</v>
      </c>
      <c r="BH78" s="217">
        <v>25863.495199947542</v>
      </c>
      <c r="BI78" s="217">
        <v>3020060.0464305524</v>
      </c>
      <c r="BJ78" s="203">
        <v>10</v>
      </c>
      <c r="BK78" s="203">
        <v>270</v>
      </c>
      <c r="BL78" s="217">
        <v>11185.407579372417</v>
      </c>
      <c r="BM78" s="217">
        <v>0</v>
      </c>
      <c r="BN78" s="203">
        <v>0</v>
      </c>
      <c r="BO78" s="203">
        <v>0</v>
      </c>
      <c r="BP78" s="307" t="s">
        <v>687</v>
      </c>
    </row>
    <row r="79" spans="1:68" x14ac:dyDescent="0.45">
      <c r="A79">
        <v>925</v>
      </c>
      <c r="B79" t="s">
        <v>74</v>
      </c>
      <c r="C79" s="238" t="s">
        <v>573</v>
      </c>
      <c r="D79" s="280">
        <v>117739181.55000001</v>
      </c>
      <c r="E79" s="203">
        <v>48997</v>
      </c>
      <c r="F79" s="282">
        <v>56087</v>
      </c>
      <c r="G79" s="286">
        <v>0.14470273690225932</v>
      </c>
      <c r="H79" s="160">
        <v>56105</v>
      </c>
      <c r="I79" s="159">
        <v>62860</v>
      </c>
      <c r="J79" s="159">
        <v>923</v>
      </c>
      <c r="K79" s="159">
        <v>430</v>
      </c>
      <c r="L79" s="159">
        <v>8370</v>
      </c>
      <c r="M79" s="171">
        <v>0.13065680360026799</v>
      </c>
      <c r="N79" s="270">
        <v>56468</v>
      </c>
      <c r="O79" s="273">
        <v>56871</v>
      </c>
      <c r="P79" s="274">
        <v>7.1367854359991496E-3</v>
      </c>
      <c r="Q79" s="273">
        <v>57431</v>
      </c>
      <c r="R79" s="278">
        <v>1.7053906637387501E-2</v>
      </c>
      <c r="S79" s="265">
        <v>94</v>
      </c>
      <c r="T79" s="265">
        <v>4</v>
      </c>
      <c r="U79" s="265">
        <v>0.7</v>
      </c>
      <c r="V79" s="265">
        <v>98.7</v>
      </c>
      <c r="W79" s="160">
        <v>60</v>
      </c>
      <c r="X79" s="159">
        <v>322</v>
      </c>
      <c r="Y79" s="159">
        <v>132</v>
      </c>
      <c r="Z79" s="159">
        <v>0</v>
      </c>
      <c r="AA79" s="159">
        <v>420</v>
      </c>
      <c r="AB79" s="159">
        <v>9346</v>
      </c>
      <c r="AC79" s="159">
        <v>41948</v>
      </c>
      <c r="AD79" s="159">
        <v>7313</v>
      </c>
      <c r="AE79" s="159">
        <v>2274</v>
      </c>
      <c r="AF79" s="161">
        <v>0</v>
      </c>
      <c r="AG79" s="203">
        <v>35</v>
      </c>
      <c r="AH79" s="203">
        <v>120</v>
      </c>
      <c r="AI79" s="203">
        <v>239</v>
      </c>
      <c r="AJ79" s="203">
        <v>70</v>
      </c>
      <c r="AK79" s="203">
        <v>30</v>
      </c>
      <c r="AL79" s="203">
        <v>440</v>
      </c>
      <c r="AM79" s="203">
        <v>2336</v>
      </c>
      <c r="AN79" s="203">
        <v>2515</v>
      </c>
      <c r="AO79" s="203">
        <v>34659</v>
      </c>
      <c r="AP79" s="203">
        <v>8589</v>
      </c>
      <c r="AQ79" s="203">
        <v>6769</v>
      </c>
      <c r="AR79" s="203">
        <v>6013</v>
      </c>
      <c r="AS79" s="160">
        <v>0</v>
      </c>
      <c r="AT79" s="203">
        <v>240</v>
      </c>
      <c r="AU79" s="203">
        <v>154</v>
      </c>
      <c r="AV79" s="203">
        <v>70</v>
      </c>
      <c r="AW79" s="203">
        <v>30</v>
      </c>
      <c r="AX79" s="203">
        <v>440</v>
      </c>
      <c r="AY79" s="203">
        <v>2623</v>
      </c>
      <c r="AZ79" s="203">
        <v>5633</v>
      </c>
      <c r="BA79" s="203">
        <v>33276</v>
      </c>
      <c r="BB79" s="203">
        <v>7030</v>
      </c>
      <c r="BC79" s="203">
        <v>6306</v>
      </c>
      <c r="BD79" s="203">
        <v>6013</v>
      </c>
      <c r="BE79" s="162">
        <v>23196061.778330516</v>
      </c>
      <c r="BF79" s="203">
        <v>20</v>
      </c>
      <c r="BG79" s="203">
        <v>1705</v>
      </c>
      <c r="BH79" s="217">
        <v>13604.728315736373</v>
      </c>
      <c r="BI79" s="217">
        <v>958975.55674409796</v>
      </c>
      <c r="BJ79" s="203">
        <v>8</v>
      </c>
      <c r="BK79" s="203">
        <v>168</v>
      </c>
      <c r="BL79" s="217">
        <v>5708.187837762488</v>
      </c>
      <c r="BM79" s="217">
        <v>9267123.7512167078</v>
      </c>
      <c r="BN79" s="203">
        <v>2</v>
      </c>
      <c r="BO79" s="203">
        <v>420</v>
      </c>
      <c r="BP79" s="307">
        <v>22064.580360039781</v>
      </c>
    </row>
    <row r="80" spans="1:68" x14ac:dyDescent="0.45">
      <c r="A80">
        <v>341</v>
      </c>
      <c r="B80" t="s">
        <v>75</v>
      </c>
      <c r="C80" s="238" t="s">
        <v>569</v>
      </c>
      <c r="D80" s="280">
        <v>59744068.579999998</v>
      </c>
      <c r="E80" s="203">
        <v>31716</v>
      </c>
      <c r="F80" s="282">
        <v>38166</v>
      </c>
      <c r="G80" s="286">
        <v>0.2033673855467272</v>
      </c>
      <c r="H80" s="160">
        <v>35792</v>
      </c>
      <c r="I80" s="159">
        <v>39215</v>
      </c>
      <c r="J80" s="159">
        <v>60</v>
      </c>
      <c r="K80" s="159">
        <v>990</v>
      </c>
      <c r="L80" s="159">
        <v>2560</v>
      </c>
      <c r="M80" s="171">
        <v>6.4373972163809204E-2</v>
      </c>
      <c r="N80" s="270">
        <v>37322</v>
      </c>
      <c r="O80" s="273">
        <v>37209</v>
      </c>
      <c r="P80" s="274">
        <v>-3.0277048389689698E-3</v>
      </c>
      <c r="Q80" s="273">
        <v>37551</v>
      </c>
      <c r="R80" s="278">
        <v>6.1357912223353496E-3</v>
      </c>
      <c r="S80" s="265">
        <v>87.5</v>
      </c>
      <c r="T80" s="265">
        <v>6.3</v>
      </c>
      <c r="U80" s="265">
        <v>1.9</v>
      </c>
      <c r="V80" s="265">
        <v>95.6</v>
      </c>
      <c r="W80" s="160">
        <v>263</v>
      </c>
      <c r="X80" s="159">
        <v>525</v>
      </c>
      <c r="Y80" s="159">
        <v>66</v>
      </c>
      <c r="Z80" s="159">
        <v>0</v>
      </c>
      <c r="AA80" s="159">
        <v>0</v>
      </c>
      <c r="AB80" s="159">
        <v>6504</v>
      </c>
      <c r="AC80" s="159">
        <v>26534</v>
      </c>
      <c r="AD80" s="159">
        <v>4312</v>
      </c>
      <c r="AE80" s="159">
        <v>945</v>
      </c>
      <c r="AF80" s="161">
        <v>0</v>
      </c>
      <c r="AG80" s="203">
        <v>0</v>
      </c>
      <c r="AH80" s="203">
        <v>33</v>
      </c>
      <c r="AI80" s="203">
        <v>727</v>
      </c>
      <c r="AJ80" s="203">
        <v>0</v>
      </c>
      <c r="AK80" s="203">
        <v>35</v>
      </c>
      <c r="AL80" s="203">
        <v>59</v>
      </c>
      <c r="AM80" s="203">
        <v>4375</v>
      </c>
      <c r="AN80" s="203">
        <v>2291</v>
      </c>
      <c r="AO80" s="203">
        <v>22817</v>
      </c>
      <c r="AP80" s="203">
        <v>3828</v>
      </c>
      <c r="AQ80" s="203">
        <v>2472</v>
      </c>
      <c r="AR80" s="203">
        <v>2512</v>
      </c>
      <c r="AS80" s="160">
        <v>198</v>
      </c>
      <c r="AT80" s="203">
        <v>120</v>
      </c>
      <c r="AU80" s="203">
        <v>320</v>
      </c>
      <c r="AV80" s="203">
        <v>157</v>
      </c>
      <c r="AW80" s="203">
        <v>0</v>
      </c>
      <c r="AX80" s="203">
        <v>59</v>
      </c>
      <c r="AY80" s="203">
        <v>4618</v>
      </c>
      <c r="AZ80" s="203">
        <v>3771</v>
      </c>
      <c r="BA80" s="203">
        <v>19121</v>
      </c>
      <c r="BB80" s="203">
        <v>5845</v>
      </c>
      <c r="BC80" s="203">
        <v>2428</v>
      </c>
      <c r="BD80" s="203">
        <v>2512</v>
      </c>
      <c r="BE80" s="162">
        <v>19250728.456102632</v>
      </c>
      <c r="BF80" s="203">
        <v>14</v>
      </c>
      <c r="BG80" s="203">
        <v>1190</v>
      </c>
      <c r="BH80" s="217">
        <v>16177.082736220698</v>
      </c>
      <c r="BI80" s="217">
        <v>0</v>
      </c>
      <c r="BJ80" s="203">
        <v>0</v>
      </c>
      <c r="BK80" s="203">
        <v>0</v>
      </c>
      <c r="BL80" s="217" t="s">
        <v>687</v>
      </c>
      <c r="BM80" s="217">
        <v>0</v>
      </c>
      <c r="BN80" s="203">
        <v>0</v>
      </c>
      <c r="BO80" s="203">
        <v>0</v>
      </c>
      <c r="BP80" s="307" t="s">
        <v>687</v>
      </c>
    </row>
    <row r="81" spans="1:68" x14ac:dyDescent="0.45">
      <c r="A81">
        <v>821</v>
      </c>
      <c r="B81" t="s">
        <v>76</v>
      </c>
      <c r="C81" s="238" t="s">
        <v>567</v>
      </c>
      <c r="D81" s="280">
        <v>85453090.420000002</v>
      </c>
      <c r="E81" s="203">
        <v>18611</v>
      </c>
      <c r="F81" s="282">
        <v>23230</v>
      </c>
      <c r="G81" s="286">
        <v>0.24818655633764977</v>
      </c>
      <c r="H81" s="160">
        <v>19928</v>
      </c>
      <c r="I81" s="159">
        <v>25012</v>
      </c>
      <c r="J81" s="159">
        <v>0</v>
      </c>
      <c r="K81" s="159">
        <v>10</v>
      </c>
      <c r="L81" s="159">
        <v>1790</v>
      </c>
      <c r="M81" s="171">
        <v>7.1605629038111296E-2</v>
      </c>
      <c r="N81" s="270">
        <v>22790</v>
      </c>
      <c r="O81" s="273">
        <v>23074</v>
      </c>
      <c r="P81" s="274">
        <v>1.24616059675296E-2</v>
      </c>
      <c r="Q81" s="273">
        <v>24052</v>
      </c>
      <c r="R81" s="278">
        <v>5.5375164545853402E-2</v>
      </c>
      <c r="S81" s="265">
        <v>93.5</v>
      </c>
      <c r="T81" s="265">
        <v>4.4000000000000004</v>
      </c>
      <c r="U81" s="265">
        <v>1.1000000000000001</v>
      </c>
      <c r="V81" s="265">
        <v>99</v>
      </c>
      <c r="W81" s="160">
        <v>0</v>
      </c>
      <c r="X81" s="159">
        <v>0</v>
      </c>
      <c r="Y81" s="159">
        <v>0</v>
      </c>
      <c r="Z81" s="159">
        <v>0</v>
      </c>
      <c r="AA81" s="159">
        <v>0</v>
      </c>
      <c r="AB81" s="159">
        <v>2578</v>
      </c>
      <c r="AC81" s="159">
        <v>15000</v>
      </c>
      <c r="AD81" s="159">
        <v>7434</v>
      </c>
      <c r="AE81" s="159">
        <v>0</v>
      </c>
      <c r="AF81" s="161">
        <v>0</v>
      </c>
      <c r="AG81" s="203">
        <v>0</v>
      </c>
      <c r="AH81" s="203">
        <v>0</v>
      </c>
      <c r="AI81" s="203">
        <v>0</v>
      </c>
      <c r="AJ81" s="203">
        <v>0</v>
      </c>
      <c r="AK81" s="203">
        <v>0</v>
      </c>
      <c r="AL81" s="203">
        <v>0</v>
      </c>
      <c r="AM81" s="203">
        <v>1470</v>
      </c>
      <c r="AN81" s="203">
        <v>3660</v>
      </c>
      <c r="AO81" s="203">
        <v>9780</v>
      </c>
      <c r="AP81" s="203">
        <v>2964</v>
      </c>
      <c r="AQ81" s="203">
        <v>2850</v>
      </c>
      <c r="AR81" s="203">
        <v>4288</v>
      </c>
      <c r="AS81" s="160">
        <v>0</v>
      </c>
      <c r="AT81" s="203">
        <v>0</v>
      </c>
      <c r="AU81" s="203">
        <v>0</v>
      </c>
      <c r="AV81" s="203">
        <v>0</v>
      </c>
      <c r="AW81" s="203">
        <v>0</v>
      </c>
      <c r="AX81" s="203">
        <v>0</v>
      </c>
      <c r="AY81" s="203">
        <v>2940</v>
      </c>
      <c r="AZ81" s="203">
        <v>4860</v>
      </c>
      <c r="BA81" s="203">
        <v>7530</v>
      </c>
      <c r="BB81" s="203">
        <v>3330</v>
      </c>
      <c r="BC81" s="203">
        <v>2064</v>
      </c>
      <c r="BD81" s="203">
        <v>4288</v>
      </c>
      <c r="BE81" s="162">
        <v>5011190.0223775581</v>
      </c>
      <c r="BF81" s="203">
        <v>3</v>
      </c>
      <c r="BG81" s="203">
        <v>540</v>
      </c>
      <c r="BH81" s="217">
        <v>9279.9815229214037</v>
      </c>
      <c r="BI81" s="217">
        <v>0</v>
      </c>
      <c r="BJ81" s="203">
        <v>0</v>
      </c>
      <c r="BK81" s="203">
        <v>0</v>
      </c>
      <c r="BL81" s="217" t="s">
        <v>687</v>
      </c>
      <c r="BM81" s="217">
        <v>0</v>
      </c>
      <c r="BN81" s="203">
        <v>0</v>
      </c>
      <c r="BO81" s="203">
        <v>0</v>
      </c>
      <c r="BP81" s="307" t="s">
        <v>687</v>
      </c>
    </row>
    <row r="82" spans="1:68" x14ac:dyDescent="0.45">
      <c r="A82">
        <v>352</v>
      </c>
      <c r="B82" t="s">
        <v>77</v>
      </c>
      <c r="C82" s="238" t="s">
        <v>569</v>
      </c>
      <c r="D82" s="280">
        <v>333587176.19</v>
      </c>
      <c r="E82" s="203">
        <v>35792</v>
      </c>
      <c r="F82" s="282">
        <v>50864</v>
      </c>
      <c r="G82" s="286">
        <v>0.42109968708091194</v>
      </c>
      <c r="H82" s="160">
        <v>39178</v>
      </c>
      <c r="I82" s="159">
        <v>52911</v>
      </c>
      <c r="J82" s="159">
        <v>30</v>
      </c>
      <c r="K82" s="159">
        <v>2870</v>
      </c>
      <c r="L82" s="159">
        <v>5580</v>
      </c>
      <c r="M82" s="171">
        <v>0.104110750455765</v>
      </c>
      <c r="N82" s="270">
        <v>49732</v>
      </c>
      <c r="O82" s="273">
        <v>50177</v>
      </c>
      <c r="P82" s="274">
        <v>8.9479610713423894E-3</v>
      </c>
      <c r="Q82" s="273">
        <v>53163</v>
      </c>
      <c r="R82" s="278">
        <v>6.8989785248934302E-2</v>
      </c>
      <c r="S82" s="265">
        <v>90.9</v>
      </c>
      <c r="T82" s="265">
        <v>4.8</v>
      </c>
      <c r="U82" s="265">
        <v>1.5</v>
      </c>
      <c r="V82" s="265">
        <v>97.2</v>
      </c>
      <c r="W82" s="160">
        <v>487</v>
      </c>
      <c r="X82" s="159">
        <v>360</v>
      </c>
      <c r="Y82" s="159">
        <v>105</v>
      </c>
      <c r="Z82" s="159">
        <v>0</v>
      </c>
      <c r="AA82" s="159">
        <v>420</v>
      </c>
      <c r="AB82" s="159">
        <v>10655</v>
      </c>
      <c r="AC82" s="159">
        <v>38275</v>
      </c>
      <c r="AD82" s="159">
        <v>3449</v>
      </c>
      <c r="AE82" s="159">
        <v>0</v>
      </c>
      <c r="AF82" s="161">
        <v>0</v>
      </c>
      <c r="AG82" s="203">
        <v>0</v>
      </c>
      <c r="AH82" s="203">
        <v>487</v>
      </c>
      <c r="AI82" s="203">
        <v>285</v>
      </c>
      <c r="AJ82" s="203">
        <v>0</v>
      </c>
      <c r="AK82" s="203">
        <v>0</v>
      </c>
      <c r="AL82" s="203">
        <v>600</v>
      </c>
      <c r="AM82" s="203">
        <v>6617</v>
      </c>
      <c r="AN82" s="203">
        <v>7064</v>
      </c>
      <c r="AO82" s="203">
        <v>28182</v>
      </c>
      <c r="AP82" s="203">
        <v>4096</v>
      </c>
      <c r="AQ82" s="203">
        <v>4500</v>
      </c>
      <c r="AR82" s="203">
        <v>1920</v>
      </c>
      <c r="AS82" s="160">
        <v>180</v>
      </c>
      <c r="AT82" s="203">
        <v>0</v>
      </c>
      <c r="AU82" s="203">
        <v>60</v>
      </c>
      <c r="AV82" s="203">
        <v>427</v>
      </c>
      <c r="AW82" s="203">
        <v>105</v>
      </c>
      <c r="AX82" s="203">
        <v>600</v>
      </c>
      <c r="AY82" s="203">
        <v>9703</v>
      </c>
      <c r="AZ82" s="203">
        <v>12196</v>
      </c>
      <c r="BA82" s="203">
        <v>21428</v>
      </c>
      <c r="BB82" s="203">
        <v>4177</v>
      </c>
      <c r="BC82" s="203">
        <v>2955</v>
      </c>
      <c r="BD82" s="203">
        <v>1920</v>
      </c>
      <c r="BE82" s="162">
        <v>13607410.499023523</v>
      </c>
      <c r="BF82" s="203">
        <v>6</v>
      </c>
      <c r="BG82" s="203">
        <v>950</v>
      </c>
      <c r="BH82" s="217">
        <v>14323.589998972129</v>
      </c>
      <c r="BI82" s="217">
        <v>4271428.1454277551</v>
      </c>
      <c r="BJ82" s="203">
        <v>9</v>
      </c>
      <c r="BK82" s="203">
        <v>630</v>
      </c>
      <c r="BL82" s="217">
        <v>6780.0446752821508</v>
      </c>
      <c r="BM82" s="217">
        <v>0</v>
      </c>
      <c r="BN82" s="203">
        <v>0</v>
      </c>
      <c r="BO82" s="203">
        <v>0</v>
      </c>
      <c r="BP82" s="307" t="s">
        <v>687</v>
      </c>
    </row>
    <row r="83" spans="1:68" x14ac:dyDescent="0.45">
      <c r="A83">
        <v>887</v>
      </c>
      <c r="B83" t="s">
        <v>78</v>
      </c>
      <c r="C83" s="238" t="s">
        <v>570</v>
      </c>
      <c r="D83" s="280">
        <v>45512888.160000004</v>
      </c>
      <c r="E83" s="203">
        <v>20859</v>
      </c>
      <c r="F83" s="282">
        <v>25653</v>
      </c>
      <c r="G83" s="286">
        <v>0.22982885085574573</v>
      </c>
      <c r="H83" s="160">
        <v>24011</v>
      </c>
      <c r="I83" s="159">
        <v>26716</v>
      </c>
      <c r="J83" s="159">
        <v>0</v>
      </c>
      <c r="K83" s="159">
        <v>140</v>
      </c>
      <c r="L83" s="159">
        <v>1420</v>
      </c>
      <c r="M83" s="171">
        <v>5.2625714230419202E-2</v>
      </c>
      <c r="N83" s="270">
        <v>24557</v>
      </c>
      <c r="O83" s="273">
        <v>24683</v>
      </c>
      <c r="P83" s="274">
        <v>5.1309199006393299E-3</v>
      </c>
      <c r="Q83" s="273">
        <v>25519</v>
      </c>
      <c r="R83" s="278">
        <v>3.9174166225516102E-2</v>
      </c>
      <c r="S83" s="265">
        <v>89</v>
      </c>
      <c r="T83" s="265">
        <v>6.8</v>
      </c>
      <c r="U83" s="265">
        <v>1.7</v>
      </c>
      <c r="V83" s="265">
        <v>97.6</v>
      </c>
      <c r="W83" s="160">
        <v>0</v>
      </c>
      <c r="X83" s="159">
        <v>620</v>
      </c>
      <c r="Y83" s="159">
        <v>0</v>
      </c>
      <c r="Z83" s="159">
        <v>0</v>
      </c>
      <c r="AA83" s="159">
        <v>0</v>
      </c>
      <c r="AB83" s="159">
        <v>2560</v>
      </c>
      <c r="AC83" s="159">
        <v>18128</v>
      </c>
      <c r="AD83" s="159">
        <v>2790</v>
      </c>
      <c r="AE83" s="159">
        <v>1700</v>
      </c>
      <c r="AF83" s="161">
        <v>0</v>
      </c>
      <c r="AG83" s="203">
        <v>0</v>
      </c>
      <c r="AH83" s="203">
        <v>0</v>
      </c>
      <c r="AI83" s="203">
        <v>330</v>
      </c>
      <c r="AJ83" s="203">
        <v>0</v>
      </c>
      <c r="AK83" s="203">
        <v>210</v>
      </c>
      <c r="AL83" s="203">
        <v>80</v>
      </c>
      <c r="AM83" s="203">
        <v>2310</v>
      </c>
      <c r="AN83" s="203">
        <v>3024</v>
      </c>
      <c r="AO83" s="203">
        <v>9451</v>
      </c>
      <c r="AP83" s="203">
        <v>1969</v>
      </c>
      <c r="AQ83" s="203">
        <v>4679</v>
      </c>
      <c r="AR83" s="203">
        <v>3745</v>
      </c>
      <c r="AS83" s="160">
        <v>0</v>
      </c>
      <c r="AT83" s="203">
        <v>0</v>
      </c>
      <c r="AU83" s="203">
        <v>540</v>
      </c>
      <c r="AV83" s="203">
        <v>0</v>
      </c>
      <c r="AW83" s="203">
        <v>0</v>
      </c>
      <c r="AX83" s="203">
        <v>80</v>
      </c>
      <c r="AY83" s="203">
        <v>2729</v>
      </c>
      <c r="AZ83" s="203">
        <v>1660</v>
      </c>
      <c r="BA83" s="203">
        <v>10061</v>
      </c>
      <c r="BB83" s="203">
        <v>3604</v>
      </c>
      <c r="BC83" s="203">
        <v>3379</v>
      </c>
      <c r="BD83" s="203">
        <v>3745</v>
      </c>
      <c r="BE83" s="162">
        <v>8964293.4462823272</v>
      </c>
      <c r="BF83" s="203">
        <v>4</v>
      </c>
      <c r="BG83" s="203">
        <v>473</v>
      </c>
      <c r="BH83" s="217">
        <v>18951.99460101972</v>
      </c>
      <c r="BI83" s="217">
        <v>291708.73296315002</v>
      </c>
      <c r="BJ83" s="203">
        <v>1</v>
      </c>
      <c r="BK83" s="203">
        <v>30</v>
      </c>
      <c r="BL83" s="217">
        <v>9723.6244321049999</v>
      </c>
      <c r="BM83" s="217">
        <v>0</v>
      </c>
      <c r="BN83" s="203">
        <v>0</v>
      </c>
      <c r="BO83" s="203">
        <v>0</v>
      </c>
      <c r="BP83" s="307" t="s">
        <v>687</v>
      </c>
    </row>
    <row r="84" spans="1:68" x14ac:dyDescent="0.45">
      <c r="A84">
        <v>315</v>
      </c>
      <c r="B84" t="s">
        <v>79</v>
      </c>
      <c r="C84" s="238" t="s">
        <v>564</v>
      </c>
      <c r="D84" s="280">
        <v>79031895.140000001</v>
      </c>
      <c r="E84" s="203">
        <v>13488</v>
      </c>
      <c r="F84" s="282">
        <v>16139</v>
      </c>
      <c r="G84" s="286">
        <v>0.19654507710557534</v>
      </c>
      <c r="H84" s="160">
        <v>14846</v>
      </c>
      <c r="I84" s="159">
        <v>19249</v>
      </c>
      <c r="J84" s="159">
        <v>0</v>
      </c>
      <c r="K84" s="159">
        <v>0</v>
      </c>
      <c r="L84" s="159">
        <v>3110</v>
      </c>
      <c r="M84" s="171">
        <v>0.16175237262286499</v>
      </c>
      <c r="N84" s="270">
        <v>16667</v>
      </c>
      <c r="O84" s="273">
        <v>16764</v>
      </c>
      <c r="P84" s="274">
        <v>5.8198836023279502E-3</v>
      </c>
      <c r="Q84" s="273">
        <v>17317</v>
      </c>
      <c r="R84" s="278">
        <v>3.8999220015599703E-2</v>
      </c>
      <c r="S84" s="265">
        <v>82</v>
      </c>
      <c r="T84" s="265">
        <v>7</v>
      </c>
      <c r="U84" s="265">
        <v>3</v>
      </c>
      <c r="V84" s="265">
        <v>92</v>
      </c>
      <c r="W84" s="160">
        <v>0</v>
      </c>
      <c r="X84" s="159">
        <v>0</v>
      </c>
      <c r="Y84" s="159">
        <v>0</v>
      </c>
      <c r="Z84" s="159">
        <v>0</v>
      </c>
      <c r="AA84" s="159">
        <v>0</v>
      </c>
      <c r="AB84" s="159">
        <v>4178</v>
      </c>
      <c r="AC84" s="159">
        <v>13995</v>
      </c>
      <c r="AD84" s="159">
        <v>446</v>
      </c>
      <c r="AE84" s="159">
        <v>420</v>
      </c>
      <c r="AF84" s="161">
        <v>0</v>
      </c>
      <c r="AG84" s="203">
        <v>0</v>
      </c>
      <c r="AH84" s="203">
        <v>0</v>
      </c>
      <c r="AI84" s="203">
        <v>0</v>
      </c>
      <c r="AJ84" s="203">
        <v>0</v>
      </c>
      <c r="AK84" s="203">
        <v>0</v>
      </c>
      <c r="AL84" s="203">
        <v>0</v>
      </c>
      <c r="AM84" s="203">
        <v>3771</v>
      </c>
      <c r="AN84" s="203">
        <v>5044</v>
      </c>
      <c r="AO84" s="203">
        <v>9384</v>
      </c>
      <c r="AP84" s="203">
        <v>0</v>
      </c>
      <c r="AQ84" s="203">
        <v>420</v>
      </c>
      <c r="AR84" s="203">
        <v>420</v>
      </c>
      <c r="AS84" s="160">
        <v>0</v>
      </c>
      <c r="AT84" s="203">
        <v>0</v>
      </c>
      <c r="AU84" s="203">
        <v>0</v>
      </c>
      <c r="AV84" s="203">
        <v>0</v>
      </c>
      <c r="AW84" s="203">
        <v>0</v>
      </c>
      <c r="AX84" s="203">
        <v>0</v>
      </c>
      <c r="AY84" s="203">
        <v>4785</v>
      </c>
      <c r="AZ84" s="203">
        <v>5696</v>
      </c>
      <c r="BA84" s="203">
        <v>7088</v>
      </c>
      <c r="BB84" s="203">
        <v>630</v>
      </c>
      <c r="BC84" s="203">
        <v>420</v>
      </c>
      <c r="BD84" s="203">
        <v>420</v>
      </c>
      <c r="BE84" s="162">
        <v>23984722.575735029</v>
      </c>
      <c r="BF84" s="203">
        <v>7</v>
      </c>
      <c r="BG84" s="203">
        <v>1020</v>
      </c>
      <c r="BH84" s="217">
        <v>23514.43389777944</v>
      </c>
      <c r="BI84" s="217">
        <v>0</v>
      </c>
      <c r="BJ84" s="203">
        <v>0</v>
      </c>
      <c r="BK84" s="203">
        <v>0</v>
      </c>
      <c r="BL84" s="217" t="s">
        <v>687</v>
      </c>
      <c r="BM84" s="217">
        <v>0</v>
      </c>
      <c r="BN84" s="203">
        <v>0</v>
      </c>
      <c r="BO84" s="203">
        <v>0</v>
      </c>
      <c r="BP84" s="307" t="s">
        <v>687</v>
      </c>
    </row>
    <row r="85" spans="1:68" x14ac:dyDescent="0.45">
      <c r="A85">
        <v>806</v>
      </c>
      <c r="B85" t="s">
        <v>80</v>
      </c>
      <c r="C85" s="238" t="s">
        <v>572</v>
      </c>
      <c r="D85" s="280">
        <v>15720388.77</v>
      </c>
      <c r="E85" s="203">
        <v>11459</v>
      </c>
      <c r="F85" s="282">
        <v>13726</v>
      </c>
      <c r="G85" s="286">
        <v>0.19783576228292171</v>
      </c>
      <c r="H85" s="160">
        <v>13790</v>
      </c>
      <c r="I85" s="159">
        <v>14400</v>
      </c>
      <c r="J85" s="159">
        <v>151</v>
      </c>
      <c r="K85" s="159">
        <v>60</v>
      </c>
      <c r="L85" s="159">
        <v>880</v>
      </c>
      <c r="M85" s="171">
        <v>6.0679414681571703E-2</v>
      </c>
      <c r="N85" s="270">
        <v>13537</v>
      </c>
      <c r="O85" s="273">
        <v>13658</v>
      </c>
      <c r="P85" s="274">
        <v>8.9384649479205096E-3</v>
      </c>
      <c r="Q85" s="273">
        <v>13368</v>
      </c>
      <c r="R85" s="278">
        <v>-1.24843022826328E-2</v>
      </c>
      <c r="S85" s="265">
        <v>95.5</v>
      </c>
      <c r="T85" s="265">
        <v>2.5</v>
      </c>
      <c r="U85" s="265">
        <v>0.5</v>
      </c>
      <c r="V85" s="265">
        <v>98.5</v>
      </c>
      <c r="W85" s="160">
        <v>0</v>
      </c>
      <c r="X85" s="159">
        <v>97</v>
      </c>
      <c r="Y85" s="159">
        <v>0</v>
      </c>
      <c r="Z85" s="159">
        <v>0</v>
      </c>
      <c r="AA85" s="159">
        <v>0</v>
      </c>
      <c r="AB85" s="159">
        <v>1142</v>
      </c>
      <c r="AC85" s="159">
        <v>11407</v>
      </c>
      <c r="AD85" s="159">
        <v>389</v>
      </c>
      <c r="AE85" s="159">
        <v>0</v>
      </c>
      <c r="AF85" s="161">
        <v>0</v>
      </c>
      <c r="AG85" s="203">
        <v>0</v>
      </c>
      <c r="AH85" s="203">
        <v>18</v>
      </c>
      <c r="AI85" s="203">
        <v>79</v>
      </c>
      <c r="AJ85" s="203">
        <v>0</v>
      </c>
      <c r="AK85" s="203">
        <v>0</v>
      </c>
      <c r="AL85" s="203">
        <v>0</v>
      </c>
      <c r="AM85" s="203">
        <v>2056</v>
      </c>
      <c r="AN85" s="203">
        <v>1013</v>
      </c>
      <c r="AO85" s="203">
        <v>7555</v>
      </c>
      <c r="AP85" s="203">
        <v>1050</v>
      </c>
      <c r="AQ85" s="203">
        <v>1264</v>
      </c>
      <c r="AR85" s="203">
        <v>0</v>
      </c>
      <c r="AS85" s="160">
        <v>0</v>
      </c>
      <c r="AT85" s="203">
        <v>18</v>
      </c>
      <c r="AU85" s="203">
        <v>79</v>
      </c>
      <c r="AV85" s="203">
        <v>0</v>
      </c>
      <c r="AW85" s="203">
        <v>0</v>
      </c>
      <c r="AX85" s="203">
        <v>0</v>
      </c>
      <c r="AY85" s="203">
        <v>2686</v>
      </c>
      <c r="AZ85" s="203">
        <v>2812</v>
      </c>
      <c r="BA85" s="203">
        <v>6148</v>
      </c>
      <c r="BB85" s="203">
        <v>238</v>
      </c>
      <c r="BC85" s="203">
        <v>1054</v>
      </c>
      <c r="BD85" s="203">
        <v>0</v>
      </c>
      <c r="BE85" s="162">
        <v>1840542.9916195907</v>
      </c>
      <c r="BF85" s="203">
        <v>2</v>
      </c>
      <c r="BG85" s="203">
        <v>140</v>
      </c>
      <c r="BH85" s="217">
        <v>13146.735654425647</v>
      </c>
      <c r="BI85" s="217">
        <v>0</v>
      </c>
      <c r="BJ85" s="203">
        <v>0</v>
      </c>
      <c r="BK85" s="203">
        <v>0</v>
      </c>
      <c r="BL85" s="217" t="s">
        <v>687</v>
      </c>
      <c r="BM85" s="217">
        <v>0</v>
      </c>
      <c r="BN85" s="203">
        <v>0</v>
      </c>
      <c r="BO85" s="203">
        <v>0</v>
      </c>
      <c r="BP85" s="307" t="s">
        <v>687</v>
      </c>
    </row>
    <row r="86" spans="1:68" x14ac:dyDescent="0.45">
      <c r="A86">
        <v>826</v>
      </c>
      <c r="B86" t="s">
        <v>81</v>
      </c>
      <c r="C86" s="238" t="s">
        <v>570</v>
      </c>
      <c r="D86" s="280">
        <v>170297698.30000001</v>
      </c>
      <c r="E86" s="203">
        <v>20845</v>
      </c>
      <c r="F86" s="282">
        <v>27617</v>
      </c>
      <c r="G86" s="286">
        <v>0.32487407052050854</v>
      </c>
      <c r="H86" s="160">
        <v>23270</v>
      </c>
      <c r="I86" s="159">
        <v>30223</v>
      </c>
      <c r="J86" s="159">
        <v>855</v>
      </c>
      <c r="K86" s="159">
        <v>110</v>
      </c>
      <c r="L86" s="159">
        <v>4530</v>
      </c>
      <c r="M86" s="171">
        <v>0.14150111864801301</v>
      </c>
      <c r="N86" s="270">
        <v>26682</v>
      </c>
      <c r="O86" s="273">
        <v>27775</v>
      </c>
      <c r="P86" s="274">
        <v>4.0963945731204598E-2</v>
      </c>
      <c r="Q86" s="273">
        <v>28178</v>
      </c>
      <c r="R86" s="278">
        <v>5.6067761037403498E-2</v>
      </c>
      <c r="S86" s="265">
        <v>91.7</v>
      </c>
      <c r="T86" s="265">
        <v>5</v>
      </c>
      <c r="U86" s="265">
        <v>1.6</v>
      </c>
      <c r="V86" s="265">
        <v>98.3</v>
      </c>
      <c r="W86" s="160">
        <v>147</v>
      </c>
      <c r="X86" s="159">
        <v>15</v>
      </c>
      <c r="Y86" s="159">
        <v>0</v>
      </c>
      <c r="Z86" s="159">
        <v>0</v>
      </c>
      <c r="AA86" s="159">
        <v>330</v>
      </c>
      <c r="AB86" s="159">
        <v>7352</v>
      </c>
      <c r="AC86" s="159">
        <v>18254</v>
      </c>
      <c r="AD86" s="159">
        <v>2040</v>
      </c>
      <c r="AE86" s="159">
        <v>1815</v>
      </c>
      <c r="AF86" s="161">
        <v>630</v>
      </c>
      <c r="AG86" s="203">
        <v>0</v>
      </c>
      <c r="AH86" s="203">
        <v>0</v>
      </c>
      <c r="AI86" s="203">
        <v>0</v>
      </c>
      <c r="AJ86" s="203">
        <v>0</v>
      </c>
      <c r="AK86" s="203">
        <v>15</v>
      </c>
      <c r="AL86" s="203">
        <v>477</v>
      </c>
      <c r="AM86" s="203">
        <v>2710</v>
      </c>
      <c r="AN86" s="203">
        <v>3561</v>
      </c>
      <c r="AO86" s="203">
        <v>14199</v>
      </c>
      <c r="AP86" s="203">
        <v>2850</v>
      </c>
      <c r="AQ86" s="203">
        <v>1785</v>
      </c>
      <c r="AR86" s="203">
        <v>4986</v>
      </c>
      <c r="AS86" s="160">
        <v>0</v>
      </c>
      <c r="AT86" s="203">
        <v>0</v>
      </c>
      <c r="AU86" s="203">
        <v>0</v>
      </c>
      <c r="AV86" s="203">
        <v>15</v>
      </c>
      <c r="AW86" s="203">
        <v>0</v>
      </c>
      <c r="AX86" s="203">
        <v>477</v>
      </c>
      <c r="AY86" s="203">
        <v>2730</v>
      </c>
      <c r="AZ86" s="203">
        <v>5464</v>
      </c>
      <c r="BA86" s="203">
        <v>11351</v>
      </c>
      <c r="BB86" s="203">
        <v>3880</v>
      </c>
      <c r="BC86" s="203">
        <v>1680</v>
      </c>
      <c r="BD86" s="203">
        <v>4986</v>
      </c>
      <c r="BE86" s="162">
        <v>17594354.048623715</v>
      </c>
      <c r="BF86" s="203">
        <v>8</v>
      </c>
      <c r="BG86" s="203">
        <v>1121</v>
      </c>
      <c r="BH86" s="217">
        <v>15695.231087086275</v>
      </c>
      <c r="BI86" s="217">
        <v>0</v>
      </c>
      <c r="BJ86" s="203">
        <v>0</v>
      </c>
      <c r="BK86" s="203">
        <v>0</v>
      </c>
      <c r="BL86" s="217" t="s">
        <v>687</v>
      </c>
      <c r="BM86" s="217">
        <v>33033385.918113846</v>
      </c>
      <c r="BN86" s="203">
        <v>4</v>
      </c>
      <c r="BO86" s="203">
        <v>2427</v>
      </c>
      <c r="BP86" s="307">
        <v>13610.789418258692</v>
      </c>
    </row>
    <row r="87" spans="1:68" x14ac:dyDescent="0.45">
      <c r="A87">
        <v>391</v>
      </c>
      <c r="B87" t="s">
        <v>82</v>
      </c>
      <c r="C87" s="238" t="s">
        <v>572</v>
      </c>
      <c r="D87" s="280">
        <v>41581221.81000001</v>
      </c>
      <c r="E87" s="203">
        <v>18055</v>
      </c>
      <c r="F87" s="282">
        <v>22239</v>
      </c>
      <c r="G87" s="286">
        <v>0.23173636111880366</v>
      </c>
      <c r="H87" s="160">
        <v>20591</v>
      </c>
      <c r="I87" s="159">
        <v>22396</v>
      </c>
      <c r="J87" s="159">
        <v>194</v>
      </c>
      <c r="K87" s="159">
        <v>90</v>
      </c>
      <c r="L87" s="159">
        <v>1510</v>
      </c>
      <c r="M87" s="171">
        <v>6.3653106596034598E-2</v>
      </c>
      <c r="N87" s="270">
        <v>21821</v>
      </c>
      <c r="O87" s="273">
        <v>21930</v>
      </c>
      <c r="P87" s="274">
        <v>4.9951881215343002E-3</v>
      </c>
      <c r="Q87" s="273">
        <v>22185</v>
      </c>
      <c r="R87" s="278">
        <v>1.6681178681087001E-2</v>
      </c>
      <c r="S87" s="265">
        <v>89.2</v>
      </c>
      <c r="T87" s="265">
        <v>6.4</v>
      </c>
      <c r="U87" s="265">
        <v>1.8</v>
      </c>
      <c r="V87" s="265">
        <v>97.4</v>
      </c>
      <c r="W87" s="160">
        <v>60</v>
      </c>
      <c r="X87" s="159">
        <v>0</v>
      </c>
      <c r="Y87" s="159">
        <v>0</v>
      </c>
      <c r="Z87" s="159">
        <v>0</v>
      </c>
      <c r="AA87" s="159">
        <v>0</v>
      </c>
      <c r="AB87" s="159">
        <v>5460</v>
      </c>
      <c r="AC87" s="159">
        <v>14893</v>
      </c>
      <c r="AD87" s="159">
        <v>1575</v>
      </c>
      <c r="AE87" s="159">
        <v>420</v>
      </c>
      <c r="AF87" s="161">
        <v>0</v>
      </c>
      <c r="AG87" s="203">
        <v>0</v>
      </c>
      <c r="AH87" s="203">
        <v>0</v>
      </c>
      <c r="AI87" s="203">
        <v>0</v>
      </c>
      <c r="AJ87" s="203">
        <v>0</v>
      </c>
      <c r="AK87" s="203">
        <v>0</v>
      </c>
      <c r="AL87" s="203">
        <v>60</v>
      </c>
      <c r="AM87" s="203">
        <v>4319</v>
      </c>
      <c r="AN87" s="203">
        <v>2310</v>
      </c>
      <c r="AO87" s="203">
        <v>11309</v>
      </c>
      <c r="AP87" s="203">
        <v>413</v>
      </c>
      <c r="AQ87" s="203">
        <v>420</v>
      </c>
      <c r="AR87" s="203">
        <v>3577</v>
      </c>
      <c r="AS87" s="160">
        <v>0</v>
      </c>
      <c r="AT87" s="203">
        <v>0</v>
      </c>
      <c r="AU87" s="203">
        <v>0</v>
      </c>
      <c r="AV87" s="203">
        <v>0</v>
      </c>
      <c r="AW87" s="203">
        <v>0</v>
      </c>
      <c r="AX87" s="203">
        <v>60</v>
      </c>
      <c r="AY87" s="203">
        <v>4897</v>
      </c>
      <c r="AZ87" s="203">
        <v>5940</v>
      </c>
      <c r="BA87" s="203">
        <v>7304</v>
      </c>
      <c r="BB87" s="203">
        <v>210</v>
      </c>
      <c r="BC87" s="203">
        <v>420</v>
      </c>
      <c r="BD87" s="203">
        <v>3577</v>
      </c>
      <c r="BE87" s="162">
        <v>9267767.4462339934</v>
      </c>
      <c r="BF87" s="203">
        <v>7</v>
      </c>
      <c r="BG87" s="203">
        <v>525</v>
      </c>
      <c r="BH87" s="217">
        <v>17652.890373779035</v>
      </c>
      <c r="BI87" s="217">
        <v>0</v>
      </c>
      <c r="BJ87" s="203">
        <v>0</v>
      </c>
      <c r="BK87" s="203">
        <v>0</v>
      </c>
      <c r="BL87" s="217" t="s">
        <v>687</v>
      </c>
      <c r="BM87" s="217">
        <v>0</v>
      </c>
      <c r="BN87" s="203">
        <v>0</v>
      </c>
      <c r="BO87" s="203">
        <v>0</v>
      </c>
      <c r="BP87" s="307" t="s">
        <v>687</v>
      </c>
    </row>
    <row r="88" spans="1:68" x14ac:dyDescent="0.45">
      <c r="A88">
        <v>316</v>
      </c>
      <c r="B88" t="s">
        <v>83</v>
      </c>
      <c r="C88" s="238" t="s">
        <v>571</v>
      </c>
      <c r="D88" s="280">
        <v>229559561.78</v>
      </c>
      <c r="E88" s="203">
        <v>27877</v>
      </c>
      <c r="F88" s="282">
        <v>35461</v>
      </c>
      <c r="G88" s="286">
        <v>0.27205222943645296</v>
      </c>
      <c r="H88" s="160">
        <v>29093</v>
      </c>
      <c r="I88" s="159">
        <v>35837</v>
      </c>
      <c r="J88" s="159">
        <v>330</v>
      </c>
      <c r="K88" s="159">
        <v>160</v>
      </c>
      <c r="L88" s="159">
        <v>2890</v>
      </c>
      <c r="M88" s="171">
        <v>7.5575263307151405E-2</v>
      </c>
      <c r="N88" s="270">
        <v>34267</v>
      </c>
      <c r="O88" s="273">
        <v>34720</v>
      </c>
      <c r="P88" s="274">
        <v>1.32197157615198E-2</v>
      </c>
      <c r="Q88" s="273">
        <v>37255</v>
      </c>
      <c r="R88" s="278">
        <v>8.7197595354130797E-2</v>
      </c>
      <c r="S88" s="265">
        <v>94.1</v>
      </c>
      <c r="T88" s="265">
        <v>3.9</v>
      </c>
      <c r="U88" s="265">
        <v>0.8</v>
      </c>
      <c r="V88" s="265">
        <v>98.8</v>
      </c>
      <c r="W88" s="160">
        <v>0</v>
      </c>
      <c r="X88" s="159">
        <v>0</v>
      </c>
      <c r="Y88" s="159">
        <v>0</v>
      </c>
      <c r="Z88" s="159">
        <v>0</v>
      </c>
      <c r="AA88" s="159">
        <v>0</v>
      </c>
      <c r="AB88" s="159">
        <v>14555</v>
      </c>
      <c r="AC88" s="159">
        <v>20337</v>
      </c>
      <c r="AD88" s="159">
        <v>2100</v>
      </c>
      <c r="AE88" s="159">
        <v>0</v>
      </c>
      <c r="AF88" s="161">
        <v>420</v>
      </c>
      <c r="AG88" s="203">
        <v>0</v>
      </c>
      <c r="AH88" s="203">
        <v>0</v>
      </c>
      <c r="AI88" s="203">
        <v>0</v>
      </c>
      <c r="AJ88" s="203">
        <v>0</v>
      </c>
      <c r="AK88" s="203">
        <v>0</v>
      </c>
      <c r="AL88" s="203">
        <v>0</v>
      </c>
      <c r="AM88" s="203">
        <v>12542</v>
      </c>
      <c r="AN88" s="203">
        <v>6720</v>
      </c>
      <c r="AO88" s="203">
        <v>12615</v>
      </c>
      <c r="AP88" s="203">
        <v>2775</v>
      </c>
      <c r="AQ88" s="203">
        <v>630</v>
      </c>
      <c r="AR88" s="203">
        <v>2130</v>
      </c>
      <c r="AS88" s="160">
        <v>0</v>
      </c>
      <c r="AT88" s="203">
        <v>0</v>
      </c>
      <c r="AU88" s="203">
        <v>0</v>
      </c>
      <c r="AV88" s="203">
        <v>0</v>
      </c>
      <c r="AW88" s="203">
        <v>0</v>
      </c>
      <c r="AX88" s="203">
        <v>0</v>
      </c>
      <c r="AY88" s="203">
        <v>18165</v>
      </c>
      <c r="AZ88" s="203">
        <v>6482</v>
      </c>
      <c r="BA88" s="203">
        <v>9615</v>
      </c>
      <c r="BB88" s="203">
        <v>1020</v>
      </c>
      <c r="BC88" s="203">
        <v>0</v>
      </c>
      <c r="BD88" s="203">
        <v>2130</v>
      </c>
      <c r="BE88" s="162">
        <v>14304543.754952703</v>
      </c>
      <c r="BF88" s="203">
        <v>5</v>
      </c>
      <c r="BG88" s="203">
        <v>555</v>
      </c>
      <c r="BH88" s="217">
        <v>25773.952711626491</v>
      </c>
      <c r="BI88" s="217">
        <v>0</v>
      </c>
      <c r="BJ88" s="203">
        <v>0</v>
      </c>
      <c r="BK88" s="203">
        <v>0</v>
      </c>
      <c r="BL88" s="217" t="s">
        <v>687</v>
      </c>
      <c r="BM88" s="217">
        <v>0</v>
      </c>
      <c r="BN88" s="203">
        <v>0</v>
      </c>
      <c r="BO88" s="203">
        <v>0</v>
      </c>
      <c r="BP88" s="307" t="s">
        <v>687</v>
      </c>
    </row>
    <row r="89" spans="1:68" x14ac:dyDescent="0.45">
      <c r="A89">
        <v>926</v>
      </c>
      <c r="B89" t="s">
        <v>84</v>
      </c>
      <c r="C89" s="238" t="s">
        <v>567</v>
      </c>
      <c r="D89" s="280">
        <v>145422781.15000001</v>
      </c>
      <c r="E89" s="203">
        <v>55894</v>
      </c>
      <c r="F89" s="282">
        <v>64861</v>
      </c>
      <c r="G89" s="286">
        <v>0.16042866855118618</v>
      </c>
      <c r="H89" s="160">
        <v>64769</v>
      </c>
      <c r="I89" s="159">
        <v>72892</v>
      </c>
      <c r="J89" s="159">
        <v>2131</v>
      </c>
      <c r="K89" s="159">
        <v>240</v>
      </c>
      <c r="L89" s="159">
        <v>10470</v>
      </c>
      <c r="M89" s="171">
        <v>0.13942766134941001</v>
      </c>
      <c r="N89" s="270">
        <v>64383</v>
      </c>
      <c r="O89" s="273">
        <v>65727</v>
      </c>
      <c r="P89" s="274">
        <v>2.0875075718745601E-2</v>
      </c>
      <c r="Q89" s="273">
        <v>68561</v>
      </c>
      <c r="R89" s="278">
        <v>6.4892906512588694E-2</v>
      </c>
      <c r="S89" s="265">
        <v>93</v>
      </c>
      <c r="T89" s="265">
        <v>4</v>
      </c>
      <c r="U89" s="265">
        <v>0.9</v>
      </c>
      <c r="V89" s="265">
        <v>97.9</v>
      </c>
      <c r="W89" s="160">
        <v>220</v>
      </c>
      <c r="X89" s="159">
        <v>734</v>
      </c>
      <c r="Y89" s="159">
        <v>15</v>
      </c>
      <c r="Z89" s="159">
        <v>0</v>
      </c>
      <c r="AA89" s="159">
        <v>420</v>
      </c>
      <c r="AB89" s="159">
        <v>8885</v>
      </c>
      <c r="AC89" s="159">
        <v>50014</v>
      </c>
      <c r="AD89" s="159">
        <v>5033</v>
      </c>
      <c r="AE89" s="159">
        <v>525</v>
      </c>
      <c r="AF89" s="161">
        <v>0</v>
      </c>
      <c r="AG89" s="203">
        <v>0</v>
      </c>
      <c r="AH89" s="203">
        <v>53</v>
      </c>
      <c r="AI89" s="203">
        <v>453</v>
      </c>
      <c r="AJ89" s="203">
        <v>109</v>
      </c>
      <c r="AK89" s="203">
        <v>105</v>
      </c>
      <c r="AL89" s="203">
        <v>669</v>
      </c>
      <c r="AM89" s="203">
        <v>1480</v>
      </c>
      <c r="AN89" s="203">
        <v>2073</v>
      </c>
      <c r="AO89" s="203">
        <v>33595</v>
      </c>
      <c r="AP89" s="203">
        <v>8475</v>
      </c>
      <c r="AQ89" s="203">
        <v>7187</v>
      </c>
      <c r="AR89" s="203">
        <v>11647</v>
      </c>
      <c r="AS89" s="160">
        <v>0</v>
      </c>
      <c r="AT89" s="203">
        <v>119</v>
      </c>
      <c r="AU89" s="203">
        <v>319</v>
      </c>
      <c r="AV89" s="203">
        <v>177</v>
      </c>
      <c r="AW89" s="203">
        <v>105</v>
      </c>
      <c r="AX89" s="203">
        <v>669</v>
      </c>
      <c r="AY89" s="203">
        <v>1642</v>
      </c>
      <c r="AZ89" s="203">
        <v>4564</v>
      </c>
      <c r="BA89" s="203">
        <v>27361</v>
      </c>
      <c r="BB89" s="203">
        <v>12503</v>
      </c>
      <c r="BC89" s="203">
        <v>6740</v>
      </c>
      <c r="BD89" s="203">
        <v>11647</v>
      </c>
      <c r="BE89" s="162">
        <v>25856455.527596705</v>
      </c>
      <c r="BF89" s="203">
        <v>27</v>
      </c>
      <c r="BG89" s="203">
        <v>1939</v>
      </c>
      <c r="BH89" s="217">
        <v>13334.943541823985</v>
      </c>
      <c r="BI89" s="217">
        <v>845134.01486988831</v>
      </c>
      <c r="BJ89" s="203">
        <v>4</v>
      </c>
      <c r="BK89" s="203">
        <v>150</v>
      </c>
      <c r="BL89" s="217">
        <v>5634.2267657992552</v>
      </c>
      <c r="BM89" s="217">
        <v>0</v>
      </c>
      <c r="BN89" s="203">
        <v>0</v>
      </c>
      <c r="BO89" s="203">
        <v>0</v>
      </c>
      <c r="BP89" s="307" t="s">
        <v>687</v>
      </c>
    </row>
    <row r="90" spans="1:68" x14ac:dyDescent="0.45">
      <c r="A90">
        <v>812</v>
      </c>
      <c r="B90" t="s">
        <v>85</v>
      </c>
      <c r="C90" s="238" t="s">
        <v>565</v>
      </c>
      <c r="D90" s="280">
        <v>16391675.26</v>
      </c>
      <c r="E90" s="203">
        <v>12125</v>
      </c>
      <c r="F90" s="282">
        <v>13686</v>
      </c>
      <c r="G90" s="286">
        <v>0.12874226804123712</v>
      </c>
      <c r="H90" s="160">
        <v>13602</v>
      </c>
      <c r="I90" s="159">
        <v>15058</v>
      </c>
      <c r="J90" s="159">
        <v>45</v>
      </c>
      <c r="K90" s="159">
        <v>90</v>
      </c>
      <c r="L90" s="159">
        <v>1500</v>
      </c>
      <c r="M90" s="171">
        <v>9.9487866807444203E-2</v>
      </c>
      <c r="N90" s="270">
        <v>13656</v>
      </c>
      <c r="O90" s="273">
        <v>13836</v>
      </c>
      <c r="P90" s="274">
        <v>1.31810193321617E-2</v>
      </c>
      <c r="Q90" s="273">
        <v>13688</v>
      </c>
      <c r="R90" s="278">
        <v>2.3432923257176298E-3</v>
      </c>
      <c r="S90" s="265">
        <v>94.6</v>
      </c>
      <c r="T90" s="265">
        <v>3</v>
      </c>
      <c r="U90" s="265">
        <v>0.5</v>
      </c>
      <c r="V90" s="265">
        <v>98.1</v>
      </c>
      <c r="W90" s="160">
        <v>0</v>
      </c>
      <c r="X90" s="159">
        <v>0</v>
      </c>
      <c r="Y90" s="159">
        <v>0</v>
      </c>
      <c r="Z90" s="159">
        <v>0</v>
      </c>
      <c r="AA90" s="159">
        <v>0</v>
      </c>
      <c r="AB90" s="159">
        <v>1305</v>
      </c>
      <c r="AC90" s="159">
        <v>11158</v>
      </c>
      <c r="AD90" s="159">
        <v>2175</v>
      </c>
      <c r="AE90" s="159">
        <v>420</v>
      </c>
      <c r="AF90" s="161">
        <v>0</v>
      </c>
      <c r="AG90" s="203">
        <v>0</v>
      </c>
      <c r="AH90" s="203">
        <v>0</v>
      </c>
      <c r="AI90" s="203">
        <v>0</v>
      </c>
      <c r="AJ90" s="203">
        <v>0</v>
      </c>
      <c r="AK90" s="203">
        <v>0</v>
      </c>
      <c r="AL90" s="203">
        <v>0</v>
      </c>
      <c r="AM90" s="203">
        <v>1540</v>
      </c>
      <c r="AN90" s="203">
        <v>2040</v>
      </c>
      <c r="AO90" s="203">
        <v>7593</v>
      </c>
      <c r="AP90" s="203">
        <v>1890</v>
      </c>
      <c r="AQ90" s="203">
        <v>855</v>
      </c>
      <c r="AR90" s="203">
        <v>1140</v>
      </c>
      <c r="AS90" s="160">
        <v>0</v>
      </c>
      <c r="AT90" s="203">
        <v>0</v>
      </c>
      <c r="AU90" s="203">
        <v>0</v>
      </c>
      <c r="AV90" s="203">
        <v>0</v>
      </c>
      <c r="AW90" s="203">
        <v>0</v>
      </c>
      <c r="AX90" s="203">
        <v>0</v>
      </c>
      <c r="AY90" s="203">
        <v>3405</v>
      </c>
      <c r="AZ90" s="203">
        <v>1725</v>
      </c>
      <c r="BA90" s="203">
        <v>8339</v>
      </c>
      <c r="BB90" s="203">
        <v>329</v>
      </c>
      <c r="BC90" s="203">
        <v>120</v>
      </c>
      <c r="BD90" s="203">
        <v>1140</v>
      </c>
      <c r="BE90" s="162">
        <v>0</v>
      </c>
      <c r="BF90" s="203">
        <v>0</v>
      </c>
      <c r="BG90" s="203">
        <v>0</v>
      </c>
      <c r="BH90" s="217" t="s">
        <v>687</v>
      </c>
      <c r="BI90" s="217">
        <v>0</v>
      </c>
      <c r="BJ90" s="203">
        <v>0</v>
      </c>
      <c r="BK90" s="203">
        <v>0</v>
      </c>
      <c r="BL90" s="217" t="s">
        <v>687</v>
      </c>
      <c r="BM90" s="217">
        <v>0</v>
      </c>
      <c r="BN90" s="203">
        <v>0</v>
      </c>
      <c r="BO90" s="203">
        <v>0</v>
      </c>
      <c r="BP90" s="307" t="s">
        <v>687</v>
      </c>
    </row>
    <row r="91" spans="1:68" x14ac:dyDescent="0.45">
      <c r="A91">
        <v>813</v>
      </c>
      <c r="B91" t="s">
        <v>86</v>
      </c>
      <c r="C91" s="238" t="s">
        <v>565</v>
      </c>
      <c r="D91" s="280">
        <v>11310270.360000001</v>
      </c>
      <c r="E91" s="203">
        <v>12357</v>
      </c>
      <c r="F91" s="282">
        <v>13614</v>
      </c>
      <c r="G91" s="286">
        <v>0.10172371934935664</v>
      </c>
      <c r="H91" s="160">
        <v>14057</v>
      </c>
      <c r="I91" s="159">
        <v>14990</v>
      </c>
      <c r="J91" s="159">
        <v>45</v>
      </c>
      <c r="K91" s="159">
        <v>110</v>
      </c>
      <c r="L91" s="159">
        <v>1530</v>
      </c>
      <c r="M91" s="171">
        <v>0.101801343775514</v>
      </c>
      <c r="N91" s="270">
        <v>13761</v>
      </c>
      <c r="O91" s="273">
        <v>13906</v>
      </c>
      <c r="P91" s="274">
        <v>1.05370249255141E-2</v>
      </c>
      <c r="Q91" s="273">
        <v>13846</v>
      </c>
      <c r="R91" s="278">
        <v>6.1768766804738001E-3</v>
      </c>
      <c r="S91" s="265">
        <v>94.6</v>
      </c>
      <c r="T91" s="265">
        <v>2.8</v>
      </c>
      <c r="U91" s="265">
        <v>0.4</v>
      </c>
      <c r="V91" s="265">
        <v>97.9</v>
      </c>
      <c r="W91" s="160">
        <v>0</v>
      </c>
      <c r="X91" s="159">
        <v>0</v>
      </c>
      <c r="Y91" s="159">
        <v>0</v>
      </c>
      <c r="Z91" s="159">
        <v>0</v>
      </c>
      <c r="AA91" s="159">
        <v>0</v>
      </c>
      <c r="AB91" s="159">
        <v>2104</v>
      </c>
      <c r="AC91" s="159">
        <v>10961</v>
      </c>
      <c r="AD91" s="159">
        <v>1445</v>
      </c>
      <c r="AE91" s="159">
        <v>0</v>
      </c>
      <c r="AF91" s="161">
        <v>0</v>
      </c>
      <c r="AG91" s="203">
        <v>0</v>
      </c>
      <c r="AH91" s="203">
        <v>0</v>
      </c>
      <c r="AI91" s="203">
        <v>0</v>
      </c>
      <c r="AJ91" s="203">
        <v>0</v>
      </c>
      <c r="AK91" s="203">
        <v>0</v>
      </c>
      <c r="AL91" s="203">
        <v>0</v>
      </c>
      <c r="AM91" s="203">
        <v>813</v>
      </c>
      <c r="AN91" s="203">
        <v>420</v>
      </c>
      <c r="AO91" s="203">
        <v>7994</v>
      </c>
      <c r="AP91" s="203">
        <v>714</v>
      </c>
      <c r="AQ91" s="203">
        <v>3489</v>
      </c>
      <c r="AR91" s="203">
        <v>1080</v>
      </c>
      <c r="AS91" s="160">
        <v>0</v>
      </c>
      <c r="AT91" s="203">
        <v>0</v>
      </c>
      <c r="AU91" s="203">
        <v>0</v>
      </c>
      <c r="AV91" s="203">
        <v>0</v>
      </c>
      <c r="AW91" s="203">
        <v>0</v>
      </c>
      <c r="AX91" s="203">
        <v>0</v>
      </c>
      <c r="AY91" s="203">
        <v>602</v>
      </c>
      <c r="AZ91" s="203">
        <v>1120</v>
      </c>
      <c r="BA91" s="203">
        <v>8625</v>
      </c>
      <c r="BB91" s="203">
        <v>2529</v>
      </c>
      <c r="BC91" s="203">
        <v>554</v>
      </c>
      <c r="BD91" s="203">
        <v>1080</v>
      </c>
      <c r="BE91" s="162">
        <v>3379621.2468745918</v>
      </c>
      <c r="BF91" s="203">
        <v>6</v>
      </c>
      <c r="BG91" s="203">
        <v>233</v>
      </c>
      <c r="BH91" s="217">
        <v>14504.812218345887</v>
      </c>
      <c r="BI91" s="217">
        <v>30886.345847461122</v>
      </c>
      <c r="BJ91" s="203">
        <v>1</v>
      </c>
      <c r="BK91" s="203">
        <v>22</v>
      </c>
      <c r="BL91" s="217">
        <v>1403.9248112482328</v>
      </c>
      <c r="BM91" s="217">
        <v>0</v>
      </c>
      <c r="BN91" s="203">
        <v>0</v>
      </c>
      <c r="BO91" s="203">
        <v>0</v>
      </c>
      <c r="BP91" s="307" t="s">
        <v>687</v>
      </c>
    </row>
    <row r="92" spans="1:68" x14ac:dyDescent="0.45">
      <c r="A92">
        <v>802</v>
      </c>
      <c r="B92" t="s">
        <v>87</v>
      </c>
      <c r="C92" s="238" t="s">
        <v>566</v>
      </c>
      <c r="D92" s="280">
        <v>63268315.32</v>
      </c>
      <c r="E92" s="203">
        <v>14813</v>
      </c>
      <c r="F92" s="282">
        <v>16580</v>
      </c>
      <c r="G92" s="286">
        <v>0.11928711267130224</v>
      </c>
      <c r="H92" s="160">
        <v>15430</v>
      </c>
      <c r="I92" s="159">
        <v>18765</v>
      </c>
      <c r="J92" s="159">
        <v>210</v>
      </c>
      <c r="K92" s="159">
        <v>30</v>
      </c>
      <c r="L92" s="159">
        <v>2430</v>
      </c>
      <c r="M92" s="171">
        <v>0.12781022796080099</v>
      </c>
      <c r="N92" s="270">
        <v>16939</v>
      </c>
      <c r="O92" s="273">
        <v>16904</v>
      </c>
      <c r="P92" s="274">
        <v>-2.0662376763681402E-3</v>
      </c>
      <c r="Q92" s="273">
        <v>17749</v>
      </c>
      <c r="R92" s="278">
        <v>4.7818643367377102E-2</v>
      </c>
      <c r="S92" s="265">
        <v>93.6</v>
      </c>
      <c r="T92" s="265">
        <v>4.8</v>
      </c>
      <c r="U92" s="265">
        <v>0.6</v>
      </c>
      <c r="V92" s="265">
        <v>99</v>
      </c>
      <c r="W92" s="160">
        <v>75</v>
      </c>
      <c r="X92" s="159">
        <v>55</v>
      </c>
      <c r="Y92" s="159">
        <v>0</v>
      </c>
      <c r="Z92" s="159">
        <v>0</v>
      </c>
      <c r="AA92" s="159">
        <v>420</v>
      </c>
      <c r="AB92" s="159">
        <v>2866</v>
      </c>
      <c r="AC92" s="159">
        <v>14077</v>
      </c>
      <c r="AD92" s="159">
        <v>735</v>
      </c>
      <c r="AE92" s="159">
        <v>119</v>
      </c>
      <c r="AF92" s="161">
        <v>0</v>
      </c>
      <c r="AG92" s="203">
        <v>0</v>
      </c>
      <c r="AH92" s="203">
        <v>0</v>
      </c>
      <c r="AI92" s="203">
        <v>0</v>
      </c>
      <c r="AJ92" s="203">
        <v>30</v>
      </c>
      <c r="AK92" s="203">
        <v>0</v>
      </c>
      <c r="AL92" s="203">
        <v>520</v>
      </c>
      <c r="AM92" s="203">
        <v>0</v>
      </c>
      <c r="AN92" s="203">
        <v>830</v>
      </c>
      <c r="AO92" s="203">
        <v>11610</v>
      </c>
      <c r="AP92" s="203">
        <v>1680</v>
      </c>
      <c r="AQ92" s="203">
        <v>1785</v>
      </c>
      <c r="AR92" s="203">
        <v>1892</v>
      </c>
      <c r="AS92" s="160">
        <v>0</v>
      </c>
      <c r="AT92" s="203">
        <v>0</v>
      </c>
      <c r="AU92" s="203">
        <v>0</v>
      </c>
      <c r="AV92" s="203">
        <v>30</v>
      </c>
      <c r="AW92" s="203">
        <v>0</v>
      </c>
      <c r="AX92" s="203">
        <v>520</v>
      </c>
      <c r="AY92" s="203">
        <v>0</v>
      </c>
      <c r="AZ92" s="203">
        <v>1290</v>
      </c>
      <c r="BA92" s="203">
        <v>10730</v>
      </c>
      <c r="BB92" s="203">
        <v>2940</v>
      </c>
      <c r="BC92" s="203">
        <v>945</v>
      </c>
      <c r="BD92" s="203">
        <v>1892</v>
      </c>
      <c r="BE92" s="162">
        <v>3373083.8125777794</v>
      </c>
      <c r="BF92" s="203">
        <v>4</v>
      </c>
      <c r="BG92" s="203">
        <v>226</v>
      </c>
      <c r="BH92" s="217">
        <v>14925.149613176016</v>
      </c>
      <c r="BI92" s="217">
        <v>452959.88990433433</v>
      </c>
      <c r="BJ92" s="203">
        <v>2</v>
      </c>
      <c r="BK92" s="203">
        <v>45</v>
      </c>
      <c r="BL92" s="217">
        <v>10065.775331207429</v>
      </c>
      <c r="BM92" s="217">
        <v>0</v>
      </c>
      <c r="BN92" s="203">
        <v>0</v>
      </c>
      <c r="BO92" s="203">
        <v>0</v>
      </c>
      <c r="BP92" s="307" t="s">
        <v>687</v>
      </c>
    </row>
    <row r="93" spans="1:68" x14ac:dyDescent="0.45">
      <c r="A93">
        <v>392</v>
      </c>
      <c r="B93" t="s">
        <v>88</v>
      </c>
      <c r="C93" s="238" t="s">
        <v>572</v>
      </c>
      <c r="D93" s="280">
        <v>10503944.650000002</v>
      </c>
      <c r="E93" s="203">
        <v>14412</v>
      </c>
      <c r="F93" s="282">
        <v>16277</v>
      </c>
      <c r="G93" s="286">
        <v>0.12940605051346102</v>
      </c>
      <c r="H93" s="160">
        <v>16529</v>
      </c>
      <c r="I93" s="159">
        <v>16553</v>
      </c>
      <c r="J93" s="159">
        <v>75</v>
      </c>
      <c r="K93" s="159">
        <v>0</v>
      </c>
      <c r="L93" s="159">
        <v>1850</v>
      </c>
      <c r="M93" s="171">
        <v>0.102115231411172</v>
      </c>
      <c r="N93" s="270">
        <v>16446</v>
      </c>
      <c r="O93" s="273">
        <v>16377</v>
      </c>
      <c r="P93" s="274">
        <v>-4.1955490696825998E-3</v>
      </c>
      <c r="Q93" s="273">
        <v>16401</v>
      </c>
      <c r="R93" s="278">
        <v>-2.73622765414082E-3</v>
      </c>
      <c r="S93" s="265">
        <v>91.9</v>
      </c>
      <c r="T93" s="265">
        <v>4.3</v>
      </c>
      <c r="U93" s="265">
        <v>0.8</v>
      </c>
      <c r="V93" s="265">
        <v>97</v>
      </c>
      <c r="W93" s="160">
        <v>0</v>
      </c>
      <c r="X93" s="159">
        <v>132</v>
      </c>
      <c r="Y93" s="159">
        <v>135</v>
      </c>
      <c r="Z93" s="159">
        <v>0</v>
      </c>
      <c r="AA93" s="159">
        <v>0</v>
      </c>
      <c r="AB93" s="159">
        <v>5678</v>
      </c>
      <c r="AC93" s="159">
        <v>11315</v>
      </c>
      <c r="AD93" s="159">
        <v>790</v>
      </c>
      <c r="AE93" s="159">
        <v>0</v>
      </c>
      <c r="AF93" s="161">
        <v>0</v>
      </c>
      <c r="AG93" s="203">
        <v>0</v>
      </c>
      <c r="AH93" s="203">
        <v>103</v>
      </c>
      <c r="AI93" s="203">
        <v>164</v>
      </c>
      <c r="AJ93" s="203">
        <v>0</v>
      </c>
      <c r="AK93" s="203">
        <v>0</v>
      </c>
      <c r="AL93" s="203">
        <v>0</v>
      </c>
      <c r="AM93" s="203">
        <v>2355</v>
      </c>
      <c r="AN93" s="203">
        <v>945</v>
      </c>
      <c r="AO93" s="203">
        <v>8798</v>
      </c>
      <c r="AP93" s="203">
        <v>420</v>
      </c>
      <c r="AQ93" s="203">
        <v>2070</v>
      </c>
      <c r="AR93" s="203">
        <v>3195</v>
      </c>
      <c r="AS93" s="160">
        <v>0</v>
      </c>
      <c r="AT93" s="203">
        <v>0</v>
      </c>
      <c r="AU93" s="203">
        <v>267</v>
      </c>
      <c r="AV93" s="203">
        <v>0</v>
      </c>
      <c r="AW93" s="203">
        <v>0</v>
      </c>
      <c r="AX93" s="203">
        <v>0</v>
      </c>
      <c r="AY93" s="203">
        <v>2240</v>
      </c>
      <c r="AZ93" s="203">
        <v>1875</v>
      </c>
      <c r="BA93" s="203">
        <v>8870</v>
      </c>
      <c r="BB93" s="203">
        <v>973</v>
      </c>
      <c r="BC93" s="203">
        <v>630</v>
      </c>
      <c r="BD93" s="203">
        <v>3195</v>
      </c>
      <c r="BE93" s="162">
        <v>0</v>
      </c>
      <c r="BF93" s="203">
        <v>0</v>
      </c>
      <c r="BG93" s="203">
        <v>0</v>
      </c>
      <c r="BH93" s="217" t="s">
        <v>687</v>
      </c>
      <c r="BI93" s="217">
        <v>0</v>
      </c>
      <c r="BJ93" s="203">
        <v>0</v>
      </c>
      <c r="BK93" s="203">
        <v>0</v>
      </c>
      <c r="BL93" s="217" t="s">
        <v>687</v>
      </c>
      <c r="BM93" s="217">
        <v>0</v>
      </c>
      <c r="BN93" s="203">
        <v>0</v>
      </c>
      <c r="BO93" s="203">
        <v>0</v>
      </c>
      <c r="BP93" s="307" t="s">
        <v>687</v>
      </c>
    </row>
    <row r="94" spans="1:68" x14ac:dyDescent="0.45">
      <c r="A94">
        <v>815</v>
      </c>
      <c r="B94" t="s">
        <v>89</v>
      </c>
      <c r="C94" s="238" t="s">
        <v>565</v>
      </c>
      <c r="D94" s="280">
        <v>66915138.379999995</v>
      </c>
      <c r="E94" s="203">
        <v>40526</v>
      </c>
      <c r="F94" s="282">
        <v>43363</v>
      </c>
      <c r="G94" s="286">
        <v>7.0004441593051372E-2</v>
      </c>
      <c r="H94" s="160">
        <v>48648</v>
      </c>
      <c r="I94" s="159">
        <v>50033</v>
      </c>
      <c r="J94" s="159">
        <v>1220</v>
      </c>
      <c r="K94" s="159">
        <v>270</v>
      </c>
      <c r="L94" s="159">
        <v>8160</v>
      </c>
      <c r="M94" s="171">
        <v>0.159233485574303</v>
      </c>
      <c r="N94" s="270">
        <v>42899</v>
      </c>
      <c r="O94" s="273">
        <v>43422</v>
      </c>
      <c r="P94" s="274">
        <v>1.21914263735751E-2</v>
      </c>
      <c r="Q94" s="273">
        <v>45461</v>
      </c>
      <c r="R94" s="278">
        <v>5.9721671833842298E-2</v>
      </c>
      <c r="S94" s="265">
        <v>93.4</v>
      </c>
      <c r="T94" s="265">
        <v>3.6</v>
      </c>
      <c r="U94" s="265">
        <v>0.5</v>
      </c>
      <c r="V94" s="265">
        <v>97.5</v>
      </c>
      <c r="W94" s="160">
        <v>163</v>
      </c>
      <c r="X94" s="159">
        <v>176</v>
      </c>
      <c r="Y94" s="159">
        <v>48</v>
      </c>
      <c r="Z94" s="159">
        <v>53</v>
      </c>
      <c r="AA94" s="159">
        <v>0</v>
      </c>
      <c r="AB94" s="159">
        <v>6109</v>
      </c>
      <c r="AC94" s="159">
        <v>34428</v>
      </c>
      <c r="AD94" s="159">
        <v>5874</v>
      </c>
      <c r="AE94" s="159">
        <v>1856</v>
      </c>
      <c r="AF94" s="161">
        <v>0</v>
      </c>
      <c r="AG94" s="203">
        <v>103</v>
      </c>
      <c r="AH94" s="203">
        <v>26</v>
      </c>
      <c r="AI94" s="203">
        <v>247</v>
      </c>
      <c r="AJ94" s="203">
        <v>0</v>
      </c>
      <c r="AK94" s="203">
        <v>20</v>
      </c>
      <c r="AL94" s="203">
        <v>44</v>
      </c>
      <c r="AM94" s="203">
        <v>2926</v>
      </c>
      <c r="AN94" s="203">
        <v>1351</v>
      </c>
      <c r="AO94" s="203">
        <v>32472</v>
      </c>
      <c r="AP94" s="203">
        <v>2228</v>
      </c>
      <c r="AQ94" s="203">
        <v>4990</v>
      </c>
      <c r="AR94" s="203">
        <v>4300</v>
      </c>
      <c r="AS94" s="160">
        <v>70</v>
      </c>
      <c r="AT94" s="203">
        <v>58</v>
      </c>
      <c r="AU94" s="203">
        <v>228</v>
      </c>
      <c r="AV94" s="203">
        <v>40</v>
      </c>
      <c r="AW94" s="203">
        <v>0</v>
      </c>
      <c r="AX94" s="203">
        <v>44</v>
      </c>
      <c r="AY94" s="203">
        <v>1706</v>
      </c>
      <c r="AZ94" s="203">
        <v>4175</v>
      </c>
      <c r="BA94" s="203">
        <v>25610</v>
      </c>
      <c r="BB94" s="203">
        <v>8000</v>
      </c>
      <c r="BC94" s="203">
        <v>4527</v>
      </c>
      <c r="BD94" s="203">
        <v>4249</v>
      </c>
      <c r="BE94" s="162">
        <v>34974523.393328488</v>
      </c>
      <c r="BF94" s="203">
        <v>26</v>
      </c>
      <c r="BG94" s="203">
        <v>1564</v>
      </c>
      <c r="BH94" s="217">
        <v>22362.227233585989</v>
      </c>
      <c r="BI94" s="217">
        <v>0</v>
      </c>
      <c r="BJ94" s="203">
        <v>0</v>
      </c>
      <c r="BK94" s="203">
        <v>0</v>
      </c>
      <c r="BL94" s="217" t="s">
        <v>687</v>
      </c>
      <c r="BM94" s="217">
        <v>6057321.3896033112</v>
      </c>
      <c r="BN94" s="203">
        <v>1</v>
      </c>
      <c r="BO94" s="203">
        <v>240</v>
      </c>
      <c r="BP94" s="307">
        <v>25238.83912334713</v>
      </c>
    </row>
    <row r="95" spans="1:68" x14ac:dyDescent="0.45">
      <c r="A95">
        <v>928</v>
      </c>
      <c r="B95" t="s">
        <v>90</v>
      </c>
      <c r="C95" s="238" t="s">
        <v>573</v>
      </c>
      <c r="D95" s="280">
        <v>106745115.98000002</v>
      </c>
      <c r="E95" s="203">
        <v>54334</v>
      </c>
      <c r="F95" s="282">
        <v>66788</v>
      </c>
      <c r="G95" s="286">
        <v>0.22921191151028822</v>
      </c>
      <c r="H95" s="160">
        <v>60733</v>
      </c>
      <c r="I95" s="159">
        <v>73016</v>
      </c>
      <c r="J95" s="159">
        <v>65</v>
      </c>
      <c r="K95" s="159">
        <v>220</v>
      </c>
      <c r="L95" s="159">
        <v>8920</v>
      </c>
      <c r="M95" s="171">
        <v>0.11821490230248</v>
      </c>
      <c r="N95" s="270">
        <v>66257</v>
      </c>
      <c r="O95" s="273">
        <v>66523</v>
      </c>
      <c r="P95" s="274">
        <v>4.0146701480598297E-3</v>
      </c>
      <c r="Q95" s="273">
        <v>69100</v>
      </c>
      <c r="R95" s="278">
        <v>4.2908673800504102E-2</v>
      </c>
      <c r="S95" s="265">
        <v>93.1</v>
      </c>
      <c r="T95" s="265">
        <v>4.5</v>
      </c>
      <c r="U95" s="265">
        <v>1</v>
      </c>
      <c r="V95" s="265">
        <v>98.6</v>
      </c>
      <c r="W95" s="160">
        <v>0</v>
      </c>
      <c r="X95" s="159">
        <v>109</v>
      </c>
      <c r="Y95" s="159">
        <v>0</v>
      </c>
      <c r="Z95" s="159">
        <v>0</v>
      </c>
      <c r="AA95" s="159">
        <v>630</v>
      </c>
      <c r="AB95" s="159">
        <v>5998</v>
      </c>
      <c r="AC95" s="159">
        <v>49680</v>
      </c>
      <c r="AD95" s="159">
        <v>14038</v>
      </c>
      <c r="AE95" s="159">
        <v>194</v>
      </c>
      <c r="AF95" s="161">
        <v>420</v>
      </c>
      <c r="AG95" s="203">
        <v>0</v>
      </c>
      <c r="AH95" s="203">
        <v>0</v>
      </c>
      <c r="AI95" s="203">
        <v>0</v>
      </c>
      <c r="AJ95" s="203">
        <v>0</v>
      </c>
      <c r="AK95" s="203">
        <v>109</v>
      </c>
      <c r="AL95" s="203">
        <v>630</v>
      </c>
      <c r="AM95" s="203">
        <v>2672</v>
      </c>
      <c r="AN95" s="203">
        <v>2480</v>
      </c>
      <c r="AO95" s="203">
        <v>39183</v>
      </c>
      <c r="AP95" s="203">
        <v>8184</v>
      </c>
      <c r="AQ95" s="203">
        <v>6008</v>
      </c>
      <c r="AR95" s="203">
        <v>11803</v>
      </c>
      <c r="AS95" s="160">
        <v>0</v>
      </c>
      <c r="AT95" s="203">
        <v>0</v>
      </c>
      <c r="AU95" s="203">
        <v>0</v>
      </c>
      <c r="AV95" s="203">
        <v>109</v>
      </c>
      <c r="AW95" s="203">
        <v>0</v>
      </c>
      <c r="AX95" s="203">
        <v>630</v>
      </c>
      <c r="AY95" s="203">
        <v>2933</v>
      </c>
      <c r="AZ95" s="203">
        <v>4927</v>
      </c>
      <c r="BA95" s="203">
        <v>34153</v>
      </c>
      <c r="BB95" s="203">
        <v>9919</v>
      </c>
      <c r="BC95" s="203">
        <v>6595</v>
      </c>
      <c r="BD95" s="203">
        <v>11803</v>
      </c>
      <c r="BE95" s="162">
        <v>35830004.754438519</v>
      </c>
      <c r="BF95" s="203">
        <v>16</v>
      </c>
      <c r="BG95" s="203">
        <v>2173</v>
      </c>
      <c r="BH95" s="217">
        <v>16488.727452571798</v>
      </c>
      <c r="BI95" s="217">
        <v>728874.34275516286</v>
      </c>
      <c r="BJ95" s="203">
        <v>4</v>
      </c>
      <c r="BK95" s="203">
        <v>210</v>
      </c>
      <c r="BL95" s="217">
        <v>3470.8302035960137</v>
      </c>
      <c r="BM95" s="217">
        <v>12002308.012902455</v>
      </c>
      <c r="BN95" s="203">
        <v>2</v>
      </c>
      <c r="BO95" s="203">
        <v>630</v>
      </c>
      <c r="BP95" s="307">
        <v>19051.282560162628</v>
      </c>
    </row>
    <row r="96" spans="1:68" x14ac:dyDescent="0.45">
      <c r="A96">
        <v>929</v>
      </c>
      <c r="B96" t="s">
        <v>91</v>
      </c>
      <c r="C96" s="238" t="s">
        <v>572</v>
      </c>
      <c r="D96" s="280">
        <v>18313907.600000001</v>
      </c>
      <c r="E96" s="203">
        <v>20752</v>
      </c>
      <c r="F96" s="282">
        <v>23513</v>
      </c>
      <c r="G96" s="286">
        <v>0.13304741711642251</v>
      </c>
      <c r="H96" s="160">
        <v>18754</v>
      </c>
      <c r="I96" s="159">
        <v>23783</v>
      </c>
      <c r="J96" s="159">
        <v>0</v>
      </c>
      <c r="K96" s="159">
        <v>90</v>
      </c>
      <c r="L96" s="159">
        <v>4700</v>
      </c>
      <c r="M96" s="171">
        <v>0.167197819239469</v>
      </c>
      <c r="N96" s="270">
        <v>23437</v>
      </c>
      <c r="O96" s="273">
        <v>23675</v>
      </c>
      <c r="P96" s="274">
        <v>1.0154883304177201E-2</v>
      </c>
      <c r="Q96" s="273">
        <v>23431</v>
      </c>
      <c r="R96" s="278">
        <v>-2.5600546144984401E-4</v>
      </c>
      <c r="S96" s="265">
        <v>98.2</v>
      </c>
      <c r="T96" s="265">
        <v>1.5</v>
      </c>
      <c r="U96" s="265">
        <v>0.1</v>
      </c>
      <c r="V96" s="265">
        <v>99.8</v>
      </c>
      <c r="W96" s="160">
        <v>0</v>
      </c>
      <c r="X96" s="159">
        <v>559</v>
      </c>
      <c r="Y96" s="159">
        <v>59</v>
      </c>
      <c r="Z96" s="159">
        <v>0</v>
      </c>
      <c r="AA96" s="159">
        <v>0</v>
      </c>
      <c r="AB96" s="159">
        <v>3325</v>
      </c>
      <c r="AC96" s="159">
        <v>18661</v>
      </c>
      <c r="AD96" s="159">
        <v>2679</v>
      </c>
      <c r="AE96" s="159">
        <v>0</v>
      </c>
      <c r="AF96" s="161">
        <v>1470</v>
      </c>
      <c r="AG96" s="203">
        <v>0</v>
      </c>
      <c r="AH96" s="203">
        <v>0</v>
      </c>
      <c r="AI96" s="203">
        <v>366</v>
      </c>
      <c r="AJ96" s="203">
        <v>0</v>
      </c>
      <c r="AK96" s="203">
        <v>0</v>
      </c>
      <c r="AL96" s="203">
        <v>252</v>
      </c>
      <c r="AM96" s="203">
        <v>1344</v>
      </c>
      <c r="AN96" s="203">
        <v>1470</v>
      </c>
      <c r="AO96" s="203">
        <v>6856</v>
      </c>
      <c r="AP96" s="203">
        <v>1050</v>
      </c>
      <c r="AQ96" s="203">
        <v>2303</v>
      </c>
      <c r="AR96" s="203">
        <v>13112</v>
      </c>
      <c r="AS96" s="160">
        <v>0</v>
      </c>
      <c r="AT96" s="203">
        <v>162</v>
      </c>
      <c r="AU96" s="203">
        <v>181</v>
      </c>
      <c r="AV96" s="203">
        <v>0</v>
      </c>
      <c r="AW96" s="203">
        <v>23</v>
      </c>
      <c r="AX96" s="203">
        <v>252</v>
      </c>
      <c r="AY96" s="203">
        <v>210</v>
      </c>
      <c r="AZ96" s="203">
        <v>3234</v>
      </c>
      <c r="BA96" s="203">
        <v>6431</v>
      </c>
      <c r="BB96" s="203">
        <v>945</v>
      </c>
      <c r="BC96" s="203">
        <v>2203</v>
      </c>
      <c r="BD96" s="203">
        <v>13112</v>
      </c>
      <c r="BE96" s="162">
        <v>7213477.4238791177</v>
      </c>
      <c r="BF96" s="203">
        <v>5</v>
      </c>
      <c r="BG96" s="203">
        <v>528</v>
      </c>
      <c r="BH96" s="217">
        <v>13661.889060377116</v>
      </c>
      <c r="BI96" s="217">
        <v>0</v>
      </c>
      <c r="BJ96" s="203">
        <v>0</v>
      </c>
      <c r="BK96" s="203">
        <v>0</v>
      </c>
      <c r="BL96" s="217" t="s">
        <v>687</v>
      </c>
      <c r="BM96" s="217">
        <v>0</v>
      </c>
      <c r="BN96" s="203">
        <v>0</v>
      </c>
      <c r="BO96" s="203">
        <v>0</v>
      </c>
      <c r="BP96" s="307" t="s">
        <v>687</v>
      </c>
    </row>
    <row r="97" spans="1:68" x14ac:dyDescent="0.45">
      <c r="A97">
        <v>892</v>
      </c>
      <c r="B97" t="s">
        <v>92</v>
      </c>
      <c r="C97" s="238" t="s">
        <v>573</v>
      </c>
      <c r="D97" s="280">
        <v>59129957.469999999</v>
      </c>
      <c r="E97" s="203">
        <v>19920</v>
      </c>
      <c r="F97" s="282">
        <v>26569</v>
      </c>
      <c r="G97" s="286">
        <v>0.33378514056224901</v>
      </c>
      <c r="H97" s="160">
        <v>23112</v>
      </c>
      <c r="I97" s="159">
        <v>28083</v>
      </c>
      <c r="J97" s="159">
        <v>210</v>
      </c>
      <c r="K97" s="159">
        <v>10</v>
      </c>
      <c r="L97" s="159">
        <v>2780</v>
      </c>
      <c r="M97" s="171">
        <v>9.4788266038890095E-2</v>
      </c>
      <c r="N97" s="270">
        <v>26720</v>
      </c>
      <c r="O97" s="273">
        <v>27116</v>
      </c>
      <c r="P97" s="274">
        <v>1.4820359281437099E-2</v>
      </c>
      <c r="Q97" s="273">
        <v>26643</v>
      </c>
      <c r="R97" s="278">
        <v>-2.8817365269461102E-3</v>
      </c>
      <c r="S97" s="265">
        <v>89.6</v>
      </c>
      <c r="T97" s="265">
        <v>5.7</v>
      </c>
      <c r="U97" s="265">
        <v>1.2</v>
      </c>
      <c r="V97" s="265">
        <v>96.5</v>
      </c>
      <c r="W97" s="160">
        <v>0</v>
      </c>
      <c r="X97" s="159">
        <v>405</v>
      </c>
      <c r="Y97" s="159">
        <v>0</v>
      </c>
      <c r="Z97" s="159">
        <v>0</v>
      </c>
      <c r="AA97" s="159">
        <v>0</v>
      </c>
      <c r="AB97" s="159">
        <v>3885</v>
      </c>
      <c r="AC97" s="159">
        <v>21483</v>
      </c>
      <c r="AD97" s="159">
        <v>1260</v>
      </c>
      <c r="AE97" s="159">
        <v>420</v>
      </c>
      <c r="AF97" s="161">
        <v>420</v>
      </c>
      <c r="AG97" s="203">
        <v>0</v>
      </c>
      <c r="AH97" s="203">
        <v>210</v>
      </c>
      <c r="AI97" s="203">
        <v>45</v>
      </c>
      <c r="AJ97" s="203">
        <v>150</v>
      </c>
      <c r="AK97" s="203">
        <v>0</v>
      </c>
      <c r="AL97" s="203">
        <v>0</v>
      </c>
      <c r="AM97" s="203">
        <v>4165</v>
      </c>
      <c r="AN97" s="203">
        <v>6727</v>
      </c>
      <c r="AO97" s="203">
        <v>12106</v>
      </c>
      <c r="AP97" s="203">
        <v>1740</v>
      </c>
      <c r="AQ97" s="203">
        <v>2310</v>
      </c>
      <c r="AR97" s="203">
        <v>420</v>
      </c>
      <c r="AS97" s="160">
        <v>210</v>
      </c>
      <c r="AT97" s="203">
        <v>0</v>
      </c>
      <c r="AU97" s="203">
        <v>195</v>
      </c>
      <c r="AV97" s="203">
        <v>0</v>
      </c>
      <c r="AW97" s="203">
        <v>0</v>
      </c>
      <c r="AX97" s="203">
        <v>0</v>
      </c>
      <c r="AY97" s="203">
        <v>7105</v>
      </c>
      <c r="AZ97" s="203">
        <v>6262</v>
      </c>
      <c r="BA97" s="203">
        <v>10321</v>
      </c>
      <c r="BB97" s="203">
        <v>2310</v>
      </c>
      <c r="BC97" s="203">
        <v>1050</v>
      </c>
      <c r="BD97" s="203">
        <v>420</v>
      </c>
      <c r="BE97" s="162">
        <v>25579877.91502114</v>
      </c>
      <c r="BF97" s="203">
        <v>9</v>
      </c>
      <c r="BG97" s="203">
        <v>1835</v>
      </c>
      <c r="BH97" s="217">
        <v>13939.987964589178</v>
      </c>
      <c r="BI97" s="217">
        <v>233628.13093093145</v>
      </c>
      <c r="BJ97" s="203">
        <v>4</v>
      </c>
      <c r="BK97" s="203">
        <v>150</v>
      </c>
      <c r="BL97" s="217">
        <v>1557.5208728728765</v>
      </c>
      <c r="BM97" s="217">
        <v>0</v>
      </c>
      <c r="BN97" s="203">
        <v>0</v>
      </c>
      <c r="BO97" s="203">
        <v>0</v>
      </c>
      <c r="BP97" s="307" t="s">
        <v>687</v>
      </c>
    </row>
    <row r="98" spans="1:68" x14ac:dyDescent="0.45">
      <c r="A98">
        <v>891</v>
      </c>
      <c r="B98" t="s">
        <v>93</v>
      </c>
      <c r="C98" s="238" t="s">
        <v>573</v>
      </c>
      <c r="D98" s="280">
        <v>102343680.46000001</v>
      </c>
      <c r="E98" s="203">
        <v>56907</v>
      </c>
      <c r="F98" s="282">
        <v>68808</v>
      </c>
      <c r="G98" s="286">
        <v>0.20913068691022194</v>
      </c>
      <c r="H98" s="160">
        <v>63192</v>
      </c>
      <c r="I98" s="159">
        <v>72816</v>
      </c>
      <c r="J98" s="159">
        <v>1662</v>
      </c>
      <c r="K98" s="159">
        <v>650</v>
      </c>
      <c r="L98" s="159">
        <v>6760</v>
      </c>
      <c r="M98" s="171">
        <v>9.0180582205309001E-2</v>
      </c>
      <c r="N98" s="270">
        <v>66908</v>
      </c>
      <c r="O98" s="273">
        <v>68720</v>
      </c>
      <c r="P98" s="274">
        <v>2.7081963292879801E-2</v>
      </c>
      <c r="Q98" s="273">
        <v>66530</v>
      </c>
      <c r="R98" s="278">
        <v>-5.6495486339451203E-3</v>
      </c>
      <c r="S98" s="265">
        <v>94.1</v>
      </c>
      <c r="T98" s="265">
        <v>3.8</v>
      </c>
      <c r="U98" s="265">
        <v>0.8</v>
      </c>
      <c r="V98" s="265">
        <v>98.6</v>
      </c>
      <c r="W98" s="160">
        <v>215</v>
      </c>
      <c r="X98" s="159">
        <v>1421</v>
      </c>
      <c r="Y98" s="159">
        <v>85</v>
      </c>
      <c r="Z98" s="159">
        <v>49</v>
      </c>
      <c r="AA98" s="159">
        <v>0</v>
      </c>
      <c r="AB98" s="159">
        <v>9883</v>
      </c>
      <c r="AC98" s="159">
        <v>48306</v>
      </c>
      <c r="AD98" s="159">
        <v>8636</v>
      </c>
      <c r="AE98" s="159">
        <v>441</v>
      </c>
      <c r="AF98" s="161">
        <v>0</v>
      </c>
      <c r="AG98" s="203">
        <v>431</v>
      </c>
      <c r="AH98" s="203">
        <v>42</v>
      </c>
      <c r="AI98" s="203">
        <v>828</v>
      </c>
      <c r="AJ98" s="203">
        <v>185</v>
      </c>
      <c r="AK98" s="203">
        <v>217</v>
      </c>
      <c r="AL98" s="203">
        <v>67</v>
      </c>
      <c r="AM98" s="203">
        <v>5983</v>
      </c>
      <c r="AN98" s="203">
        <v>5290</v>
      </c>
      <c r="AO98" s="203">
        <v>36653</v>
      </c>
      <c r="AP98" s="203">
        <v>6900</v>
      </c>
      <c r="AQ98" s="203">
        <v>5829</v>
      </c>
      <c r="AR98" s="203">
        <v>6611</v>
      </c>
      <c r="AS98" s="160">
        <v>215</v>
      </c>
      <c r="AT98" s="203">
        <v>155</v>
      </c>
      <c r="AU98" s="203">
        <v>1092</v>
      </c>
      <c r="AV98" s="203">
        <v>42</v>
      </c>
      <c r="AW98" s="203">
        <v>199</v>
      </c>
      <c r="AX98" s="203">
        <v>67</v>
      </c>
      <c r="AY98" s="203">
        <v>7941</v>
      </c>
      <c r="AZ98" s="203">
        <v>7037</v>
      </c>
      <c r="BA98" s="203">
        <v>35927</v>
      </c>
      <c r="BB98" s="203">
        <v>4776</v>
      </c>
      <c r="BC98" s="203">
        <v>5057</v>
      </c>
      <c r="BD98" s="203">
        <v>6528</v>
      </c>
      <c r="BE98" s="162">
        <v>28093261.060765609</v>
      </c>
      <c r="BF98" s="203">
        <v>34</v>
      </c>
      <c r="BG98" s="203">
        <v>2478</v>
      </c>
      <c r="BH98" s="217">
        <v>11337.070645990963</v>
      </c>
      <c r="BI98" s="217">
        <v>0</v>
      </c>
      <c r="BJ98" s="203">
        <v>0</v>
      </c>
      <c r="BK98" s="203">
        <v>0</v>
      </c>
      <c r="BL98" s="217" t="s">
        <v>687</v>
      </c>
      <c r="BM98" s="217">
        <v>0</v>
      </c>
      <c r="BN98" s="203">
        <v>0</v>
      </c>
      <c r="BO98" s="203">
        <v>0</v>
      </c>
      <c r="BP98" s="307" t="s">
        <v>687</v>
      </c>
    </row>
    <row r="99" spans="1:68" x14ac:dyDescent="0.45">
      <c r="A99">
        <v>353</v>
      </c>
      <c r="B99" t="s">
        <v>94</v>
      </c>
      <c r="C99" s="238" t="s">
        <v>569</v>
      </c>
      <c r="D99" s="280">
        <v>80818192.620000005</v>
      </c>
      <c r="E99" s="203">
        <v>21180</v>
      </c>
      <c r="F99" s="282">
        <v>25217</v>
      </c>
      <c r="G99" s="286">
        <v>0.19060434372049104</v>
      </c>
      <c r="H99" s="160">
        <v>22927</v>
      </c>
      <c r="I99" s="159">
        <v>25510</v>
      </c>
      <c r="J99" s="159">
        <v>630</v>
      </c>
      <c r="K99" s="159">
        <v>400</v>
      </c>
      <c r="L99" s="159">
        <v>1320</v>
      </c>
      <c r="M99" s="171">
        <v>5.0491856933911998E-2</v>
      </c>
      <c r="N99" s="270">
        <v>24424</v>
      </c>
      <c r="O99" s="273">
        <v>25113</v>
      </c>
      <c r="P99" s="274">
        <v>2.8209957418932199E-2</v>
      </c>
      <c r="Q99" s="273">
        <v>26110</v>
      </c>
      <c r="R99" s="278">
        <v>6.9030461840812296E-2</v>
      </c>
      <c r="S99" s="265">
        <v>92.9</v>
      </c>
      <c r="T99" s="265">
        <v>3.9</v>
      </c>
      <c r="U99" s="265">
        <v>0.9</v>
      </c>
      <c r="V99" s="265">
        <v>97.7</v>
      </c>
      <c r="W99" s="160">
        <v>20</v>
      </c>
      <c r="X99" s="159">
        <v>35</v>
      </c>
      <c r="Y99" s="159">
        <v>0</v>
      </c>
      <c r="Z99" s="159">
        <v>0</v>
      </c>
      <c r="AA99" s="159">
        <v>0</v>
      </c>
      <c r="AB99" s="159">
        <v>4835</v>
      </c>
      <c r="AC99" s="159">
        <v>15395</v>
      </c>
      <c r="AD99" s="159">
        <v>3475</v>
      </c>
      <c r="AE99" s="159">
        <v>315</v>
      </c>
      <c r="AF99" s="161">
        <v>0</v>
      </c>
      <c r="AG99" s="203">
        <v>0</v>
      </c>
      <c r="AH99" s="203">
        <v>20</v>
      </c>
      <c r="AI99" s="203">
        <v>0</v>
      </c>
      <c r="AJ99" s="203">
        <v>35</v>
      </c>
      <c r="AK99" s="203">
        <v>0</v>
      </c>
      <c r="AL99" s="203">
        <v>0</v>
      </c>
      <c r="AM99" s="203">
        <v>2305</v>
      </c>
      <c r="AN99" s="203">
        <v>3830</v>
      </c>
      <c r="AO99" s="203">
        <v>13870</v>
      </c>
      <c r="AP99" s="203">
        <v>1375</v>
      </c>
      <c r="AQ99" s="203">
        <v>1680</v>
      </c>
      <c r="AR99" s="203">
        <v>960</v>
      </c>
      <c r="AS99" s="160">
        <v>20</v>
      </c>
      <c r="AT99" s="203">
        <v>0</v>
      </c>
      <c r="AU99" s="203">
        <v>35</v>
      </c>
      <c r="AV99" s="203">
        <v>0</v>
      </c>
      <c r="AW99" s="203">
        <v>0</v>
      </c>
      <c r="AX99" s="203">
        <v>0</v>
      </c>
      <c r="AY99" s="203">
        <v>4145</v>
      </c>
      <c r="AZ99" s="203">
        <v>6480</v>
      </c>
      <c r="BA99" s="203">
        <v>10020</v>
      </c>
      <c r="BB99" s="203">
        <v>1995</v>
      </c>
      <c r="BC99" s="203">
        <v>420</v>
      </c>
      <c r="BD99" s="203">
        <v>960</v>
      </c>
      <c r="BE99" s="162">
        <v>6591439.8010361511</v>
      </c>
      <c r="BF99" s="203">
        <v>5</v>
      </c>
      <c r="BG99" s="203">
        <v>700</v>
      </c>
      <c r="BH99" s="217">
        <v>9416.3425729087867</v>
      </c>
      <c r="BI99" s="217">
        <v>0</v>
      </c>
      <c r="BJ99" s="203">
        <v>0</v>
      </c>
      <c r="BK99" s="203">
        <v>0</v>
      </c>
      <c r="BL99" s="217" t="s">
        <v>687</v>
      </c>
      <c r="BM99" s="217">
        <v>10315977.654759975</v>
      </c>
      <c r="BN99" s="203">
        <v>1</v>
      </c>
      <c r="BO99" s="203">
        <v>630</v>
      </c>
      <c r="BP99" s="307">
        <v>16374.567705968215</v>
      </c>
    </row>
    <row r="100" spans="1:68" x14ac:dyDescent="0.45">
      <c r="A100">
        <v>931</v>
      </c>
      <c r="B100" t="s">
        <v>95</v>
      </c>
      <c r="C100" s="238" t="s">
        <v>570</v>
      </c>
      <c r="D100" s="280">
        <v>98809779.25</v>
      </c>
      <c r="E100" s="203">
        <v>45197</v>
      </c>
      <c r="F100" s="282">
        <v>55362</v>
      </c>
      <c r="G100" s="286">
        <v>0.22490430780804035</v>
      </c>
      <c r="H100" s="160">
        <v>49549</v>
      </c>
      <c r="I100" s="159">
        <v>59854</v>
      </c>
      <c r="J100" s="159">
        <v>1995</v>
      </c>
      <c r="K100" s="159">
        <v>240</v>
      </c>
      <c r="L100" s="159">
        <v>8150</v>
      </c>
      <c r="M100" s="171">
        <v>0.12887477309984399</v>
      </c>
      <c r="N100" s="270">
        <v>52434</v>
      </c>
      <c r="O100" s="273">
        <v>52953</v>
      </c>
      <c r="P100" s="274">
        <v>9.8981576839455299E-3</v>
      </c>
      <c r="Q100" s="273">
        <v>54188</v>
      </c>
      <c r="R100" s="278">
        <v>3.3451577220887201E-2</v>
      </c>
      <c r="S100" s="265">
        <v>93.3</v>
      </c>
      <c r="T100" s="265">
        <v>4.4000000000000004</v>
      </c>
      <c r="U100" s="265">
        <v>1</v>
      </c>
      <c r="V100" s="265">
        <v>98.7</v>
      </c>
      <c r="W100" s="160">
        <v>0</v>
      </c>
      <c r="X100" s="159">
        <v>261</v>
      </c>
      <c r="Y100" s="159">
        <v>20</v>
      </c>
      <c r="Z100" s="159">
        <v>0</v>
      </c>
      <c r="AA100" s="159">
        <v>0</v>
      </c>
      <c r="AB100" s="159">
        <v>5943</v>
      </c>
      <c r="AC100" s="159">
        <v>45155</v>
      </c>
      <c r="AD100" s="159">
        <v>4148</v>
      </c>
      <c r="AE100" s="159">
        <v>1435</v>
      </c>
      <c r="AF100" s="161">
        <v>0</v>
      </c>
      <c r="AG100" s="203">
        <v>0</v>
      </c>
      <c r="AH100" s="203">
        <v>0</v>
      </c>
      <c r="AI100" s="203">
        <v>281</v>
      </c>
      <c r="AJ100" s="203">
        <v>0</v>
      </c>
      <c r="AK100" s="203">
        <v>0</v>
      </c>
      <c r="AL100" s="203">
        <v>0</v>
      </c>
      <c r="AM100" s="203">
        <v>4493</v>
      </c>
      <c r="AN100" s="203">
        <v>4924</v>
      </c>
      <c r="AO100" s="203">
        <v>34527</v>
      </c>
      <c r="AP100" s="203">
        <v>4825</v>
      </c>
      <c r="AQ100" s="203">
        <v>4920</v>
      </c>
      <c r="AR100" s="203">
        <v>2992</v>
      </c>
      <c r="AS100" s="160">
        <v>0</v>
      </c>
      <c r="AT100" s="203">
        <v>0</v>
      </c>
      <c r="AU100" s="203">
        <v>191</v>
      </c>
      <c r="AV100" s="203">
        <v>15</v>
      </c>
      <c r="AW100" s="203">
        <v>75</v>
      </c>
      <c r="AX100" s="203">
        <v>0</v>
      </c>
      <c r="AY100" s="203">
        <v>2593</v>
      </c>
      <c r="AZ100" s="203">
        <v>2833</v>
      </c>
      <c r="BA100" s="203">
        <v>32671</v>
      </c>
      <c r="BB100" s="203">
        <v>9000</v>
      </c>
      <c r="BC100" s="203">
        <v>6592</v>
      </c>
      <c r="BD100" s="203">
        <v>2992</v>
      </c>
      <c r="BE100" s="162">
        <v>36402713.770878479</v>
      </c>
      <c r="BF100" s="203">
        <v>26</v>
      </c>
      <c r="BG100" s="203">
        <v>1944</v>
      </c>
      <c r="BH100" s="217">
        <v>18725.675808065062</v>
      </c>
      <c r="BI100" s="217">
        <v>0</v>
      </c>
      <c r="BJ100" s="203">
        <v>0</v>
      </c>
      <c r="BK100" s="203">
        <v>0</v>
      </c>
      <c r="BL100" s="217" t="s">
        <v>687</v>
      </c>
      <c r="BM100" s="217">
        <v>26641862.172966577</v>
      </c>
      <c r="BN100" s="203">
        <v>3</v>
      </c>
      <c r="BO100" s="203">
        <v>1088</v>
      </c>
      <c r="BP100" s="307">
        <v>24487.005673682517</v>
      </c>
    </row>
    <row r="101" spans="1:68" x14ac:dyDescent="0.45">
      <c r="A101">
        <v>874</v>
      </c>
      <c r="B101" t="s">
        <v>96</v>
      </c>
      <c r="C101" s="238" t="s">
        <v>567</v>
      </c>
      <c r="D101" s="280">
        <v>62670289.299999997</v>
      </c>
      <c r="E101" s="203">
        <v>15578</v>
      </c>
      <c r="F101" s="282">
        <v>22354</v>
      </c>
      <c r="G101" s="286">
        <v>0.43497239697008599</v>
      </c>
      <c r="H101" s="160">
        <v>17191</v>
      </c>
      <c r="I101" s="159">
        <v>22430</v>
      </c>
      <c r="J101" s="159">
        <v>150</v>
      </c>
      <c r="K101" s="159">
        <v>440</v>
      </c>
      <c r="L101" s="159">
        <v>1510</v>
      </c>
      <c r="M101" s="171">
        <v>6.4474286708335493E-2</v>
      </c>
      <c r="N101" s="270">
        <v>21684</v>
      </c>
      <c r="O101" s="273">
        <v>21834</v>
      </c>
      <c r="P101" s="274">
        <v>6.9175428887659103E-3</v>
      </c>
      <c r="Q101" s="273">
        <v>22043</v>
      </c>
      <c r="R101" s="278">
        <v>1.65559859804464E-2</v>
      </c>
      <c r="S101" s="265">
        <v>90.4</v>
      </c>
      <c r="T101" s="265">
        <v>5.7</v>
      </c>
      <c r="U101" s="265">
        <v>1.1000000000000001</v>
      </c>
      <c r="V101" s="265">
        <v>97.2</v>
      </c>
      <c r="W101" s="160">
        <v>0</v>
      </c>
      <c r="X101" s="159">
        <v>345</v>
      </c>
      <c r="Y101" s="159">
        <v>0</v>
      </c>
      <c r="Z101" s="159">
        <v>0</v>
      </c>
      <c r="AA101" s="159">
        <v>0</v>
      </c>
      <c r="AB101" s="159">
        <v>1740</v>
      </c>
      <c r="AC101" s="159">
        <v>15035</v>
      </c>
      <c r="AD101" s="159">
        <v>1950</v>
      </c>
      <c r="AE101" s="159">
        <v>0</v>
      </c>
      <c r="AF101" s="161">
        <v>0</v>
      </c>
      <c r="AG101" s="203">
        <v>0</v>
      </c>
      <c r="AH101" s="203">
        <v>0</v>
      </c>
      <c r="AI101" s="203">
        <v>315</v>
      </c>
      <c r="AJ101" s="203">
        <v>0</v>
      </c>
      <c r="AK101" s="203">
        <v>0</v>
      </c>
      <c r="AL101" s="203">
        <v>30</v>
      </c>
      <c r="AM101" s="203">
        <v>1470</v>
      </c>
      <c r="AN101" s="203">
        <v>210</v>
      </c>
      <c r="AO101" s="203">
        <v>9920</v>
      </c>
      <c r="AP101" s="203">
        <v>2250</v>
      </c>
      <c r="AQ101" s="203">
        <v>2460</v>
      </c>
      <c r="AR101" s="203">
        <v>2415</v>
      </c>
      <c r="AS101" s="160">
        <v>0</v>
      </c>
      <c r="AT101" s="203">
        <v>0</v>
      </c>
      <c r="AU101" s="203">
        <v>315</v>
      </c>
      <c r="AV101" s="203">
        <v>0</v>
      </c>
      <c r="AW101" s="203">
        <v>0</v>
      </c>
      <c r="AX101" s="203">
        <v>30</v>
      </c>
      <c r="AY101" s="203">
        <v>1470</v>
      </c>
      <c r="AZ101" s="203">
        <v>2310</v>
      </c>
      <c r="BA101" s="203">
        <v>8120</v>
      </c>
      <c r="BB101" s="203">
        <v>2940</v>
      </c>
      <c r="BC101" s="203">
        <v>1470</v>
      </c>
      <c r="BD101" s="203">
        <v>2415</v>
      </c>
      <c r="BE101" s="162">
        <v>14626204.216455719</v>
      </c>
      <c r="BF101" s="203">
        <v>5</v>
      </c>
      <c r="BG101" s="203">
        <v>808</v>
      </c>
      <c r="BH101" s="217">
        <v>18101.737891653116</v>
      </c>
      <c r="BI101" s="217">
        <v>149515.91303558461</v>
      </c>
      <c r="BJ101" s="203">
        <v>3</v>
      </c>
      <c r="BK101" s="203">
        <v>90</v>
      </c>
      <c r="BL101" s="217">
        <v>1661.2879226176069</v>
      </c>
      <c r="BM101" s="217">
        <v>0</v>
      </c>
      <c r="BN101" s="203">
        <v>0</v>
      </c>
      <c r="BO101" s="203">
        <v>0</v>
      </c>
      <c r="BP101" s="307" t="s">
        <v>687</v>
      </c>
    </row>
    <row r="102" spans="1:68" x14ac:dyDescent="0.45">
      <c r="A102">
        <v>879</v>
      </c>
      <c r="B102" t="s">
        <v>97</v>
      </c>
      <c r="C102" s="238" t="s">
        <v>566</v>
      </c>
      <c r="D102" s="280">
        <v>30115363.390000001</v>
      </c>
      <c r="E102" s="203">
        <v>17743</v>
      </c>
      <c r="F102" s="282">
        <v>19997</v>
      </c>
      <c r="G102" s="286">
        <v>0.12703601420278421</v>
      </c>
      <c r="H102" s="160">
        <v>18931</v>
      </c>
      <c r="I102" s="159">
        <v>23285</v>
      </c>
      <c r="J102" s="159">
        <v>240</v>
      </c>
      <c r="K102" s="159">
        <v>40</v>
      </c>
      <c r="L102" s="159">
        <v>3990</v>
      </c>
      <c r="M102" s="171">
        <v>0.166563086392332</v>
      </c>
      <c r="N102" s="270">
        <v>20714</v>
      </c>
      <c r="O102" s="273">
        <v>20872</v>
      </c>
      <c r="P102" s="274">
        <v>7.6276914164333303E-3</v>
      </c>
      <c r="Q102" s="273">
        <v>20781</v>
      </c>
      <c r="R102" s="278">
        <v>3.2345273727913499E-3</v>
      </c>
      <c r="S102" s="265">
        <v>94.2</v>
      </c>
      <c r="T102" s="265">
        <v>3.6</v>
      </c>
      <c r="U102" s="265">
        <v>0.8</v>
      </c>
      <c r="V102" s="265">
        <v>98.7</v>
      </c>
      <c r="W102" s="160">
        <v>0</v>
      </c>
      <c r="X102" s="159">
        <v>211</v>
      </c>
      <c r="Y102" s="159">
        <v>53</v>
      </c>
      <c r="Z102" s="159">
        <v>0</v>
      </c>
      <c r="AA102" s="159">
        <v>0</v>
      </c>
      <c r="AB102" s="159">
        <v>3619</v>
      </c>
      <c r="AC102" s="159">
        <v>14581</v>
      </c>
      <c r="AD102" s="159">
        <v>3561</v>
      </c>
      <c r="AE102" s="159">
        <v>630</v>
      </c>
      <c r="AF102" s="161">
        <v>0</v>
      </c>
      <c r="AG102" s="203">
        <v>0</v>
      </c>
      <c r="AH102" s="203">
        <v>0</v>
      </c>
      <c r="AI102" s="203">
        <v>211</v>
      </c>
      <c r="AJ102" s="203">
        <v>32</v>
      </c>
      <c r="AK102" s="203">
        <v>0</v>
      </c>
      <c r="AL102" s="203">
        <v>21</v>
      </c>
      <c r="AM102" s="203">
        <v>2352</v>
      </c>
      <c r="AN102" s="203">
        <v>2835</v>
      </c>
      <c r="AO102" s="203">
        <v>13680</v>
      </c>
      <c r="AP102" s="203">
        <v>858</v>
      </c>
      <c r="AQ102" s="203">
        <v>1688</v>
      </c>
      <c r="AR102" s="203">
        <v>978</v>
      </c>
      <c r="AS102" s="160">
        <v>0</v>
      </c>
      <c r="AT102" s="203">
        <v>0</v>
      </c>
      <c r="AU102" s="203">
        <v>211</v>
      </c>
      <c r="AV102" s="203">
        <v>0</v>
      </c>
      <c r="AW102" s="203">
        <v>32</v>
      </c>
      <c r="AX102" s="203">
        <v>21</v>
      </c>
      <c r="AY102" s="203">
        <v>4032</v>
      </c>
      <c r="AZ102" s="203">
        <v>4867</v>
      </c>
      <c r="BA102" s="203">
        <v>9455</v>
      </c>
      <c r="BB102" s="203">
        <v>1785</v>
      </c>
      <c r="BC102" s="203">
        <v>1274</v>
      </c>
      <c r="BD102" s="203">
        <v>978</v>
      </c>
      <c r="BE102" s="162">
        <v>6543329.839565997</v>
      </c>
      <c r="BF102" s="203">
        <v>5</v>
      </c>
      <c r="BG102" s="203">
        <v>534</v>
      </c>
      <c r="BH102" s="217">
        <v>12253.426665853927</v>
      </c>
      <c r="BI102" s="217">
        <v>0</v>
      </c>
      <c r="BJ102" s="203">
        <v>0</v>
      </c>
      <c r="BK102" s="203">
        <v>0</v>
      </c>
      <c r="BL102" s="217" t="s">
        <v>687</v>
      </c>
      <c r="BM102" s="217">
        <v>8408297.4922974929</v>
      </c>
      <c r="BN102" s="203">
        <v>1</v>
      </c>
      <c r="BO102" s="203">
        <v>657</v>
      </c>
      <c r="BP102" s="307">
        <v>12798.017492081421</v>
      </c>
    </row>
    <row r="103" spans="1:68" s="208" customFormat="1" x14ac:dyDescent="0.45">
      <c r="A103" s="208">
        <v>836</v>
      </c>
      <c r="B103" s="208" t="s">
        <v>745</v>
      </c>
      <c r="C103" s="316" t="s">
        <v>566</v>
      </c>
      <c r="D103" s="290">
        <v>25249525</v>
      </c>
      <c r="E103" s="227">
        <v>9248</v>
      </c>
      <c r="F103" s="291" t="s">
        <v>687</v>
      </c>
      <c r="G103" s="292" t="s">
        <v>687</v>
      </c>
      <c r="H103" s="293">
        <v>10552</v>
      </c>
      <c r="I103" s="294" t="s">
        <v>687</v>
      </c>
      <c r="J103" s="294" t="s">
        <v>687</v>
      </c>
      <c r="K103" s="294" t="s">
        <v>687</v>
      </c>
      <c r="L103" s="294" t="s">
        <v>687</v>
      </c>
      <c r="M103" s="295" t="s">
        <v>687</v>
      </c>
      <c r="N103" s="296" t="s">
        <v>687</v>
      </c>
      <c r="O103" s="297">
        <v>10861</v>
      </c>
      <c r="P103" s="298" t="s">
        <v>687</v>
      </c>
      <c r="Q103" s="297">
        <v>10995</v>
      </c>
      <c r="R103" s="299" t="s">
        <v>687</v>
      </c>
      <c r="S103" s="300">
        <v>88</v>
      </c>
      <c r="T103" s="300">
        <v>7.8</v>
      </c>
      <c r="U103" s="300">
        <v>2.1</v>
      </c>
      <c r="V103" s="300">
        <v>97.9</v>
      </c>
      <c r="W103" s="293" t="s">
        <v>687</v>
      </c>
      <c r="X103" s="294" t="s">
        <v>687</v>
      </c>
      <c r="Y103" s="294" t="s">
        <v>687</v>
      </c>
      <c r="Z103" s="294" t="s">
        <v>687</v>
      </c>
      <c r="AA103" s="294" t="s">
        <v>687</v>
      </c>
      <c r="AB103" s="294" t="s">
        <v>687</v>
      </c>
      <c r="AC103" s="294" t="s">
        <v>687</v>
      </c>
      <c r="AD103" s="294" t="s">
        <v>687</v>
      </c>
      <c r="AE103" s="294" t="s">
        <v>687</v>
      </c>
      <c r="AF103" s="301" t="s">
        <v>687</v>
      </c>
      <c r="AG103" s="227" t="s">
        <v>687</v>
      </c>
      <c r="AH103" s="227" t="s">
        <v>687</v>
      </c>
      <c r="AI103" s="227" t="s">
        <v>687</v>
      </c>
      <c r="AJ103" s="227" t="s">
        <v>687</v>
      </c>
      <c r="AK103" s="227" t="s">
        <v>687</v>
      </c>
      <c r="AL103" s="227" t="s">
        <v>687</v>
      </c>
      <c r="AM103" s="227" t="s">
        <v>687</v>
      </c>
      <c r="AN103" s="227" t="s">
        <v>687</v>
      </c>
      <c r="AO103" s="227" t="s">
        <v>687</v>
      </c>
      <c r="AP103" s="227" t="s">
        <v>687</v>
      </c>
      <c r="AQ103" s="227" t="s">
        <v>687</v>
      </c>
      <c r="AR103" s="227" t="s">
        <v>687</v>
      </c>
      <c r="AS103" s="293" t="s">
        <v>687</v>
      </c>
      <c r="AT103" s="227" t="s">
        <v>687</v>
      </c>
      <c r="AU103" s="227" t="s">
        <v>687</v>
      </c>
      <c r="AV103" s="227" t="s">
        <v>687</v>
      </c>
      <c r="AW103" s="227" t="s">
        <v>687</v>
      </c>
      <c r="AX103" s="227" t="s">
        <v>687</v>
      </c>
      <c r="AY103" s="227" t="s">
        <v>687</v>
      </c>
      <c r="AZ103" s="227" t="s">
        <v>687</v>
      </c>
      <c r="BA103" s="227" t="s">
        <v>687</v>
      </c>
      <c r="BB103" s="227" t="s">
        <v>687</v>
      </c>
      <c r="BC103" s="227" t="s">
        <v>687</v>
      </c>
      <c r="BD103" s="227" t="s">
        <v>687</v>
      </c>
      <c r="BE103" s="249">
        <v>9657865.1787364911</v>
      </c>
      <c r="BF103" s="227">
        <v>2</v>
      </c>
      <c r="BG103" s="227">
        <v>480</v>
      </c>
      <c r="BH103" s="305">
        <v>20120.552455701025</v>
      </c>
      <c r="BI103" s="305">
        <v>0</v>
      </c>
      <c r="BJ103" s="227">
        <v>0</v>
      </c>
      <c r="BK103" s="227">
        <v>0</v>
      </c>
      <c r="BL103" s="305" t="s">
        <v>687</v>
      </c>
      <c r="BM103" s="305">
        <v>0</v>
      </c>
      <c r="BN103" s="227">
        <v>0</v>
      </c>
      <c r="BO103" s="227">
        <v>0</v>
      </c>
      <c r="BP103" s="308" t="s">
        <v>687</v>
      </c>
    </row>
    <row r="104" spans="1:68" x14ac:dyDescent="0.45">
      <c r="A104">
        <v>851</v>
      </c>
      <c r="B104" t="s">
        <v>98</v>
      </c>
      <c r="C104" s="238" t="s">
        <v>570</v>
      </c>
      <c r="D104" s="280">
        <v>38790371.260000005</v>
      </c>
      <c r="E104" s="203">
        <v>13407</v>
      </c>
      <c r="F104" s="282">
        <v>16396</v>
      </c>
      <c r="G104" s="286">
        <v>0.22294323860669799</v>
      </c>
      <c r="H104" s="160">
        <v>15398</v>
      </c>
      <c r="I104" s="159">
        <v>16900</v>
      </c>
      <c r="J104" s="159">
        <v>105</v>
      </c>
      <c r="K104" s="159">
        <v>110</v>
      </c>
      <c r="L104" s="159">
        <v>1140</v>
      </c>
      <c r="M104" s="171">
        <v>6.5246156697659902E-2</v>
      </c>
      <c r="N104" s="270">
        <v>16216</v>
      </c>
      <c r="O104" s="273">
        <v>16620</v>
      </c>
      <c r="P104" s="274">
        <v>2.4913665515540199E-2</v>
      </c>
      <c r="Q104" s="273">
        <v>16606</v>
      </c>
      <c r="R104" s="278">
        <v>2.4050320670942298E-2</v>
      </c>
      <c r="S104" s="265">
        <v>86.6</v>
      </c>
      <c r="T104" s="265">
        <v>8.6999999999999993</v>
      </c>
      <c r="U104" s="265">
        <v>2</v>
      </c>
      <c r="V104" s="265">
        <v>97.4</v>
      </c>
      <c r="W104" s="160">
        <v>0</v>
      </c>
      <c r="X104" s="159">
        <v>15</v>
      </c>
      <c r="Y104" s="159">
        <v>0</v>
      </c>
      <c r="Z104" s="159">
        <v>0</v>
      </c>
      <c r="AA104" s="159">
        <v>0</v>
      </c>
      <c r="AB104" s="159">
        <v>750</v>
      </c>
      <c r="AC104" s="159">
        <v>14260</v>
      </c>
      <c r="AD104" s="159">
        <v>1980</v>
      </c>
      <c r="AE104" s="159">
        <v>315</v>
      </c>
      <c r="AF104" s="161">
        <v>0</v>
      </c>
      <c r="AG104" s="203">
        <v>0</v>
      </c>
      <c r="AH104" s="203">
        <v>0</v>
      </c>
      <c r="AI104" s="203">
        <v>0</v>
      </c>
      <c r="AJ104" s="203">
        <v>0</v>
      </c>
      <c r="AK104" s="203">
        <v>0</v>
      </c>
      <c r="AL104" s="203">
        <v>15</v>
      </c>
      <c r="AM104" s="203">
        <v>420</v>
      </c>
      <c r="AN104" s="203">
        <v>735</v>
      </c>
      <c r="AO104" s="203">
        <v>4295</v>
      </c>
      <c r="AP104" s="203">
        <v>4455</v>
      </c>
      <c r="AQ104" s="203">
        <v>2700</v>
      </c>
      <c r="AR104" s="203">
        <v>4700</v>
      </c>
      <c r="AS104" s="160">
        <v>0</v>
      </c>
      <c r="AT104" s="203">
        <v>0</v>
      </c>
      <c r="AU104" s="203">
        <v>0</v>
      </c>
      <c r="AV104" s="203">
        <v>0</v>
      </c>
      <c r="AW104" s="203">
        <v>0</v>
      </c>
      <c r="AX104" s="203">
        <v>15</v>
      </c>
      <c r="AY104" s="203">
        <v>315</v>
      </c>
      <c r="AZ104" s="203">
        <v>840</v>
      </c>
      <c r="BA104" s="203">
        <v>5345</v>
      </c>
      <c r="BB104" s="203">
        <v>2715</v>
      </c>
      <c r="BC104" s="203">
        <v>3390</v>
      </c>
      <c r="BD104" s="203">
        <v>4700</v>
      </c>
      <c r="BE104" s="162">
        <v>4721602.3687843932</v>
      </c>
      <c r="BF104" s="203">
        <v>4</v>
      </c>
      <c r="BG104" s="203">
        <v>275</v>
      </c>
      <c r="BH104" s="217">
        <v>17169.463159215975</v>
      </c>
      <c r="BI104" s="217">
        <v>379602.15336134459</v>
      </c>
      <c r="BJ104" s="203">
        <v>2</v>
      </c>
      <c r="BK104" s="203">
        <v>60</v>
      </c>
      <c r="BL104" s="217">
        <v>6326.7025560224101</v>
      </c>
      <c r="BM104" s="217">
        <v>0</v>
      </c>
      <c r="BN104" s="203">
        <v>0</v>
      </c>
      <c r="BO104" s="203">
        <v>0</v>
      </c>
      <c r="BP104" s="307" t="s">
        <v>687</v>
      </c>
    </row>
    <row r="105" spans="1:68" x14ac:dyDescent="0.45">
      <c r="A105">
        <v>870</v>
      </c>
      <c r="B105" t="s">
        <v>99</v>
      </c>
      <c r="C105" s="238" t="s">
        <v>570</v>
      </c>
      <c r="D105" s="280">
        <v>62103202.440000005</v>
      </c>
      <c r="E105" s="203">
        <v>9934</v>
      </c>
      <c r="F105" s="282">
        <v>13220</v>
      </c>
      <c r="G105" s="286">
        <v>0.33078316891483794</v>
      </c>
      <c r="H105" s="160">
        <v>11349</v>
      </c>
      <c r="I105" s="159">
        <v>15414</v>
      </c>
      <c r="J105" s="159">
        <v>120</v>
      </c>
      <c r="K105" s="159">
        <v>0</v>
      </c>
      <c r="L105" s="159">
        <v>2310</v>
      </c>
      <c r="M105" s="171">
        <v>0.148963563083335</v>
      </c>
      <c r="N105" s="270">
        <v>13370</v>
      </c>
      <c r="O105" s="273">
        <v>13593</v>
      </c>
      <c r="P105" s="274">
        <v>1.66791323859387E-2</v>
      </c>
      <c r="Q105" s="273">
        <v>14276</v>
      </c>
      <c r="R105" s="278">
        <v>6.7763649962602798E-2</v>
      </c>
      <c r="S105" s="265">
        <v>88</v>
      </c>
      <c r="T105" s="265">
        <v>6.7</v>
      </c>
      <c r="U105" s="265">
        <v>2.7</v>
      </c>
      <c r="V105" s="265">
        <v>97.3</v>
      </c>
      <c r="W105" s="160">
        <v>0</v>
      </c>
      <c r="X105" s="159">
        <v>0</v>
      </c>
      <c r="Y105" s="159">
        <v>0</v>
      </c>
      <c r="Z105" s="159">
        <v>0</v>
      </c>
      <c r="AA105" s="159">
        <v>0</v>
      </c>
      <c r="AB105" s="159">
        <v>2090</v>
      </c>
      <c r="AC105" s="159">
        <v>11113</v>
      </c>
      <c r="AD105" s="159">
        <v>1395</v>
      </c>
      <c r="AE105" s="159">
        <v>396</v>
      </c>
      <c r="AF105" s="161">
        <v>0</v>
      </c>
      <c r="AG105" s="203">
        <v>0</v>
      </c>
      <c r="AH105" s="203">
        <v>0</v>
      </c>
      <c r="AI105" s="203">
        <v>0</v>
      </c>
      <c r="AJ105" s="203">
        <v>0</v>
      </c>
      <c r="AK105" s="203">
        <v>0</v>
      </c>
      <c r="AL105" s="203">
        <v>0</v>
      </c>
      <c r="AM105" s="203">
        <v>450</v>
      </c>
      <c r="AN105" s="203">
        <v>870</v>
      </c>
      <c r="AO105" s="203">
        <v>9919</v>
      </c>
      <c r="AP105" s="203">
        <v>1545</v>
      </c>
      <c r="AQ105" s="203">
        <v>1110</v>
      </c>
      <c r="AR105" s="203">
        <v>1100</v>
      </c>
      <c r="AS105" s="160">
        <v>0</v>
      </c>
      <c r="AT105" s="203">
        <v>0</v>
      </c>
      <c r="AU105" s="203">
        <v>0</v>
      </c>
      <c r="AV105" s="203">
        <v>0</v>
      </c>
      <c r="AW105" s="203">
        <v>0</v>
      </c>
      <c r="AX105" s="203">
        <v>0</v>
      </c>
      <c r="AY105" s="203">
        <v>870</v>
      </c>
      <c r="AZ105" s="203">
        <v>240</v>
      </c>
      <c r="BA105" s="203">
        <v>9369</v>
      </c>
      <c r="BB105" s="203">
        <v>2995</v>
      </c>
      <c r="BC105" s="203">
        <v>420</v>
      </c>
      <c r="BD105" s="203">
        <v>1100</v>
      </c>
      <c r="BE105" s="162">
        <v>27555762.820812006</v>
      </c>
      <c r="BF105" s="203">
        <v>6</v>
      </c>
      <c r="BG105" s="203">
        <v>1182</v>
      </c>
      <c r="BH105" s="217">
        <v>23312.828105593915</v>
      </c>
      <c r="BI105" s="217">
        <v>0</v>
      </c>
      <c r="BJ105" s="203">
        <v>0</v>
      </c>
      <c r="BK105" s="203">
        <v>0</v>
      </c>
      <c r="BL105" s="217" t="s">
        <v>687</v>
      </c>
      <c r="BM105" s="217">
        <v>8185810.8404142335</v>
      </c>
      <c r="BN105" s="203">
        <v>2</v>
      </c>
      <c r="BO105" s="203">
        <v>420</v>
      </c>
      <c r="BP105" s="307">
        <v>19490.02581051008</v>
      </c>
    </row>
    <row r="106" spans="1:68" x14ac:dyDescent="0.45">
      <c r="A106">
        <v>317</v>
      </c>
      <c r="B106" t="s">
        <v>100</v>
      </c>
      <c r="C106" s="238" t="s">
        <v>564</v>
      </c>
      <c r="D106" s="280">
        <v>194310596.70999998</v>
      </c>
      <c r="E106" s="203">
        <v>23439</v>
      </c>
      <c r="F106" s="282">
        <v>31127</v>
      </c>
      <c r="G106" s="286">
        <v>0.32800034131148942</v>
      </c>
      <c r="H106" s="160">
        <v>24069</v>
      </c>
      <c r="I106" s="159">
        <v>29417</v>
      </c>
      <c r="J106" s="159">
        <v>210</v>
      </c>
      <c r="K106" s="159">
        <v>20</v>
      </c>
      <c r="L106" s="159">
        <v>1220</v>
      </c>
      <c r="M106" s="171">
        <v>3.7838654508698902E-2</v>
      </c>
      <c r="N106" s="270">
        <v>29633</v>
      </c>
      <c r="O106" s="273">
        <v>29751</v>
      </c>
      <c r="P106" s="274">
        <v>3.9820470421489604E-3</v>
      </c>
      <c r="Q106" s="273">
        <v>31213</v>
      </c>
      <c r="R106" s="278">
        <v>5.3318934971147001E-2</v>
      </c>
      <c r="S106" s="265">
        <v>83.5</v>
      </c>
      <c r="T106" s="265">
        <v>9.1</v>
      </c>
      <c r="U106" s="265">
        <v>2.6</v>
      </c>
      <c r="V106" s="265">
        <v>95.2</v>
      </c>
      <c r="W106" s="160">
        <v>30</v>
      </c>
      <c r="X106" s="159">
        <v>116</v>
      </c>
      <c r="Y106" s="159">
        <v>0</v>
      </c>
      <c r="Z106" s="159">
        <v>0</v>
      </c>
      <c r="AA106" s="159">
        <v>420</v>
      </c>
      <c r="AB106" s="159">
        <v>11970</v>
      </c>
      <c r="AC106" s="159">
        <v>17151</v>
      </c>
      <c r="AD106" s="159">
        <v>1830</v>
      </c>
      <c r="AE106" s="159">
        <v>0</v>
      </c>
      <c r="AF106" s="161">
        <v>0</v>
      </c>
      <c r="AG106" s="203">
        <v>0</v>
      </c>
      <c r="AH106" s="203">
        <v>0</v>
      </c>
      <c r="AI106" s="203">
        <v>60</v>
      </c>
      <c r="AJ106" s="203">
        <v>0</v>
      </c>
      <c r="AK106" s="203">
        <v>0</v>
      </c>
      <c r="AL106" s="203">
        <v>506</v>
      </c>
      <c r="AM106" s="203">
        <v>2850</v>
      </c>
      <c r="AN106" s="203">
        <v>4099</v>
      </c>
      <c r="AO106" s="203">
        <v>19089</v>
      </c>
      <c r="AP106" s="203">
        <v>1260</v>
      </c>
      <c r="AQ106" s="203">
        <v>480</v>
      </c>
      <c r="AR106" s="203">
        <v>3173</v>
      </c>
      <c r="AS106" s="160">
        <v>0</v>
      </c>
      <c r="AT106" s="203">
        <v>0</v>
      </c>
      <c r="AU106" s="203">
        <v>60</v>
      </c>
      <c r="AV106" s="203">
        <v>0</v>
      </c>
      <c r="AW106" s="203">
        <v>0</v>
      </c>
      <c r="AX106" s="203">
        <v>506</v>
      </c>
      <c r="AY106" s="203">
        <v>7868</v>
      </c>
      <c r="AZ106" s="203">
        <v>10000</v>
      </c>
      <c r="BA106" s="203">
        <v>8230</v>
      </c>
      <c r="BB106" s="203">
        <v>1680</v>
      </c>
      <c r="BC106" s="203">
        <v>0</v>
      </c>
      <c r="BD106" s="203">
        <v>3173</v>
      </c>
      <c r="BE106" s="162">
        <v>14859872.359091196</v>
      </c>
      <c r="BF106" s="203">
        <v>5</v>
      </c>
      <c r="BG106" s="203">
        <v>720</v>
      </c>
      <c r="BH106" s="217">
        <v>20638.711609848884</v>
      </c>
      <c r="BI106" s="217">
        <v>632589.35326968133</v>
      </c>
      <c r="BJ106" s="203">
        <v>5</v>
      </c>
      <c r="BK106" s="203">
        <v>150</v>
      </c>
      <c r="BL106" s="217">
        <v>4217.262355131209</v>
      </c>
      <c r="BM106" s="217">
        <v>14081492.499525288</v>
      </c>
      <c r="BN106" s="203">
        <v>1</v>
      </c>
      <c r="BO106" s="203">
        <v>840</v>
      </c>
      <c r="BP106" s="307">
        <v>16763.681547053915</v>
      </c>
    </row>
    <row r="107" spans="1:68" x14ac:dyDescent="0.45">
      <c r="A107">
        <v>807</v>
      </c>
      <c r="B107" t="s">
        <v>101</v>
      </c>
      <c r="C107" s="238" t="s">
        <v>572</v>
      </c>
      <c r="D107" s="280">
        <v>4621265.5699999994</v>
      </c>
      <c r="E107" s="203">
        <v>10437</v>
      </c>
      <c r="F107" s="282">
        <v>11278</v>
      </c>
      <c r="G107" s="286">
        <v>8.0578710357382385E-2</v>
      </c>
      <c r="H107" s="160">
        <v>12286</v>
      </c>
      <c r="I107" s="159">
        <v>12710</v>
      </c>
      <c r="J107" s="159">
        <v>0</v>
      </c>
      <c r="K107" s="159">
        <v>10</v>
      </c>
      <c r="L107" s="159">
        <v>1440</v>
      </c>
      <c r="M107" s="171">
        <v>0.113223829532548</v>
      </c>
      <c r="N107" s="270">
        <v>11392</v>
      </c>
      <c r="O107" s="273">
        <v>11306</v>
      </c>
      <c r="P107" s="274">
        <v>-7.5491573033707902E-3</v>
      </c>
      <c r="Q107" s="273">
        <v>11225</v>
      </c>
      <c r="R107" s="278">
        <v>-1.46594101123595E-2</v>
      </c>
      <c r="S107" s="265">
        <v>98.4</v>
      </c>
      <c r="T107" s="265">
        <v>0.7</v>
      </c>
      <c r="U107" s="265">
        <v>0.1</v>
      </c>
      <c r="V107" s="265">
        <v>99.2</v>
      </c>
      <c r="W107" s="160">
        <v>38</v>
      </c>
      <c r="X107" s="159">
        <v>46</v>
      </c>
      <c r="Y107" s="159">
        <v>0</v>
      </c>
      <c r="Z107" s="159">
        <v>0</v>
      </c>
      <c r="AA107" s="159">
        <v>0</v>
      </c>
      <c r="AB107" s="159">
        <v>2868</v>
      </c>
      <c r="AC107" s="159">
        <v>9152</v>
      </c>
      <c r="AD107" s="159">
        <v>606</v>
      </c>
      <c r="AE107" s="159">
        <v>0</v>
      </c>
      <c r="AF107" s="161">
        <v>0</v>
      </c>
      <c r="AG107" s="203">
        <v>0</v>
      </c>
      <c r="AH107" s="203">
        <v>0</v>
      </c>
      <c r="AI107" s="203">
        <v>84</v>
      </c>
      <c r="AJ107" s="203">
        <v>0</v>
      </c>
      <c r="AK107" s="203">
        <v>0</v>
      </c>
      <c r="AL107" s="203">
        <v>0</v>
      </c>
      <c r="AM107" s="203">
        <v>1690</v>
      </c>
      <c r="AN107" s="203">
        <v>1302</v>
      </c>
      <c r="AO107" s="203">
        <v>7737</v>
      </c>
      <c r="AP107" s="203">
        <v>210</v>
      </c>
      <c r="AQ107" s="203">
        <v>924</v>
      </c>
      <c r="AR107" s="203">
        <v>763</v>
      </c>
      <c r="AS107" s="160">
        <v>38</v>
      </c>
      <c r="AT107" s="203">
        <v>0</v>
      </c>
      <c r="AU107" s="203">
        <v>30</v>
      </c>
      <c r="AV107" s="203">
        <v>0</v>
      </c>
      <c r="AW107" s="203">
        <v>16</v>
      </c>
      <c r="AX107" s="203">
        <v>0</v>
      </c>
      <c r="AY107" s="203">
        <v>3344</v>
      </c>
      <c r="AZ107" s="203">
        <v>2545</v>
      </c>
      <c r="BA107" s="203">
        <v>4156</v>
      </c>
      <c r="BB107" s="203">
        <v>984</v>
      </c>
      <c r="BC107" s="203">
        <v>834</v>
      </c>
      <c r="BD107" s="203">
        <v>763</v>
      </c>
      <c r="BE107" s="162">
        <v>2243901.0819317894</v>
      </c>
      <c r="BF107" s="203">
        <v>2</v>
      </c>
      <c r="BG107" s="203">
        <v>149</v>
      </c>
      <c r="BH107" s="217">
        <v>15059.738804911338</v>
      </c>
      <c r="BI107" s="217">
        <v>0</v>
      </c>
      <c r="BJ107" s="203">
        <v>0</v>
      </c>
      <c r="BK107" s="203">
        <v>0</v>
      </c>
      <c r="BL107" s="217" t="s">
        <v>687</v>
      </c>
      <c r="BM107" s="217">
        <v>0</v>
      </c>
      <c r="BN107" s="203">
        <v>0</v>
      </c>
      <c r="BO107" s="203">
        <v>0</v>
      </c>
      <c r="BP107" s="307" t="s">
        <v>687</v>
      </c>
    </row>
    <row r="108" spans="1:68" x14ac:dyDescent="0.45">
      <c r="A108">
        <v>318</v>
      </c>
      <c r="B108" t="s">
        <v>102</v>
      </c>
      <c r="C108" s="238" t="s">
        <v>564</v>
      </c>
      <c r="D108" s="280">
        <v>51590080.700000003</v>
      </c>
      <c r="E108" s="203">
        <v>13084</v>
      </c>
      <c r="F108" s="282">
        <v>16686</v>
      </c>
      <c r="G108" s="286">
        <v>0.27529807398349126</v>
      </c>
      <c r="H108" s="160">
        <v>13596</v>
      </c>
      <c r="I108" s="159">
        <v>19012</v>
      </c>
      <c r="J108" s="159">
        <v>0</v>
      </c>
      <c r="K108" s="159">
        <v>60</v>
      </c>
      <c r="L108" s="159">
        <v>2320</v>
      </c>
      <c r="M108" s="171">
        <v>0.122600956514257</v>
      </c>
      <c r="N108" s="270">
        <v>16845</v>
      </c>
      <c r="O108" s="273">
        <v>16837</v>
      </c>
      <c r="P108" s="274">
        <v>-4.74918373404571E-4</v>
      </c>
      <c r="Q108" s="273">
        <v>17430</v>
      </c>
      <c r="R108" s="278">
        <v>3.4728406055209299E-2</v>
      </c>
      <c r="S108" s="265">
        <v>84.7</v>
      </c>
      <c r="T108" s="265">
        <v>7.3</v>
      </c>
      <c r="U108" s="265">
        <v>3.5</v>
      </c>
      <c r="V108" s="265">
        <v>95.4</v>
      </c>
      <c r="W108" s="160">
        <v>56</v>
      </c>
      <c r="X108" s="159">
        <v>24</v>
      </c>
      <c r="Y108" s="159">
        <v>0</v>
      </c>
      <c r="Z108" s="159">
        <v>0</v>
      </c>
      <c r="AA108" s="159">
        <v>0</v>
      </c>
      <c r="AB108" s="159">
        <v>10196</v>
      </c>
      <c r="AC108" s="159">
        <v>7746</v>
      </c>
      <c r="AD108" s="159">
        <v>360</v>
      </c>
      <c r="AE108" s="159">
        <v>0</v>
      </c>
      <c r="AF108" s="161">
        <v>0</v>
      </c>
      <c r="AG108" s="203">
        <v>0</v>
      </c>
      <c r="AH108" s="203">
        <v>0</v>
      </c>
      <c r="AI108" s="203">
        <v>24</v>
      </c>
      <c r="AJ108" s="203">
        <v>0</v>
      </c>
      <c r="AK108" s="203">
        <v>0</v>
      </c>
      <c r="AL108" s="203">
        <v>56</v>
      </c>
      <c r="AM108" s="203">
        <v>5040</v>
      </c>
      <c r="AN108" s="203">
        <v>6410</v>
      </c>
      <c r="AO108" s="203">
        <v>3726</v>
      </c>
      <c r="AP108" s="203">
        <v>0</v>
      </c>
      <c r="AQ108" s="203">
        <v>0</v>
      </c>
      <c r="AR108" s="203">
        <v>3126</v>
      </c>
      <c r="AS108" s="160">
        <v>0</v>
      </c>
      <c r="AT108" s="203">
        <v>0</v>
      </c>
      <c r="AU108" s="203">
        <v>24</v>
      </c>
      <c r="AV108" s="203">
        <v>0</v>
      </c>
      <c r="AW108" s="203">
        <v>0</v>
      </c>
      <c r="AX108" s="203">
        <v>56</v>
      </c>
      <c r="AY108" s="203">
        <v>5600</v>
      </c>
      <c r="AZ108" s="203">
        <v>5160</v>
      </c>
      <c r="BA108" s="203">
        <v>4416</v>
      </c>
      <c r="BB108" s="203">
        <v>0</v>
      </c>
      <c r="BC108" s="203">
        <v>0</v>
      </c>
      <c r="BD108" s="203">
        <v>3126</v>
      </c>
      <c r="BE108" s="162">
        <v>8562427.7257723082</v>
      </c>
      <c r="BF108" s="203">
        <v>4</v>
      </c>
      <c r="BG108" s="203">
        <v>510</v>
      </c>
      <c r="BH108" s="217">
        <v>16789.073972102564</v>
      </c>
      <c r="BI108" s="217">
        <v>91694.576169559412</v>
      </c>
      <c r="BJ108" s="203">
        <v>3</v>
      </c>
      <c r="BK108" s="203">
        <v>90</v>
      </c>
      <c r="BL108" s="217">
        <v>1018.8286241062157</v>
      </c>
      <c r="BM108" s="217">
        <v>0</v>
      </c>
      <c r="BN108" s="203">
        <v>0</v>
      </c>
      <c r="BO108" s="203">
        <v>0</v>
      </c>
      <c r="BP108" s="307" t="s">
        <v>687</v>
      </c>
    </row>
    <row r="109" spans="1:68" x14ac:dyDescent="0.45">
      <c r="A109">
        <v>354</v>
      </c>
      <c r="B109" t="s">
        <v>103</v>
      </c>
      <c r="C109" s="238" t="s">
        <v>569</v>
      </c>
      <c r="D109" s="280">
        <v>62594960.490000002</v>
      </c>
      <c r="E109" s="203">
        <v>17867</v>
      </c>
      <c r="F109" s="282">
        <v>22073</v>
      </c>
      <c r="G109" s="286">
        <v>0.23540605585716684</v>
      </c>
      <c r="H109" s="160">
        <v>19159</v>
      </c>
      <c r="I109" s="159">
        <v>22263</v>
      </c>
      <c r="J109" s="159">
        <v>88</v>
      </c>
      <c r="K109" s="159">
        <v>560</v>
      </c>
      <c r="L109" s="159">
        <v>840</v>
      </c>
      <c r="M109" s="171">
        <v>3.75554471774764E-2</v>
      </c>
      <c r="N109" s="270">
        <v>21244</v>
      </c>
      <c r="O109" s="273">
        <v>21420</v>
      </c>
      <c r="P109" s="274">
        <v>8.2846921483712994E-3</v>
      </c>
      <c r="Q109" s="273">
        <v>21145</v>
      </c>
      <c r="R109" s="278">
        <v>-4.6601393334588601E-3</v>
      </c>
      <c r="S109" s="265">
        <v>92.6</v>
      </c>
      <c r="T109" s="265">
        <v>4.5</v>
      </c>
      <c r="U109" s="265">
        <v>0.9</v>
      </c>
      <c r="V109" s="265">
        <v>98</v>
      </c>
      <c r="W109" s="160">
        <v>0</v>
      </c>
      <c r="X109" s="159">
        <v>280</v>
      </c>
      <c r="Y109" s="159">
        <v>0</v>
      </c>
      <c r="Z109" s="159">
        <v>0</v>
      </c>
      <c r="AA109" s="159">
        <v>0</v>
      </c>
      <c r="AB109" s="159">
        <v>3673</v>
      </c>
      <c r="AC109" s="159">
        <v>16462</v>
      </c>
      <c r="AD109" s="159">
        <v>1470</v>
      </c>
      <c r="AE109" s="159">
        <v>210</v>
      </c>
      <c r="AF109" s="161">
        <v>0</v>
      </c>
      <c r="AG109" s="203">
        <v>60</v>
      </c>
      <c r="AH109" s="203">
        <v>0</v>
      </c>
      <c r="AI109" s="203">
        <v>220</v>
      </c>
      <c r="AJ109" s="203">
        <v>0</v>
      </c>
      <c r="AK109" s="203">
        <v>0</v>
      </c>
      <c r="AL109" s="203">
        <v>0</v>
      </c>
      <c r="AM109" s="203">
        <v>2038</v>
      </c>
      <c r="AN109" s="203">
        <v>945</v>
      </c>
      <c r="AO109" s="203">
        <v>14790</v>
      </c>
      <c r="AP109" s="203">
        <v>2978</v>
      </c>
      <c r="AQ109" s="203">
        <v>1064</v>
      </c>
      <c r="AR109" s="203">
        <v>0</v>
      </c>
      <c r="AS109" s="160">
        <v>100</v>
      </c>
      <c r="AT109" s="203">
        <v>75</v>
      </c>
      <c r="AU109" s="203">
        <v>90</v>
      </c>
      <c r="AV109" s="203">
        <v>15</v>
      </c>
      <c r="AW109" s="203">
        <v>0</v>
      </c>
      <c r="AX109" s="203">
        <v>0</v>
      </c>
      <c r="AY109" s="203">
        <v>3205</v>
      </c>
      <c r="AZ109" s="203">
        <v>2202</v>
      </c>
      <c r="BA109" s="203">
        <v>12095</v>
      </c>
      <c r="BB109" s="203">
        <v>2999</v>
      </c>
      <c r="BC109" s="203">
        <v>1314</v>
      </c>
      <c r="BD109" s="203">
        <v>0</v>
      </c>
      <c r="BE109" s="162">
        <v>5399973.4128488097</v>
      </c>
      <c r="BF109" s="203">
        <v>5</v>
      </c>
      <c r="BG109" s="203">
        <v>390</v>
      </c>
      <c r="BH109" s="217">
        <v>13846.085673971307</v>
      </c>
      <c r="BI109" s="217">
        <v>347466.69027129665</v>
      </c>
      <c r="BJ109" s="203">
        <v>4</v>
      </c>
      <c r="BK109" s="203">
        <v>120</v>
      </c>
      <c r="BL109" s="217">
        <v>2895.5557522608055</v>
      </c>
      <c r="BM109" s="217">
        <v>0</v>
      </c>
      <c r="BN109" s="203">
        <v>0</v>
      </c>
      <c r="BO109" s="203">
        <v>0</v>
      </c>
      <c r="BP109" s="307" t="s">
        <v>687</v>
      </c>
    </row>
    <row r="110" spans="1:68" x14ac:dyDescent="0.45">
      <c r="A110">
        <v>372</v>
      </c>
      <c r="B110" t="s">
        <v>104</v>
      </c>
      <c r="C110" s="238" t="s">
        <v>565</v>
      </c>
      <c r="D110" s="280">
        <v>31058098.27</v>
      </c>
      <c r="E110" s="203">
        <v>20528</v>
      </c>
      <c r="F110" s="282">
        <v>23206</v>
      </c>
      <c r="G110" s="286">
        <v>0.1304559625876851</v>
      </c>
      <c r="H110" s="160">
        <v>22904</v>
      </c>
      <c r="I110" s="159">
        <v>25604</v>
      </c>
      <c r="J110" s="159">
        <v>315</v>
      </c>
      <c r="K110" s="159">
        <v>10</v>
      </c>
      <c r="L110" s="159">
        <v>2940</v>
      </c>
      <c r="M110" s="171">
        <v>0.112382300850908</v>
      </c>
      <c r="N110" s="270">
        <v>23312</v>
      </c>
      <c r="O110" s="273">
        <v>23537</v>
      </c>
      <c r="P110" s="274">
        <v>9.6516815374056292E-3</v>
      </c>
      <c r="Q110" s="273">
        <v>23652</v>
      </c>
      <c r="R110" s="278">
        <v>1.4584763212079599E-2</v>
      </c>
      <c r="S110" s="265">
        <v>97.1</v>
      </c>
      <c r="T110" s="265">
        <v>1.8</v>
      </c>
      <c r="U110" s="265">
        <v>0.2</v>
      </c>
      <c r="V110" s="265">
        <v>99.1</v>
      </c>
      <c r="W110" s="160">
        <v>0</v>
      </c>
      <c r="X110" s="159">
        <v>105</v>
      </c>
      <c r="Y110" s="159">
        <v>0</v>
      </c>
      <c r="Z110" s="159">
        <v>0</v>
      </c>
      <c r="AA110" s="159">
        <v>0</v>
      </c>
      <c r="AB110" s="159">
        <v>3832</v>
      </c>
      <c r="AC110" s="159">
        <v>15443</v>
      </c>
      <c r="AD110" s="159">
        <v>3915</v>
      </c>
      <c r="AE110" s="159">
        <v>916</v>
      </c>
      <c r="AF110" s="161">
        <v>0</v>
      </c>
      <c r="AG110" s="203">
        <v>0</v>
      </c>
      <c r="AH110" s="203">
        <v>0</v>
      </c>
      <c r="AI110" s="203">
        <v>105</v>
      </c>
      <c r="AJ110" s="203">
        <v>0</v>
      </c>
      <c r="AK110" s="203">
        <v>0</v>
      </c>
      <c r="AL110" s="203">
        <v>0</v>
      </c>
      <c r="AM110" s="203">
        <v>735</v>
      </c>
      <c r="AN110" s="203">
        <v>629</v>
      </c>
      <c r="AO110" s="203">
        <v>13769</v>
      </c>
      <c r="AP110" s="203">
        <v>1873</v>
      </c>
      <c r="AQ110" s="203">
        <v>4748</v>
      </c>
      <c r="AR110" s="203">
        <v>2352</v>
      </c>
      <c r="AS110" s="160">
        <v>0</v>
      </c>
      <c r="AT110" s="203">
        <v>0</v>
      </c>
      <c r="AU110" s="203">
        <v>105</v>
      </c>
      <c r="AV110" s="203">
        <v>0</v>
      </c>
      <c r="AW110" s="203">
        <v>0</v>
      </c>
      <c r="AX110" s="203">
        <v>0</v>
      </c>
      <c r="AY110" s="203">
        <v>2279</v>
      </c>
      <c r="AZ110" s="203">
        <v>1730</v>
      </c>
      <c r="BA110" s="203">
        <v>12883</v>
      </c>
      <c r="BB110" s="203">
        <v>3250</v>
      </c>
      <c r="BC110" s="203">
        <v>1612</v>
      </c>
      <c r="BD110" s="203">
        <v>2352</v>
      </c>
      <c r="BE110" s="162">
        <v>1649342.6826371939</v>
      </c>
      <c r="BF110" s="203">
        <v>4</v>
      </c>
      <c r="BG110" s="203">
        <v>132</v>
      </c>
      <c r="BH110" s="217">
        <v>12495.020323009045</v>
      </c>
      <c r="BI110" s="217">
        <v>0</v>
      </c>
      <c r="BJ110" s="203">
        <v>0</v>
      </c>
      <c r="BK110" s="203">
        <v>0</v>
      </c>
      <c r="BL110" s="217" t="s">
        <v>687</v>
      </c>
      <c r="BM110" s="217">
        <v>8789681.3611099422</v>
      </c>
      <c r="BN110" s="203">
        <v>1</v>
      </c>
      <c r="BO110" s="203">
        <v>315</v>
      </c>
      <c r="BP110" s="307">
        <v>27903.750352729974</v>
      </c>
    </row>
    <row r="111" spans="1:68" x14ac:dyDescent="0.45">
      <c r="A111">
        <v>857</v>
      </c>
      <c r="B111" t="s">
        <v>105</v>
      </c>
      <c r="C111" s="238" t="s">
        <v>573</v>
      </c>
      <c r="D111" s="280">
        <v>5972824.2599999998</v>
      </c>
      <c r="E111" s="203">
        <v>2485</v>
      </c>
      <c r="F111" s="282">
        <v>2942</v>
      </c>
      <c r="G111" s="286">
        <v>0.18390342052313882</v>
      </c>
      <c r="H111" s="160">
        <v>3227</v>
      </c>
      <c r="I111" s="159">
        <v>3436</v>
      </c>
      <c r="J111" s="159">
        <v>0</v>
      </c>
      <c r="K111" s="159">
        <v>0</v>
      </c>
      <c r="L111" s="159">
        <v>490</v>
      </c>
      <c r="M111" s="171">
        <v>0.14377182720824899</v>
      </c>
      <c r="N111" s="270">
        <v>2787</v>
      </c>
      <c r="O111" s="273">
        <v>2883</v>
      </c>
      <c r="P111" s="274">
        <v>3.4445640473627602E-2</v>
      </c>
      <c r="Q111" s="273">
        <v>2991</v>
      </c>
      <c r="R111" s="278">
        <v>7.3196986006458603E-2</v>
      </c>
      <c r="S111" s="265">
        <v>95</v>
      </c>
      <c r="T111" s="265">
        <v>4.4000000000000004</v>
      </c>
      <c r="U111" s="265">
        <v>0</v>
      </c>
      <c r="V111" s="265">
        <v>99.4</v>
      </c>
      <c r="W111" s="160">
        <v>0</v>
      </c>
      <c r="X111" s="159">
        <v>0</v>
      </c>
      <c r="Y111" s="159">
        <v>0</v>
      </c>
      <c r="Z111" s="159">
        <v>0</v>
      </c>
      <c r="AA111" s="159">
        <v>0</v>
      </c>
      <c r="AB111" s="159">
        <v>511</v>
      </c>
      <c r="AC111" s="159">
        <v>2565</v>
      </c>
      <c r="AD111" s="159">
        <v>360</v>
      </c>
      <c r="AE111" s="159">
        <v>0</v>
      </c>
      <c r="AF111" s="161">
        <v>0</v>
      </c>
      <c r="AG111" s="203">
        <v>0</v>
      </c>
      <c r="AH111" s="203">
        <v>0</v>
      </c>
      <c r="AI111" s="203">
        <v>0</v>
      </c>
      <c r="AJ111" s="203">
        <v>0</v>
      </c>
      <c r="AK111" s="203">
        <v>0</v>
      </c>
      <c r="AL111" s="203">
        <v>0</v>
      </c>
      <c r="AM111" s="203">
        <v>0</v>
      </c>
      <c r="AN111" s="203">
        <v>315</v>
      </c>
      <c r="AO111" s="203">
        <v>2546</v>
      </c>
      <c r="AP111" s="203">
        <v>0</v>
      </c>
      <c r="AQ111" s="203">
        <v>0</v>
      </c>
      <c r="AR111" s="203">
        <v>575</v>
      </c>
      <c r="AS111" s="160">
        <v>0</v>
      </c>
      <c r="AT111" s="203">
        <v>0</v>
      </c>
      <c r="AU111" s="203">
        <v>0</v>
      </c>
      <c r="AV111" s="203">
        <v>0</v>
      </c>
      <c r="AW111" s="203">
        <v>0</v>
      </c>
      <c r="AX111" s="203">
        <v>0</v>
      </c>
      <c r="AY111" s="203">
        <v>0</v>
      </c>
      <c r="AZ111" s="203">
        <v>0</v>
      </c>
      <c r="BA111" s="203">
        <v>2341</v>
      </c>
      <c r="BB111" s="203">
        <v>450</v>
      </c>
      <c r="BC111" s="203">
        <v>70</v>
      </c>
      <c r="BD111" s="203">
        <v>575</v>
      </c>
      <c r="BE111" s="162">
        <v>732012.6819117961</v>
      </c>
      <c r="BF111" s="203">
        <v>2</v>
      </c>
      <c r="BG111" s="203">
        <v>90</v>
      </c>
      <c r="BH111" s="217">
        <v>8133.4742434644013</v>
      </c>
      <c r="BI111" s="217">
        <v>0</v>
      </c>
      <c r="BJ111" s="203">
        <v>0</v>
      </c>
      <c r="BK111" s="203">
        <v>0</v>
      </c>
      <c r="BL111" s="217" t="s">
        <v>687</v>
      </c>
      <c r="BM111" s="217">
        <v>0</v>
      </c>
      <c r="BN111" s="203">
        <v>0</v>
      </c>
      <c r="BO111" s="203">
        <v>0</v>
      </c>
      <c r="BP111" s="307" t="s">
        <v>687</v>
      </c>
    </row>
    <row r="112" spans="1:68" x14ac:dyDescent="0.45">
      <c r="A112">
        <v>355</v>
      </c>
      <c r="B112" t="s">
        <v>106</v>
      </c>
      <c r="C112" s="238" t="s">
        <v>569</v>
      </c>
      <c r="D112" s="280">
        <v>58319403.429999992</v>
      </c>
      <c r="E112" s="203">
        <v>16730</v>
      </c>
      <c r="F112" s="282">
        <v>21782</v>
      </c>
      <c r="G112" s="286">
        <v>0.30197250448296475</v>
      </c>
      <c r="H112" s="160">
        <v>19017</v>
      </c>
      <c r="I112" s="159">
        <v>23397</v>
      </c>
      <c r="J112" s="159">
        <v>0</v>
      </c>
      <c r="K112" s="159">
        <v>240</v>
      </c>
      <c r="L112" s="159">
        <v>1850</v>
      </c>
      <c r="M112" s="171">
        <v>7.9214331875930397E-2</v>
      </c>
      <c r="N112" s="270">
        <v>21608</v>
      </c>
      <c r="O112" s="273">
        <v>21950</v>
      </c>
      <c r="P112" s="274">
        <v>1.5827471306923399E-2</v>
      </c>
      <c r="Q112" s="273">
        <v>21951</v>
      </c>
      <c r="R112" s="278">
        <v>1.5873750462791599E-2</v>
      </c>
      <c r="S112" s="265">
        <v>92.3</v>
      </c>
      <c r="T112" s="265">
        <v>4.0999999999999996</v>
      </c>
      <c r="U112" s="265">
        <v>1.1000000000000001</v>
      </c>
      <c r="V112" s="265">
        <v>97.5</v>
      </c>
      <c r="W112" s="160">
        <v>0</v>
      </c>
      <c r="X112" s="159">
        <v>195</v>
      </c>
      <c r="Y112" s="159">
        <v>0</v>
      </c>
      <c r="Z112" s="159">
        <v>0</v>
      </c>
      <c r="AA112" s="159">
        <v>0</v>
      </c>
      <c r="AB112" s="159">
        <v>4635</v>
      </c>
      <c r="AC112" s="159">
        <v>15613</v>
      </c>
      <c r="AD112" s="159">
        <v>2084</v>
      </c>
      <c r="AE112" s="159">
        <v>660</v>
      </c>
      <c r="AF112" s="161">
        <v>0</v>
      </c>
      <c r="AG112" s="203">
        <v>0</v>
      </c>
      <c r="AH112" s="203">
        <v>195</v>
      </c>
      <c r="AI112" s="203">
        <v>0</v>
      </c>
      <c r="AJ112" s="203">
        <v>0</v>
      </c>
      <c r="AK112" s="203">
        <v>0</v>
      </c>
      <c r="AL112" s="203">
        <v>0</v>
      </c>
      <c r="AM112" s="203">
        <v>2475</v>
      </c>
      <c r="AN112" s="203">
        <v>3960</v>
      </c>
      <c r="AO112" s="203">
        <v>13227</v>
      </c>
      <c r="AP112" s="203">
        <v>675</v>
      </c>
      <c r="AQ112" s="203">
        <v>1935</v>
      </c>
      <c r="AR112" s="203">
        <v>720</v>
      </c>
      <c r="AS112" s="160">
        <v>0</v>
      </c>
      <c r="AT112" s="203">
        <v>195</v>
      </c>
      <c r="AU112" s="203">
        <v>0</v>
      </c>
      <c r="AV112" s="203">
        <v>0</v>
      </c>
      <c r="AW112" s="203">
        <v>0</v>
      </c>
      <c r="AX112" s="203">
        <v>0</v>
      </c>
      <c r="AY112" s="203">
        <v>2625</v>
      </c>
      <c r="AZ112" s="203">
        <v>4230</v>
      </c>
      <c r="BA112" s="203">
        <v>12743</v>
      </c>
      <c r="BB112" s="203">
        <v>2074</v>
      </c>
      <c r="BC112" s="203">
        <v>600</v>
      </c>
      <c r="BD112" s="203">
        <v>720</v>
      </c>
      <c r="BE112" s="162">
        <v>21195322.331540413</v>
      </c>
      <c r="BF112" s="203">
        <v>10</v>
      </c>
      <c r="BG112" s="203">
        <v>1890</v>
      </c>
      <c r="BH112" s="217">
        <v>11214.456260074292</v>
      </c>
      <c r="BI112" s="217">
        <v>1515837.7970825029</v>
      </c>
      <c r="BJ112" s="203">
        <v>7</v>
      </c>
      <c r="BK112" s="203">
        <v>225</v>
      </c>
      <c r="BL112" s="217">
        <v>6737.0568759222351</v>
      </c>
      <c r="BM112" s="217">
        <v>0</v>
      </c>
      <c r="BN112" s="203">
        <v>0</v>
      </c>
      <c r="BO112" s="203">
        <v>0</v>
      </c>
      <c r="BP112" s="307" t="s">
        <v>687</v>
      </c>
    </row>
    <row r="113" spans="1:68" x14ac:dyDescent="0.45">
      <c r="A113">
        <v>333</v>
      </c>
      <c r="B113" t="s">
        <v>107</v>
      </c>
      <c r="C113" s="238" t="s">
        <v>568</v>
      </c>
      <c r="D113" s="280">
        <v>111350997.27</v>
      </c>
      <c r="E113" s="203">
        <v>26288</v>
      </c>
      <c r="F113" s="282">
        <v>34143</v>
      </c>
      <c r="G113" s="286">
        <v>0.29880553864881315</v>
      </c>
      <c r="H113" s="160">
        <v>29252</v>
      </c>
      <c r="I113" s="159">
        <v>34673</v>
      </c>
      <c r="J113" s="159">
        <v>240</v>
      </c>
      <c r="K113" s="159">
        <v>480</v>
      </c>
      <c r="L113" s="159">
        <v>1250</v>
      </c>
      <c r="M113" s="171">
        <v>3.57247500542218E-2</v>
      </c>
      <c r="N113" s="270">
        <v>33883</v>
      </c>
      <c r="O113" s="273">
        <v>33981</v>
      </c>
      <c r="P113" s="274">
        <v>2.8923058761030599E-3</v>
      </c>
      <c r="Q113" s="273">
        <v>33725</v>
      </c>
      <c r="R113" s="278">
        <v>-4.6631053920845296E-3</v>
      </c>
      <c r="S113" s="265">
        <v>91.2</v>
      </c>
      <c r="T113" s="265">
        <v>4</v>
      </c>
      <c r="U113" s="265">
        <v>1.3</v>
      </c>
      <c r="V113" s="265">
        <v>96.6</v>
      </c>
      <c r="W113" s="160">
        <v>0</v>
      </c>
      <c r="X113" s="159">
        <v>0</v>
      </c>
      <c r="Y113" s="159">
        <v>0</v>
      </c>
      <c r="Z113" s="159">
        <v>0</v>
      </c>
      <c r="AA113" s="159">
        <v>0</v>
      </c>
      <c r="AB113" s="159">
        <v>6668</v>
      </c>
      <c r="AC113" s="159">
        <v>20363</v>
      </c>
      <c r="AD113" s="159">
        <v>6040</v>
      </c>
      <c r="AE113" s="159">
        <v>762</v>
      </c>
      <c r="AF113" s="161">
        <v>0</v>
      </c>
      <c r="AG113" s="203">
        <v>0</v>
      </c>
      <c r="AH113" s="203">
        <v>0</v>
      </c>
      <c r="AI113" s="203">
        <v>0</v>
      </c>
      <c r="AJ113" s="203">
        <v>0</v>
      </c>
      <c r="AK113" s="203">
        <v>0</v>
      </c>
      <c r="AL113" s="203">
        <v>0</v>
      </c>
      <c r="AM113" s="203">
        <v>1759</v>
      </c>
      <c r="AN113" s="203">
        <v>5288</v>
      </c>
      <c r="AO113" s="203">
        <v>19267</v>
      </c>
      <c r="AP113" s="203">
        <v>2657</v>
      </c>
      <c r="AQ113" s="203">
        <v>2916</v>
      </c>
      <c r="AR113" s="203">
        <v>1946</v>
      </c>
      <c r="AS113" s="160">
        <v>0</v>
      </c>
      <c r="AT113" s="203">
        <v>0</v>
      </c>
      <c r="AU113" s="203">
        <v>0</v>
      </c>
      <c r="AV113" s="203">
        <v>0</v>
      </c>
      <c r="AW113" s="203">
        <v>0</v>
      </c>
      <c r="AX113" s="203">
        <v>0</v>
      </c>
      <c r="AY113" s="203">
        <v>4315</v>
      </c>
      <c r="AZ113" s="203">
        <v>6504</v>
      </c>
      <c r="BA113" s="203">
        <v>15716</v>
      </c>
      <c r="BB113" s="203">
        <v>3470</v>
      </c>
      <c r="BC113" s="203">
        <v>1882</v>
      </c>
      <c r="BD113" s="203">
        <v>1946</v>
      </c>
      <c r="BE113" s="162">
        <v>17986021.568779826</v>
      </c>
      <c r="BF113" s="203">
        <v>6</v>
      </c>
      <c r="BG113" s="203">
        <v>1174</v>
      </c>
      <c r="BH113" s="217">
        <v>15320.290944446189</v>
      </c>
      <c r="BI113" s="217">
        <v>2040232.7376713429</v>
      </c>
      <c r="BJ113" s="203">
        <v>11</v>
      </c>
      <c r="BK113" s="203">
        <v>300</v>
      </c>
      <c r="BL113" s="217">
        <v>6800.7757922378096</v>
      </c>
      <c r="BM113" s="217">
        <v>0</v>
      </c>
      <c r="BN113" s="203">
        <v>0</v>
      </c>
      <c r="BO113" s="203">
        <v>0</v>
      </c>
      <c r="BP113" s="307" t="s">
        <v>687</v>
      </c>
    </row>
    <row r="114" spans="1:68" x14ac:dyDescent="0.45">
      <c r="A114">
        <v>343</v>
      </c>
      <c r="B114" t="s">
        <v>108</v>
      </c>
      <c r="C114" s="238" t="s">
        <v>569</v>
      </c>
      <c r="D114" s="280">
        <v>11696194.91</v>
      </c>
      <c r="E114" s="203">
        <v>19725</v>
      </c>
      <c r="F114" s="282">
        <v>21126</v>
      </c>
      <c r="G114" s="286">
        <v>7.1026615969581749E-2</v>
      </c>
      <c r="H114" s="160">
        <v>22323</v>
      </c>
      <c r="I114" s="159">
        <v>22311</v>
      </c>
      <c r="J114" s="159">
        <v>0</v>
      </c>
      <c r="K114" s="159">
        <v>60</v>
      </c>
      <c r="L114" s="159">
        <v>1240</v>
      </c>
      <c r="M114" s="171">
        <v>5.56857317841103E-2</v>
      </c>
      <c r="N114" s="270">
        <v>21091</v>
      </c>
      <c r="O114" s="273">
        <v>20959</v>
      </c>
      <c r="P114" s="274">
        <v>-6.2585937129581298E-3</v>
      </c>
      <c r="Q114" s="273">
        <v>20832</v>
      </c>
      <c r="R114" s="278">
        <v>-1.22801194822436E-2</v>
      </c>
      <c r="S114" s="265">
        <v>93.7</v>
      </c>
      <c r="T114" s="265">
        <v>4.4000000000000004</v>
      </c>
      <c r="U114" s="265">
        <v>0.8</v>
      </c>
      <c r="V114" s="265">
        <v>98.9</v>
      </c>
      <c r="W114" s="160">
        <v>0</v>
      </c>
      <c r="X114" s="159">
        <v>0</v>
      </c>
      <c r="Y114" s="159">
        <v>0</v>
      </c>
      <c r="Z114" s="159">
        <v>0</v>
      </c>
      <c r="AA114" s="159">
        <v>0</v>
      </c>
      <c r="AB114" s="159">
        <v>2737</v>
      </c>
      <c r="AC114" s="159">
        <v>18734</v>
      </c>
      <c r="AD114" s="159">
        <v>420</v>
      </c>
      <c r="AE114" s="159">
        <v>210</v>
      </c>
      <c r="AF114" s="161">
        <v>0</v>
      </c>
      <c r="AG114" s="203">
        <v>0</v>
      </c>
      <c r="AH114" s="203">
        <v>0</v>
      </c>
      <c r="AI114" s="203">
        <v>0</v>
      </c>
      <c r="AJ114" s="203">
        <v>0</v>
      </c>
      <c r="AK114" s="203">
        <v>0</v>
      </c>
      <c r="AL114" s="203">
        <v>0</v>
      </c>
      <c r="AM114" s="203">
        <v>1378</v>
      </c>
      <c r="AN114" s="203">
        <v>2351</v>
      </c>
      <c r="AO114" s="203">
        <v>12093</v>
      </c>
      <c r="AP114" s="203">
        <v>1345</v>
      </c>
      <c r="AQ114" s="203">
        <v>2969</v>
      </c>
      <c r="AR114" s="203">
        <v>1965</v>
      </c>
      <c r="AS114" s="160">
        <v>0</v>
      </c>
      <c r="AT114" s="203">
        <v>0</v>
      </c>
      <c r="AU114" s="203">
        <v>0</v>
      </c>
      <c r="AV114" s="203">
        <v>0</v>
      </c>
      <c r="AW114" s="203">
        <v>0</v>
      </c>
      <c r="AX114" s="203">
        <v>0</v>
      </c>
      <c r="AY114" s="203">
        <v>1825</v>
      </c>
      <c r="AZ114" s="203">
        <v>3466</v>
      </c>
      <c r="BA114" s="203">
        <v>11111</v>
      </c>
      <c r="BB114" s="203">
        <v>3104</v>
      </c>
      <c r="BC114" s="203">
        <v>630</v>
      </c>
      <c r="BD114" s="203">
        <v>1965</v>
      </c>
      <c r="BE114" s="162">
        <v>2764317.0587059185</v>
      </c>
      <c r="BF114" s="203">
        <v>2</v>
      </c>
      <c r="BG114" s="203">
        <v>240</v>
      </c>
      <c r="BH114" s="217">
        <v>11517.987744607994</v>
      </c>
      <c r="BI114" s="217">
        <v>0</v>
      </c>
      <c r="BJ114" s="203">
        <v>0</v>
      </c>
      <c r="BK114" s="203">
        <v>0</v>
      </c>
      <c r="BL114" s="217" t="s">
        <v>687</v>
      </c>
      <c r="BM114" s="217">
        <v>0</v>
      </c>
      <c r="BN114" s="203">
        <v>0</v>
      </c>
      <c r="BO114" s="203">
        <v>0</v>
      </c>
      <c r="BP114" s="307" t="s">
        <v>687</v>
      </c>
    </row>
    <row r="115" spans="1:68" x14ac:dyDescent="0.45">
      <c r="A115">
        <v>373</v>
      </c>
      <c r="B115" t="s">
        <v>109</v>
      </c>
      <c r="C115" s="238" t="s">
        <v>565</v>
      </c>
      <c r="D115" s="280">
        <v>122132505.71000001</v>
      </c>
      <c r="E115" s="203">
        <v>38284</v>
      </c>
      <c r="F115" s="282">
        <v>45466</v>
      </c>
      <c r="G115" s="286">
        <v>0.18759795214711106</v>
      </c>
      <c r="H115" s="160">
        <v>42754</v>
      </c>
      <c r="I115" s="159">
        <v>46967</v>
      </c>
      <c r="J115" s="159">
        <v>0</v>
      </c>
      <c r="K115" s="159">
        <v>570</v>
      </c>
      <c r="L115" s="159">
        <v>3330</v>
      </c>
      <c r="M115" s="171">
        <v>6.9111880899547395E-2</v>
      </c>
      <c r="N115" s="270">
        <v>44501</v>
      </c>
      <c r="O115" s="273">
        <v>45036</v>
      </c>
      <c r="P115" s="274">
        <v>1.2022201748275301E-2</v>
      </c>
      <c r="Q115" s="273">
        <v>45979</v>
      </c>
      <c r="R115" s="278">
        <v>3.3212736792431599E-2</v>
      </c>
      <c r="S115" s="265">
        <v>92</v>
      </c>
      <c r="T115" s="265">
        <v>5.3</v>
      </c>
      <c r="U115" s="265">
        <v>1.2</v>
      </c>
      <c r="V115" s="265">
        <v>98.4</v>
      </c>
      <c r="W115" s="160">
        <v>212</v>
      </c>
      <c r="X115" s="159">
        <v>63</v>
      </c>
      <c r="Y115" s="159">
        <v>0</v>
      </c>
      <c r="Z115" s="159">
        <v>0</v>
      </c>
      <c r="AA115" s="159">
        <v>420</v>
      </c>
      <c r="AB115" s="159">
        <v>6472</v>
      </c>
      <c r="AC115" s="159">
        <v>33663</v>
      </c>
      <c r="AD115" s="159">
        <v>6647</v>
      </c>
      <c r="AE115" s="159">
        <v>0</v>
      </c>
      <c r="AF115" s="161">
        <v>0</v>
      </c>
      <c r="AG115" s="203">
        <v>150</v>
      </c>
      <c r="AH115" s="203">
        <v>0</v>
      </c>
      <c r="AI115" s="203">
        <v>125</v>
      </c>
      <c r="AJ115" s="203">
        <v>0</v>
      </c>
      <c r="AK115" s="203">
        <v>0</v>
      </c>
      <c r="AL115" s="203">
        <v>420</v>
      </c>
      <c r="AM115" s="203">
        <v>2615</v>
      </c>
      <c r="AN115" s="203">
        <v>4658</v>
      </c>
      <c r="AO115" s="203">
        <v>20863</v>
      </c>
      <c r="AP115" s="203">
        <v>9177</v>
      </c>
      <c r="AQ115" s="203">
        <v>4699</v>
      </c>
      <c r="AR115" s="203">
        <v>4770</v>
      </c>
      <c r="AS115" s="160">
        <v>0</v>
      </c>
      <c r="AT115" s="203">
        <v>21</v>
      </c>
      <c r="AU115" s="203">
        <v>192</v>
      </c>
      <c r="AV115" s="203">
        <v>62</v>
      </c>
      <c r="AW115" s="203">
        <v>0</v>
      </c>
      <c r="AX115" s="203">
        <v>420</v>
      </c>
      <c r="AY115" s="203">
        <v>2248</v>
      </c>
      <c r="AZ115" s="203">
        <v>8010</v>
      </c>
      <c r="BA115" s="203">
        <v>21224</v>
      </c>
      <c r="BB115" s="203">
        <v>8967</v>
      </c>
      <c r="BC115" s="203">
        <v>1563</v>
      </c>
      <c r="BD115" s="203">
        <v>4770</v>
      </c>
      <c r="BE115" s="162">
        <v>10062121.422200182</v>
      </c>
      <c r="BF115" s="203">
        <v>4</v>
      </c>
      <c r="BG115" s="203">
        <v>577</v>
      </c>
      <c r="BH115" s="217">
        <v>17438.685307106036</v>
      </c>
      <c r="BI115" s="217">
        <v>1167037.773643381</v>
      </c>
      <c r="BJ115" s="203">
        <v>5</v>
      </c>
      <c r="BK115" s="203">
        <v>180</v>
      </c>
      <c r="BL115" s="217">
        <v>6483.543186907672</v>
      </c>
      <c r="BM115" s="217">
        <v>0</v>
      </c>
      <c r="BN115" s="203">
        <v>0</v>
      </c>
      <c r="BO115" s="203">
        <v>0</v>
      </c>
      <c r="BP115" s="307" t="s">
        <v>687</v>
      </c>
    </row>
    <row r="116" spans="1:68" x14ac:dyDescent="0.45">
      <c r="A116">
        <v>893</v>
      </c>
      <c r="B116" t="s">
        <v>110</v>
      </c>
      <c r="C116" s="238" t="s">
        <v>568</v>
      </c>
      <c r="D116" s="280">
        <v>19171734.800000001</v>
      </c>
      <c r="E116" s="203">
        <v>19674</v>
      </c>
      <c r="F116" s="282">
        <v>21769</v>
      </c>
      <c r="G116" s="286">
        <v>0.10648571719020027</v>
      </c>
      <c r="H116" s="160">
        <v>25145</v>
      </c>
      <c r="I116" s="159">
        <v>23105</v>
      </c>
      <c r="J116" s="159">
        <v>873</v>
      </c>
      <c r="K116" s="159">
        <v>40</v>
      </c>
      <c r="L116" s="159">
        <v>2460</v>
      </c>
      <c r="M116" s="171">
        <v>0.101679698423066</v>
      </c>
      <c r="N116" s="270">
        <v>21024</v>
      </c>
      <c r="O116" s="273">
        <v>21006</v>
      </c>
      <c r="P116" s="274">
        <v>-8.56164383561644E-4</v>
      </c>
      <c r="Q116" s="273">
        <v>21255</v>
      </c>
      <c r="R116" s="278">
        <v>1.0987442922374401E-2</v>
      </c>
      <c r="S116" s="265">
        <v>94.2</v>
      </c>
      <c r="T116" s="265">
        <v>3.2</v>
      </c>
      <c r="U116" s="265">
        <v>0.7</v>
      </c>
      <c r="V116" s="265">
        <v>98.1</v>
      </c>
      <c r="W116" s="160">
        <v>0</v>
      </c>
      <c r="X116" s="159">
        <v>98</v>
      </c>
      <c r="Y116" s="159">
        <v>0</v>
      </c>
      <c r="Z116" s="159">
        <v>0</v>
      </c>
      <c r="AA116" s="159">
        <v>0</v>
      </c>
      <c r="AB116" s="159">
        <v>2649</v>
      </c>
      <c r="AC116" s="159">
        <v>17963</v>
      </c>
      <c r="AD116" s="159">
        <v>1800</v>
      </c>
      <c r="AE116" s="159">
        <v>210</v>
      </c>
      <c r="AF116" s="161">
        <v>0</v>
      </c>
      <c r="AG116" s="203">
        <v>0</v>
      </c>
      <c r="AH116" s="203">
        <v>56</v>
      </c>
      <c r="AI116" s="203">
        <v>0</v>
      </c>
      <c r="AJ116" s="203">
        <v>0</v>
      </c>
      <c r="AK116" s="203">
        <v>42</v>
      </c>
      <c r="AL116" s="203">
        <v>0</v>
      </c>
      <c r="AM116" s="203">
        <v>1169</v>
      </c>
      <c r="AN116" s="203">
        <v>2359</v>
      </c>
      <c r="AO116" s="203">
        <v>12684</v>
      </c>
      <c r="AP116" s="203">
        <v>1179</v>
      </c>
      <c r="AQ116" s="203">
        <v>3146</v>
      </c>
      <c r="AR116" s="203">
        <v>2085</v>
      </c>
      <c r="AS116" s="160">
        <v>0</v>
      </c>
      <c r="AT116" s="203">
        <v>0</v>
      </c>
      <c r="AU116" s="203">
        <v>56</v>
      </c>
      <c r="AV116" s="203">
        <v>0</v>
      </c>
      <c r="AW116" s="203">
        <v>42</v>
      </c>
      <c r="AX116" s="203">
        <v>0</v>
      </c>
      <c r="AY116" s="203">
        <v>581</v>
      </c>
      <c r="AZ116" s="203">
        <v>2029</v>
      </c>
      <c r="BA116" s="203">
        <v>13276</v>
      </c>
      <c r="BB116" s="203">
        <v>1455</v>
      </c>
      <c r="BC116" s="203">
        <v>3196</v>
      </c>
      <c r="BD116" s="203">
        <v>2085</v>
      </c>
      <c r="BE116" s="162">
        <v>1193064.6672914757</v>
      </c>
      <c r="BF116" s="203">
        <v>2</v>
      </c>
      <c r="BG116" s="203">
        <v>60</v>
      </c>
      <c r="BH116" s="217">
        <v>19884.411121524594</v>
      </c>
      <c r="BI116" s="217">
        <v>0</v>
      </c>
      <c r="BJ116" s="203">
        <v>0</v>
      </c>
      <c r="BK116" s="203">
        <v>0</v>
      </c>
      <c r="BL116" s="217" t="s">
        <v>687</v>
      </c>
      <c r="BM116" s="217">
        <v>0</v>
      </c>
      <c r="BN116" s="203">
        <v>0</v>
      </c>
      <c r="BO116" s="203">
        <v>0</v>
      </c>
      <c r="BP116" s="307" t="s">
        <v>687</v>
      </c>
    </row>
    <row r="117" spans="1:68" x14ac:dyDescent="0.45">
      <c r="A117">
        <v>871</v>
      </c>
      <c r="B117" t="s">
        <v>111</v>
      </c>
      <c r="C117" s="238" t="s">
        <v>570</v>
      </c>
      <c r="D117" s="280">
        <v>82225167.239999995</v>
      </c>
      <c r="E117" s="203">
        <v>11528</v>
      </c>
      <c r="F117" s="282">
        <v>16664</v>
      </c>
      <c r="G117" s="286">
        <v>0.44552394170714782</v>
      </c>
      <c r="H117" s="160">
        <v>11909</v>
      </c>
      <c r="I117" s="159">
        <v>17581</v>
      </c>
      <c r="J117" s="159">
        <v>0</v>
      </c>
      <c r="K117" s="159">
        <v>0</v>
      </c>
      <c r="L117" s="159">
        <v>1550</v>
      </c>
      <c r="M117" s="171">
        <v>8.4948657153629301E-2</v>
      </c>
      <c r="N117" s="270">
        <v>16797</v>
      </c>
      <c r="O117" s="273">
        <v>16715</v>
      </c>
      <c r="P117" s="274">
        <v>-4.8818241352622501E-3</v>
      </c>
      <c r="Q117" s="273">
        <v>17055</v>
      </c>
      <c r="R117" s="278">
        <v>1.53598856938739E-2</v>
      </c>
      <c r="S117" s="265">
        <v>92</v>
      </c>
      <c r="T117" s="265">
        <v>5.7</v>
      </c>
      <c r="U117" s="265">
        <v>1.3</v>
      </c>
      <c r="V117" s="265">
        <v>98.9</v>
      </c>
      <c r="W117" s="160">
        <v>44</v>
      </c>
      <c r="X117" s="159">
        <v>60</v>
      </c>
      <c r="Y117" s="159">
        <v>0</v>
      </c>
      <c r="Z117" s="159">
        <v>0</v>
      </c>
      <c r="AA117" s="159">
        <v>0</v>
      </c>
      <c r="AB117" s="159">
        <v>3841</v>
      </c>
      <c r="AC117" s="159">
        <v>13006</v>
      </c>
      <c r="AD117" s="159">
        <v>630</v>
      </c>
      <c r="AE117" s="159">
        <v>0</v>
      </c>
      <c r="AF117" s="161">
        <v>840</v>
      </c>
      <c r="AG117" s="203">
        <v>0</v>
      </c>
      <c r="AH117" s="203">
        <v>44</v>
      </c>
      <c r="AI117" s="203">
        <v>60</v>
      </c>
      <c r="AJ117" s="203">
        <v>0</v>
      </c>
      <c r="AK117" s="203">
        <v>0</v>
      </c>
      <c r="AL117" s="203">
        <v>0</v>
      </c>
      <c r="AM117" s="203">
        <v>450</v>
      </c>
      <c r="AN117" s="203">
        <v>5008</v>
      </c>
      <c r="AO117" s="203">
        <v>6790</v>
      </c>
      <c r="AP117" s="203">
        <v>3346</v>
      </c>
      <c r="AQ117" s="203">
        <v>638</v>
      </c>
      <c r="AR117" s="203">
        <v>2085</v>
      </c>
      <c r="AS117" s="160">
        <v>44</v>
      </c>
      <c r="AT117" s="203">
        <v>0</v>
      </c>
      <c r="AU117" s="203">
        <v>60</v>
      </c>
      <c r="AV117" s="203">
        <v>0</v>
      </c>
      <c r="AW117" s="203">
        <v>0</v>
      </c>
      <c r="AX117" s="203">
        <v>0</v>
      </c>
      <c r="AY117" s="203">
        <v>3928</v>
      </c>
      <c r="AZ117" s="203">
        <v>5918</v>
      </c>
      <c r="BA117" s="203">
        <v>3880</v>
      </c>
      <c r="BB117" s="203">
        <v>2506</v>
      </c>
      <c r="BC117" s="203">
        <v>0</v>
      </c>
      <c r="BD117" s="203">
        <v>2085</v>
      </c>
      <c r="BE117" s="162">
        <v>14968580.359891573</v>
      </c>
      <c r="BF117" s="203">
        <v>5</v>
      </c>
      <c r="BG117" s="203">
        <v>704</v>
      </c>
      <c r="BH117" s="217">
        <v>21262.188011209622</v>
      </c>
      <c r="BI117" s="217">
        <v>1626589.9666419192</v>
      </c>
      <c r="BJ117" s="203">
        <v>5</v>
      </c>
      <c r="BK117" s="203">
        <v>360</v>
      </c>
      <c r="BL117" s="217">
        <v>4518.30546289422</v>
      </c>
      <c r="BM117" s="217">
        <v>0</v>
      </c>
      <c r="BN117" s="203">
        <v>0</v>
      </c>
      <c r="BO117" s="203">
        <v>0</v>
      </c>
      <c r="BP117" s="307" t="s">
        <v>687</v>
      </c>
    </row>
    <row r="118" spans="1:68" x14ac:dyDescent="0.45">
      <c r="A118">
        <v>334</v>
      </c>
      <c r="B118" t="s">
        <v>112</v>
      </c>
      <c r="C118" s="238" t="s">
        <v>568</v>
      </c>
      <c r="D118" s="280">
        <v>32580117.679999996</v>
      </c>
      <c r="E118" s="203">
        <v>17084</v>
      </c>
      <c r="F118" s="282">
        <v>19548</v>
      </c>
      <c r="G118" s="286">
        <v>0.14422851791149613</v>
      </c>
      <c r="H118" s="160">
        <v>18927</v>
      </c>
      <c r="I118" s="159">
        <v>19806</v>
      </c>
      <c r="J118" s="159">
        <v>513</v>
      </c>
      <c r="K118" s="159">
        <v>160</v>
      </c>
      <c r="L118" s="159">
        <v>930</v>
      </c>
      <c r="M118" s="171">
        <v>4.5757021279231799E-2</v>
      </c>
      <c r="N118" s="270">
        <v>18954</v>
      </c>
      <c r="O118" s="273">
        <v>19092</v>
      </c>
      <c r="P118" s="274">
        <v>7.28078505856284E-3</v>
      </c>
      <c r="Q118" s="273">
        <v>19345</v>
      </c>
      <c r="R118" s="278">
        <v>2.06288909992614E-2</v>
      </c>
      <c r="S118" s="265">
        <v>89.8</v>
      </c>
      <c r="T118" s="265">
        <v>6.3</v>
      </c>
      <c r="U118" s="265">
        <v>1.2</v>
      </c>
      <c r="V118" s="265">
        <v>97.3</v>
      </c>
      <c r="W118" s="160">
        <v>30</v>
      </c>
      <c r="X118" s="159">
        <v>248</v>
      </c>
      <c r="Y118" s="159">
        <v>0</v>
      </c>
      <c r="Z118" s="159">
        <v>0</v>
      </c>
      <c r="AA118" s="159">
        <v>0</v>
      </c>
      <c r="AB118" s="159">
        <v>4928</v>
      </c>
      <c r="AC118" s="159">
        <v>11986</v>
      </c>
      <c r="AD118" s="159">
        <v>2614</v>
      </c>
      <c r="AE118" s="159">
        <v>0</v>
      </c>
      <c r="AF118" s="161">
        <v>0</v>
      </c>
      <c r="AG118" s="203">
        <v>105</v>
      </c>
      <c r="AH118" s="203">
        <v>120</v>
      </c>
      <c r="AI118" s="203">
        <v>30</v>
      </c>
      <c r="AJ118" s="203">
        <v>23</v>
      </c>
      <c r="AK118" s="203">
        <v>0</v>
      </c>
      <c r="AL118" s="203">
        <v>0</v>
      </c>
      <c r="AM118" s="203">
        <v>1365</v>
      </c>
      <c r="AN118" s="203">
        <v>1905</v>
      </c>
      <c r="AO118" s="203">
        <v>11243</v>
      </c>
      <c r="AP118" s="203">
        <v>1200</v>
      </c>
      <c r="AQ118" s="203">
        <v>1779</v>
      </c>
      <c r="AR118" s="203">
        <v>2036</v>
      </c>
      <c r="AS118" s="160">
        <v>105</v>
      </c>
      <c r="AT118" s="203">
        <v>120</v>
      </c>
      <c r="AU118" s="203">
        <v>0</v>
      </c>
      <c r="AV118" s="203">
        <v>53</v>
      </c>
      <c r="AW118" s="203">
        <v>0</v>
      </c>
      <c r="AX118" s="203">
        <v>0</v>
      </c>
      <c r="AY118" s="203">
        <v>2608</v>
      </c>
      <c r="AZ118" s="203">
        <v>1455</v>
      </c>
      <c r="BA118" s="203">
        <v>8297</v>
      </c>
      <c r="BB118" s="203">
        <v>4922</v>
      </c>
      <c r="BC118" s="203">
        <v>210</v>
      </c>
      <c r="BD118" s="203">
        <v>2036</v>
      </c>
      <c r="BE118" s="162">
        <v>9747905.606370898</v>
      </c>
      <c r="BF118" s="203">
        <v>6</v>
      </c>
      <c r="BG118" s="203">
        <v>525</v>
      </c>
      <c r="BH118" s="217">
        <v>18567.439250230284</v>
      </c>
      <c r="BI118" s="217">
        <v>530108.6173473096</v>
      </c>
      <c r="BJ118" s="203">
        <v>6</v>
      </c>
      <c r="BK118" s="203">
        <v>135</v>
      </c>
      <c r="BL118" s="217">
        <v>3926.7304988689598</v>
      </c>
      <c r="BM118" s="217">
        <v>0</v>
      </c>
      <c r="BN118" s="203">
        <v>0</v>
      </c>
      <c r="BO118" s="203">
        <v>0</v>
      </c>
      <c r="BP118" s="307" t="s">
        <v>687</v>
      </c>
    </row>
    <row r="119" spans="1:68" x14ac:dyDescent="0.45">
      <c r="A119">
        <v>933</v>
      </c>
      <c r="B119" t="s">
        <v>113</v>
      </c>
      <c r="C119" s="238" t="s">
        <v>566</v>
      </c>
      <c r="D119" s="280">
        <v>52166213.619999997</v>
      </c>
      <c r="E119" s="203">
        <v>36870</v>
      </c>
      <c r="F119" s="282">
        <v>41170</v>
      </c>
      <c r="G119" s="286">
        <v>0.11662598318416056</v>
      </c>
      <c r="H119" s="160">
        <v>38291</v>
      </c>
      <c r="I119" s="159">
        <v>42241</v>
      </c>
      <c r="J119" s="159">
        <v>1260</v>
      </c>
      <c r="K119" s="159">
        <v>60</v>
      </c>
      <c r="L119" s="159">
        <v>5690</v>
      </c>
      <c r="M119" s="171">
        <v>0.12158205952911</v>
      </c>
      <c r="N119" s="270">
        <v>41414</v>
      </c>
      <c r="O119" s="273">
        <v>41419</v>
      </c>
      <c r="P119" s="274">
        <v>1.2073211957309099E-4</v>
      </c>
      <c r="Q119" s="273">
        <v>41363</v>
      </c>
      <c r="R119" s="278">
        <v>-1.23146761964553E-3</v>
      </c>
      <c r="S119" s="265">
        <v>92</v>
      </c>
      <c r="T119" s="265">
        <v>4.5999999999999996</v>
      </c>
      <c r="U119" s="265">
        <v>0.9</v>
      </c>
      <c r="V119" s="265">
        <v>97.5</v>
      </c>
      <c r="W119" s="160">
        <v>0</v>
      </c>
      <c r="X119" s="159">
        <v>105</v>
      </c>
      <c r="Y119" s="159">
        <v>0</v>
      </c>
      <c r="Z119" s="159">
        <v>0</v>
      </c>
      <c r="AA119" s="159">
        <v>0</v>
      </c>
      <c r="AB119" s="159">
        <v>6668</v>
      </c>
      <c r="AC119" s="159">
        <v>29451</v>
      </c>
      <c r="AD119" s="159">
        <v>6453</v>
      </c>
      <c r="AE119" s="159">
        <v>1047</v>
      </c>
      <c r="AF119" s="161">
        <v>420</v>
      </c>
      <c r="AG119" s="203">
        <v>60</v>
      </c>
      <c r="AH119" s="203">
        <v>0</v>
      </c>
      <c r="AI119" s="203">
        <v>30</v>
      </c>
      <c r="AJ119" s="203">
        <v>0</v>
      </c>
      <c r="AK119" s="203">
        <v>0</v>
      </c>
      <c r="AL119" s="203">
        <v>15</v>
      </c>
      <c r="AM119" s="203">
        <v>1319</v>
      </c>
      <c r="AN119" s="203">
        <v>1943</v>
      </c>
      <c r="AO119" s="203">
        <v>19148</v>
      </c>
      <c r="AP119" s="203">
        <v>3151</v>
      </c>
      <c r="AQ119" s="203">
        <v>4716</v>
      </c>
      <c r="AR119" s="203">
        <v>13762</v>
      </c>
      <c r="AS119" s="160">
        <v>0</v>
      </c>
      <c r="AT119" s="203">
        <v>60</v>
      </c>
      <c r="AU119" s="203">
        <v>30</v>
      </c>
      <c r="AV119" s="203">
        <v>0</v>
      </c>
      <c r="AW119" s="203">
        <v>0</v>
      </c>
      <c r="AX119" s="203">
        <v>15</v>
      </c>
      <c r="AY119" s="203">
        <v>1290</v>
      </c>
      <c r="AZ119" s="203">
        <v>2850</v>
      </c>
      <c r="BA119" s="203">
        <v>17430</v>
      </c>
      <c r="BB119" s="203">
        <v>3291</v>
      </c>
      <c r="BC119" s="203">
        <v>5416</v>
      </c>
      <c r="BD119" s="203">
        <v>13762</v>
      </c>
      <c r="BE119" s="162">
        <v>8891201.0754858386</v>
      </c>
      <c r="BF119" s="203">
        <v>8</v>
      </c>
      <c r="BG119" s="203">
        <v>608</v>
      </c>
      <c r="BH119" s="217">
        <v>14623.685979417498</v>
      </c>
      <c r="BI119" s="217">
        <v>958233.79061709729</v>
      </c>
      <c r="BJ119" s="203">
        <v>4</v>
      </c>
      <c r="BK119" s="203">
        <v>120</v>
      </c>
      <c r="BL119" s="217">
        <v>7985.2815884758111</v>
      </c>
      <c r="BM119" s="217">
        <v>4284776.0572760571</v>
      </c>
      <c r="BN119" s="203">
        <v>1</v>
      </c>
      <c r="BO119" s="203">
        <v>206</v>
      </c>
      <c r="BP119" s="307">
        <v>20799.883773184742</v>
      </c>
    </row>
    <row r="120" spans="1:68" x14ac:dyDescent="0.45">
      <c r="A120">
        <v>803</v>
      </c>
      <c r="B120" t="s">
        <v>114</v>
      </c>
      <c r="C120" s="238" t="s">
        <v>566</v>
      </c>
      <c r="D120" s="280">
        <v>42195404.549999997</v>
      </c>
      <c r="E120" s="203">
        <v>20604</v>
      </c>
      <c r="F120" s="282">
        <v>24382</v>
      </c>
      <c r="G120" s="286">
        <v>0.18336245389244807</v>
      </c>
      <c r="H120" s="160">
        <v>23648</v>
      </c>
      <c r="I120" s="159">
        <v>25359</v>
      </c>
      <c r="J120" s="159">
        <v>480</v>
      </c>
      <c r="K120" s="159">
        <v>80</v>
      </c>
      <c r="L120" s="159">
        <v>2590</v>
      </c>
      <c r="M120" s="171">
        <v>9.6191858169087902E-2</v>
      </c>
      <c r="N120" s="270">
        <v>23514</v>
      </c>
      <c r="O120" s="273">
        <v>23713</v>
      </c>
      <c r="P120" s="274">
        <v>8.4630432933571493E-3</v>
      </c>
      <c r="Q120" s="273">
        <v>24071</v>
      </c>
      <c r="R120" s="278">
        <v>2.3688015650250902E-2</v>
      </c>
      <c r="S120" s="265">
        <v>91.3</v>
      </c>
      <c r="T120" s="265">
        <v>6</v>
      </c>
      <c r="U120" s="265">
        <v>0.9</v>
      </c>
      <c r="V120" s="265">
        <v>98.1</v>
      </c>
      <c r="W120" s="160">
        <v>0</v>
      </c>
      <c r="X120" s="159">
        <v>0</v>
      </c>
      <c r="Y120" s="159">
        <v>0</v>
      </c>
      <c r="Z120" s="159">
        <v>0</v>
      </c>
      <c r="AA120" s="159">
        <v>0</v>
      </c>
      <c r="AB120" s="159">
        <v>3216</v>
      </c>
      <c r="AC120" s="159">
        <v>18539</v>
      </c>
      <c r="AD120" s="159">
        <v>4234</v>
      </c>
      <c r="AE120" s="159">
        <v>210</v>
      </c>
      <c r="AF120" s="161">
        <v>0</v>
      </c>
      <c r="AG120" s="203">
        <v>0</v>
      </c>
      <c r="AH120" s="203">
        <v>0</v>
      </c>
      <c r="AI120" s="203">
        <v>0</v>
      </c>
      <c r="AJ120" s="203">
        <v>0</v>
      </c>
      <c r="AK120" s="203">
        <v>0</v>
      </c>
      <c r="AL120" s="203">
        <v>0</v>
      </c>
      <c r="AM120" s="203">
        <v>1030</v>
      </c>
      <c r="AN120" s="203">
        <v>1470</v>
      </c>
      <c r="AO120" s="203">
        <v>15963</v>
      </c>
      <c r="AP120" s="203">
        <v>2070</v>
      </c>
      <c r="AQ120" s="203">
        <v>2310</v>
      </c>
      <c r="AR120" s="203">
        <v>3356</v>
      </c>
      <c r="AS120" s="160">
        <v>0</v>
      </c>
      <c r="AT120" s="203">
        <v>0</v>
      </c>
      <c r="AU120" s="203">
        <v>0</v>
      </c>
      <c r="AV120" s="203">
        <v>0</v>
      </c>
      <c r="AW120" s="203">
        <v>0</v>
      </c>
      <c r="AX120" s="203">
        <v>0</v>
      </c>
      <c r="AY120" s="203">
        <v>1437</v>
      </c>
      <c r="AZ120" s="203">
        <v>2725</v>
      </c>
      <c r="BA120" s="203">
        <v>13762</v>
      </c>
      <c r="BB120" s="203">
        <v>3939</v>
      </c>
      <c r="BC120" s="203">
        <v>980</v>
      </c>
      <c r="BD120" s="203">
        <v>3356</v>
      </c>
      <c r="BE120" s="162">
        <v>15345737.687346764</v>
      </c>
      <c r="BF120" s="203">
        <v>9</v>
      </c>
      <c r="BG120" s="203">
        <v>998</v>
      </c>
      <c r="BH120" s="217">
        <v>15376.490668684131</v>
      </c>
      <c r="BI120" s="217">
        <v>688843.39483709494</v>
      </c>
      <c r="BJ120" s="203">
        <v>8</v>
      </c>
      <c r="BK120" s="203">
        <v>231</v>
      </c>
      <c r="BL120" s="217">
        <v>2982.0060382558222</v>
      </c>
      <c r="BM120" s="217">
        <v>12637617.438323755</v>
      </c>
      <c r="BN120" s="203">
        <v>2</v>
      </c>
      <c r="BO120" s="203">
        <v>870</v>
      </c>
      <c r="BP120" s="307">
        <v>14525.997055544545</v>
      </c>
    </row>
    <row r="121" spans="1:68" x14ac:dyDescent="0.45">
      <c r="A121">
        <v>393</v>
      </c>
      <c r="B121" t="s">
        <v>115</v>
      </c>
      <c r="C121" s="238" t="s">
        <v>572</v>
      </c>
      <c r="D121" s="280">
        <v>7189364.3799999999</v>
      </c>
      <c r="E121" s="203">
        <v>10487</v>
      </c>
      <c r="F121" s="282">
        <v>11819</v>
      </c>
      <c r="G121" s="286">
        <v>0.12701439877944121</v>
      </c>
      <c r="H121" s="160">
        <v>12572</v>
      </c>
      <c r="I121" s="159">
        <v>12488</v>
      </c>
      <c r="J121" s="159">
        <v>210</v>
      </c>
      <c r="K121" s="159">
        <v>80</v>
      </c>
      <c r="L121" s="159">
        <v>960</v>
      </c>
      <c r="M121" s="171">
        <v>7.5606777473690503E-2</v>
      </c>
      <c r="N121" s="270">
        <v>11690</v>
      </c>
      <c r="O121" s="273">
        <v>11794</v>
      </c>
      <c r="P121" s="274">
        <v>8.8964927288280593E-3</v>
      </c>
      <c r="Q121" s="273">
        <v>11760</v>
      </c>
      <c r="R121" s="278">
        <v>5.9880239520958096E-3</v>
      </c>
      <c r="S121" s="265">
        <v>92.9</v>
      </c>
      <c r="T121" s="265">
        <v>4.0999999999999996</v>
      </c>
      <c r="U121" s="265">
        <v>0.8</v>
      </c>
      <c r="V121" s="265">
        <v>97.8</v>
      </c>
      <c r="W121" s="160">
        <v>0</v>
      </c>
      <c r="X121" s="159">
        <v>49</v>
      </c>
      <c r="Y121" s="159">
        <v>37</v>
      </c>
      <c r="Z121" s="159">
        <v>0</v>
      </c>
      <c r="AA121" s="159">
        <v>0</v>
      </c>
      <c r="AB121" s="159">
        <v>3180</v>
      </c>
      <c r="AC121" s="159">
        <v>7729</v>
      </c>
      <c r="AD121" s="159">
        <v>1493</v>
      </c>
      <c r="AE121" s="159">
        <v>0</v>
      </c>
      <c r="AF121" s="161">
        <v>0</v>
      </c>
      <c r="AG121" s="203">
        <v>0</v>
      </c>
      <c r="AH121" s="203">
        <v>0</v>
      </c>
      <c r="AI121" s="203">
        <v>22</v>
      </c>
      <c r="AJ121" s="203">
        <v>64</v>
      </c>
      <c r="AK121" s="203">
        <v>0</v>
      </c>
      <c r="AL121" s="203">
        <v>0</v>
      </c>
      <c r="AM121" s="203">
        <v>1080</v>
      </c>
      <c r="AN121" s="203">
        <v>1331</v>
      </c>
      <c r="AO121" s="203">
        <v>6977</v>
      </c>
      <c r="AP121" s="203">
        <v>1016</v>
      </c>
      <c r="AQ121" s="203">
        <v>1080</v>
      </c>
      <c r="AR121" s="203">
        <v>918</v>
      </c>
      <c r="AS121" s="160">
        <v>0</v>
      </c>
      <c r="AT121" s="203">
        <v>0</v>
      </c>
      <c r="AU121" s="203">
        <v>49</v>
      </c>
      <c r="AV121" s="203">
        <v>0</v>
      </c>
      <c r="AW121" s="203">
        <v>37</v>
      </c>
      <c r="AX121" s="203">
        <v>0</v>
      </c>
      <c r="AY121" s="203">
        <v>870</v>
      </c>
      <c r="AZ121" s="203">
        <v>2048</v>
      </c>
      <c r="BA121" s="203">
        <v>5519</v>
      </c>
      <c r="BB121" s="203">
        <v>1794</v>
      </c>
      <c r="BC121" s="203">
        <v>1253</v>
      </c>
      <c r="BD121" s="203">
        <v>918</v>
      </c>
      <c r="BE121" s="162">
        <v>0</v>
      </c>
      <c r="BF121" s="203">
        <v>0</v>
      </c>
      <c r="BG121" s="203">
        <v>0</v>
      </c>
      <c r="BH121" s="217" t="s">
        <v>687</v>
      </c>
      <c r="BI121" s="217">
        <v>0</v>
      </c>
      <c r="BJ121" s="203">
        <v>0</v>
      </c>
      <c r="BK121" s="203">
        <v>0</v>
      </c>
      <c r="BL121" s="217" t="s">
        <v>687</v>
      </c>
      <c r="BM121" s="217">
        <v>0</v>
      </c>
      <c r="BN121" s="203">
        <v>0</v>
      </c>
      <c r="BO121" s="203">
        <v>0</v>
      </c>
      <c r="BP121" s="307" t="s">
        <v>687</v>
      </c>
    </row>
    <row r="122" spans="1:68" x14ac:dyDescent="0.45">
      <c r="A122">
        <v>852</v>
      </c>
      <c r="B122" t="s">
        <v>116</v>
      </c>
      <c r="C122" s="238" t="s">
        <v>570</v>
      </c>
      <c r="D122" s="280">
        <v>65358574.580000006</v>
      </c>
      <c r="E122" s="203">
        <v>15660</v>
      </c>
      <c r="F122" s="282">
        <v>19765</v>
      </c>
      <c r="G122" s="286">
        <v>0.26213282247765007</v>
      </c>
      <c r="H122" s="160">
        <v>17217</v>
      </c>
      <c r="I122" s="159">
        <v>22584</v>
      </c>
      <c r="J122" s="159">
        <v>0</v>
      </c>
      <c r="K122" s="159">
        <v>0</v>
      </c>
      <c r="L122" s="159">
        <v>2700</v>
      </c>
      <c r="M122" s="171">
        <v>0.120147791552786</v>
      </c>
      <c r="N122" s="270">
        <v>20146</v>
      </c>
      <c r="O122" s="273">
        <v>20244</v>
      </c>
      <c r="P122" s="274">
        <v>4.8644892286309896E-3</v>
      </c>
      <c r="Q122" s="273">
        <v>20545</v>
      </c>
      <c r="R122" s="278">
        <v>1.98054204308548E-2</v>
      </c>
      <c r="S122" s="265">
        <v>86.7</v>
      </c>
      <c r="T122" s="265">
        <v>8</v>
      </c>
      <c r="U122" s="265">
        <v>2.4</v>
      </c>
      <c r="V122" s="265">
        <v>97.1</v>
      </c>
      <c r="W122" s="160">
        <v>0</v>
      </c>
      <c r="X122" s="159">
        <v>0</v>
      </c>
      <c r="Y122" s="159">
        <v>120</v>
      </c>
      <c r="Z122" s="159">
        <v>0</v>
      </c>
      <c r="AA122" s="159">
        <v>0</v>
      </c>
      <c r="AB122" s="159">
        <v>4269</v>
      </c>
      <c r="AC122" s="159">
        <v>13354</v>
      </c>
      <c r="AD122" s="159">
        <v>3581</v>
      </c>
      <c r="AE122" s="159">
        <v>90</v>
      </c>
      <c r="AF122" s="161">
        <v>420</v>
      </c>
      <c r="AG122" s="203">
        <v>0</v>
      </c>
      <c r="AH122" s="203">
        <v>0</v>
      </c>
      <c r="AI122" s="203">
        <v>120</v>
      </c>
      <c r="AJ122" s="203">
        <v>0</v>
      </c>
      <c r="AK122" s="203">
        <v>0</v>
      </c>
      <c r="AL122" s="203">
        <v>0</v>
      </c>
      <c r="AM122" s="203">
        <v>2055</v>
      </c>
      <c r="AN122" s="203">
        <v>2070</v>
      </c>
      <c r="AO122" s="203">
        <v>10002</v>
      </c>
      <c r="AP122" s="203">
        <v>3591</v>
      </c>
      <c r="AQ122" s="203">
        <v>1143</v>
      </c>
      <c r="AR122" s="203">
        <v>2853</v>
      </c>
      <c r="AS122" s="160">
        <v>0</v>
      </c>
      <c r="AT122" s="203">
        <v>0</v>
      </c>
      <c r="AU122" s="203">
        <v>120</v>
      </c>
      <c r="AV122" s="203">
        <v>0</v>
      </c>
      <c r="AW122" s="203">
        <v>0</v>
      </c>
      <c r="AX122" s="203">
        <v>0</v>
      </c>
      <c r="AY122" s="203">
        <v>3885</v>
      </c>
      <c r="AZ122" s="203">
        <v>2235</v>
      </c>
      <c r="BA122" s="203">
        <v>8710</v>
      </c>
      <c r="BB122" s="203">
        <v>3308</v>
      </c>
      <c r="BC122" s="203">
        <v>723</v>
      </c>
      <c r="BD122" s="203">
        <v>2853</v>
      </c>
      <c r="BE122" s="162">
        <v>2501219.041181867</v>
      </c>
      <c r="BF122" s="203">
        <v>3</v>
      </c>
      <c r="BG122" s="203">
        <v>240</v>
      </c>
      <c r="BH122" s="217">
        <v>10421.746004924446</v>
      </c>
      <c r="BI122" s="217">
        <v>2032005.5223241453</v>
      </c>
      <c r="BJ122" s="203">
        <v>6</v>
      </c>
      <c r="BK122" s="203">
        <v>180</v>
      </c>
      <c r="BL122" s="217">
        <v>11288.919568467474</v>
      </c>
      <c r="BM122" s="217">
        <v>0</v>
      </c>
      <c r="BN122" s="203">
        <v>0</v>
      </c>
      <c r="BO122" s="203">
        <v>0</v>
      </c>
      <c r="BP122" s="307" t="s">
        <v>687</v>
      </c>
    </row>
    <row r="123" spans="1:68" x14ac:dyDescent="0.45">
      <c r="A123">
        <v>882</v>
      </c>
      <c r="B123" t="s">
        <v>117</v>
      </c>
      <c r="C123" s="238" t="s">
        <v>567</v>
      </c>
      <c r="D123" s="280">
        <v>39765667.660000004</v>
      </c>
      <c r="E123" s="203">
        <v>12748</v>
      </c>
      <c r="F123" s="282">
        <v>14896</v>
      </c>
      <c r="G123" s="286">
        <v>0.1684970191402573</v>
      </c>
      <c r="H123" s="160">
        <v>13629</v>
      </c>
      <c r="I123" s="159">
        <v>16280</v>
      </c>
      <c r="J123" s="159">
        <v>0</v>
      </c>
      <c r="K123" s="159">
        <v>10</v>
      </c>
      <c r="L123" s="159">
        <v>1390</v>
      </c>
      <c r="M123" s="171">
        <v>8.5542525794899696E-2</v>
      </c>
      <c r="N123" s="270">
        <v>15141</v>
      </c>
      <c r="O123" s="273">
        <v>15128</v>
      </c>
      <c r="P123" s="274">
        <v>-8.5859586553067803E-4</v>
      </c>
      <c r="Q123" s="273">
        <v>15102</v>
      </c>
      <c r="R123" s="278">
        <v>-2.5757875965920301E-3</v>
      </c>
      <c r="S123" s="265">
        <v>88.6</v>
      </c>
      <c r="T123" s="265">
        <v>7.4</v>
      </c>
      <c r="U123" s="265">
        <v>1.5</v>
      </c>
      <c r="V123" s="265">
        <v>97.4</v>
      </c>
      <c r="W123" s="160">
        <v>0</v>
      </c>
      <c r="X123" s="159">
        <v>0</v>
      </c>
      <c r="Y123" s="159">
        <v>0</v>
      </c>
      <c r="Z123" s="159">
        <v>0</v>
      </c>
      <c r="AA123" s="159">
        <v>0</v>
      </c>
      <c r="AB123" s="159">
        <v>1176</v>
      </c>
      <c r="AC123" s="159">
        <v>14054</v>
      </c>
      <c r="AD123" s="159">
        <v>630</v>
      </c>
      <c r="AE123" s="159">
        <v>0</v>
      </c>
      <c r="AF123" s="161">
        <v>0</v>
      </c>
      <c r="AG123" s="203">
        <v>0</v>
      </c>
      <c r="AH123" s="203">
        <v>0</v>
      </c>
      <c r="AI123" s="203">
        <v>0</v>
      </c>
      <c r="AJ123" s="203">
        <v>0</v>
      </c>
      <c r="AK123" s="203">
        <v>0</v>
      </c>
      <c r="AL123" s="203">
        <v>0</v>
      </c>
      <c r="AM123" s="203">
        <v>210</v>
      </c>
      <c r="AN123" s="203">
        <v>4694</v>
      </c>
      <c r="AO123" s="203">
        <v>7476</v>
      </c>
      <c r="AP123" s="203">
        <v>1440</v>
      </c>
      <c r="AQ123" s="203">
        <v>720</v>
      </c>
      <c r="AR123" s="203">
        <v>1320</v>
      </c>
      <c r="AS123" s="160">
        <v>0</v>
      </c>
      <c r="AT123" s="203">
        <v>0</v>
      </c>
      <c r="AU123" s="203">
        <v>0</v>
      </c>
      <c r="AV123" s="203">
        <v>0</v>
      </c>
      <c r="AW123" s="203">
        <v>0</v>
      </c>
      <c r="AX123" s="203">
        <v>0</v>
      </c>
      <c r="AY123" s="203">
        <v>1110</v>
      </c>
      <c r="AZ123" s="203">
        <v>4814</v>
      </c>
      <c r="BA123" s="203">
        <v>4116</v>
      </c>
      <c r="BB123" s="203">
        <v>3780</v>
      </c>
      <c r="BC123" s="203">
        <v>720</v>
      </c>
      <c r="BD123" s="203">
        <v>1320</v>
      </c>
      <c r="BE123" s="162">
        <v>12860006.737109277</v>
      </c>
      <c r="BF123" s="203">
        <v>5</v>
      </c>
      <c r="BG123" s="203">
        <v>720</v>
      </c>
      <c r="BH123" s="217">
        <v>17861.120468207329</v>
      </c>
      <c r="BI123" s="217">
        <v>2238904.674376979</v>
      </c>
      <c r="BJ123" s="203">
        <v>3</v>
      </c>
      <c r="BK123" s="203">
        <v>300</v>
      </c>
      <c r="BL123" s="217">
        <v>7463.0155812565963</v>
      </c>
      <c r="BM123" s="217">
        <v>0</v>
      </c>
      <c r="BN123" s="203">
        <v>0</v>
      </c>
      <c r="BO123" s="203">
        <v>0</v>
      </c>
      <c r="BP123" s="307" t="s">
        <v>687</v>
      </c>
    </row>
    <row r="124" spans="1:68" x14ac:dyDescent="0.45">
      <c r="A124">
        <v>210</v>
      </c>
      <c r="B124" t="s">
        <v>118</v>
      </c>
      <c r="C124" s="238" t="s">
        <v>571</v>
      </c>
      <c r="D124" s="280">
        <v>70111011.330000013</v>
      </c>
      <c r="E124" s="203">
        <v>19980</v>
      </c>
      <c r="F124" s="282">
        <v>22542</v>
      </c>
      <c r="G124" s="286">
        <v>0.12822822822822824</v>
      </c>
      <c r="H124" s="160">
        <v>22815</v>
      </c>
      <c r="I124" s="159">
        <v>27566</v>
      </c>
      <c r="J124" s="159">
        <v>0</v>
      </c>
      <c r="K124" s="159">
        <v>0</v>
      </c>
      <c r="L124" s="159">
        <v>5200</v>
      </c>
      <c r="M124" s="171">
        <v>0.18755856659070899</v>
      </c>
      <c r="N124" s="270">
        <v>23148</v>
      </c>
      <c r="O124" s="273">
        <v>24348</v>
      </c>
      <c r="P124" s="274">
        <v>5.1840331778123402E-2</v>
      </c>
      <c r="Q124" s="273">
        <v>24512</v>
      </c>
      <c r="R124" s="278">
        <v>5.8925177121133598E-2</v>
      </c>
      <c r="S124" s="265">
        <v>84.1</v>
      </c>
      <c r="T124" s="265">
        <v>7.3</v>
      </c>
      <c r="U124" s="265">
        <v>2.8</v>
      </c>
      <c r="V124" s="265">
        <v>94.2</v>
      </c>
      <c r="W124" s="160">
        <v>30</v>
      </c>
      <c r="X124" s="159">
        <v>90</v>
      </c>
      <c r="Y124" s="159">
        <v>0</v>
      </c>
      <c r="Z124" s="159">
        <v>0</v>
      </c>
      <c r="AA124" s="159">
        <v>420</v>
      </c>
      <c r="AB124" s="159">
        <v>7770</v>
      </c>
      <c r="AC124" s="159">
        <v>17021</v>
      </c>
      <c r="AD124" s="159">
        <v>2340</v>
      </c>
      <c r="AE124" s="159">
        <v>0</v>
      </c>
      <c r="AF124" s="161">
        <v>0</v>
      </c>
      <c r="AG124" s="203">
        <v>15</v>
      </c>
      <c r="AH124" s="203">
        <v>60</v>
      </c>
      <c r="AI124" s="203">
        <v>0</v>
      </c>
      <c r="AJ124" s="203">
        <v>30</v>
      </c>
      <c r="AK124" s="203">
        <v>15</v>
      </c>
      <c r="AL124" s="203">
        <v>420</v>
      </c>
      <c r="AM124" s="203">
        <v>5360</v>
      </c>
      <c r="AN124" s="203">
        <v>4740</v>
      </c>
      <c r="AO124" s="203">
        <v>11796</v>
      </c>
      <c r="AP124" s="203">
        <v>1935</v>
      </c>
      <c r="AQ124" s="203">
        <v>1590</v>
      </c>
      <c r="AR124" s="203">
        <v>1710</v>
      </c>
      <c r="AS124" s="160">
        <v>15</v>
      </c>
      <c r="AT124" s="203">
        <v>60</v>
      </c>
      <c r="AU124" s="203">
        <v>30</v>
      </c>
      <c r="AV124" s="203">
        <v>15</v>
      </c>
      <c r="AW124" s="203">
        <v>0</v>
      </c>
      <c r="AX124" s="203">
        <v>420</v>
      </c>
      <c r="AY124" s="203">
        <v>3995</v>
      </c>
      <c r="AZ124" s="203">
        <v>6510</v>
      </c>
      <c r="BA124" s="203">
        <v>11871</v>
      </c>
      <c r="BB124" s="203">
        <v>1830</v>
      </c>
      <c r="BC124" s="203">
        <v>1215</v>
      </c>
      <c r="BD124" s="203">
        <v>1710</v>
      </c>
      <c r="BE124" s="162">
        <v>41917260.182245858</v>
      </c>
      <c r="BF124" s="203">
        <v>11</v>
      </c>
      <c r="BG124" s="203">
        <v>1365</v>
      </c>
      <c r="BH124" s="217">
        <v>30708.615518128834</v>
      </c>
      <c r="BI124" s="217">
        <v>6319900.7034354908</v>
      </c>
      <c r="BJ124" s="203">
        <v>7</v>
      </c>
      <c r="BK124" s="203">
        <v>285</v>
      </c>
      <c r="BL124" s="217">
        <v>22175.090187492951</v>
      </c>
      <c r="BM124" s="217">
        <v>0</v>
      </c>
      <c r="BN124" s="203">
        <v>0</v>
      </c>
      <c r="BO124" s="203">
        <v>0</v>
      </c>
      <c r="BP124" s="307" t="s">
        <v>687</v>
      </c>
    </row>
    <row r="125" spans="1:68" x14ac:dyDescent="0.45">
      <c r="A125">
        <v>342</v>
      </c>
      <c r="B125" t="s">
        <v>119</v>
      </c>
      <c r="C125" s="238" t="s">
        <v>569</v>
      </c>
      <c r="D125" s="280">
        <v>21182518.190000001</v>
      </c>
      <c r="E125" s="203">
        <v>13477</v>
      </c>
      <c r="F125" s="282">
        <v>14727</v>
      </c>
      <c r="G125" s="286">
        <v>9.2750612154040221E-2</v>
      </c>
      <c r="H125" s="160">
        <v>14707</v>
      </c>
      <c r="I125" s="159">
        <v>15978</v>
      </c>
      <c r="J125" s="159">
        <v>210</v>
      </c>
      <c r="K125" s="159">
        <v>120</v>
      </c>
      <c r="L125" s="159">
        <v>1580</v>
      </c>
      <c r="M125" s="171">
        <v>9.7505291001368205E-2</v>
      </c>
      <c r="N125" s="270">
        <v>14811</v>
      </c>
      <c r="O125" s="273">
        <v>14949</v>
      </c>
      <c r="P125" s="274">
        <v>9.3173992303018007E-3</v>
      </c>
      <c r="Q125" s="273">
        <v>14873</v>
      </c>
      <c r="R125" s="278">
        <v>4.1860779150631302E-3</v>
      </c>
      <c r="S125" s="265">
        <v>92.4</v>
      </c>
      <c r="T125" s="265">
        <v>4.5999999999999996</v>
      </c>
      <c r="U125" s="265">
        <v>1.1000000000000001</v>
      </c>
      <c r="V125" s="265">
        <v>98.1</v>
      </c>
      <c r="W125" s="160">
        <v>0</v>
      </c>
      <c r="X125" s="159">
        <v>0</v>
      </c>
      <c r="Y125" s="159">
        <v>0</v>
      </c>
      <c r="Z125" s="159">
        <v>0</v>
      </c>
      <c r="AA125" s="159">
        <v>0</v>
      </c>
      <c r="AB125" s="159">
        <v>3940</v>
      </c>
      <c r="AC125" s="159">
        <v>9414</v>
      </c>
      <c r="AD125" s="159">
        <v>2624</v>
      </c>
      <c r="AE125" s="159">
        <v>0</v>
      </c>
      <c r="AF125" s="161">
        <v>0</v>
      </c>
      <c r="AG125" s="203">
        <v>0</v>
      </c>
      <c r="AH125" s="203">
        <v>0</v>
      </c>
      <c r="AI125" s="203">
        <v>0</v>
      </c>
      <c r="AJ125" s="203">
        <v>0</v>
      </c>
      <c r="AK125" s="203">
        <v>0</v>
      </c>
      <c r="AL125" s="203">
        <v>0</v>
      </c>
      <c r="AM125" s="203">
        <v>210</v>
      </c>
      <c r="AN125" s="203">
        <v>1680</v>
      </c>
      <c r="AO125" s="203">
        <v>12318</v>
      </c>
      <c r="AP125" s="203">
        <v>525</v>
      </c>
      <c r="AQ125" s="203">
        <v>855</v>
      </c>
      <c r="AR125" s="203">
        <v>390</v>
      </c>
      <c r="AS125" s="160">
        <v>0</v>
      </c>
      <c r="AT125" s="203">
        <v>0</v>
      </c>
      <c r="AU125" s="203">
        <v>0</v>
      </c>
      <c r="AV125" s="203">
        <v>0</v>
      </c>
      <c r="AW125" s="203">
        <v>0</v>
      </c>
      <c r="AX125" s="203">
        <v>0</v>
      </c>
      <c r="AY125" s="203">
        <v>420</v>
      </c>
      <c r="AZ125" s="203">
        <v>2645</v>
      </c>
      <c r="BA125" s="203">
        <v>9144</v>
      </c>
      <c r="BB125" s="203">
        <v>2749</v>
      </c>
      <c r="BC125" s="203">
        <v>630</v>
      </c>
      <c r="BD125" s="203">
        <v>390</v>
      </c>
      <c r="BE125" s="162">
        <v>2974921.9605373833</v>
      </c>
      <c r="BF125" s="203">
        <v>5</v>
      </c>
      <c r="BG125" s="203">
        <v>450</v>
      </c>
      <c r="BH125" s="217">
        <v>6610.9376900830739</v>
      </c>
      <c r="BI125" s="217">
        <v>1012971.9245081191</v>
      </c>
      <c r="BJ125" s="203">
        <v>4</v>
      </c>
      <c r="BK125" s="203">
        <v>75</v>
      </c>
      <c r="BL125" s="217">
        <v>13506.292326774921</v>
      </c>
      <c r="BM125" s="217">
        <v>0</v>
      </c>
      <c r="BN125" s="203">
        <v>0</v>
      </c>
      <c r="BO125" s="203">
        <v>0</v>
      </c>
      <c r="BP125" s="307" t="s">
        <v>687</v>
      </c>
    </row>
    <row r="126" spans="1:68" x14ac:dyDescent="0.45">
      <c r="A126">
        <v>860</v>
      </c>
      <c r="B126" t="s">
        <v>120</v>
      </c>
      <c r="C126" s="238" t="s">
        <v>568</v>
      </c>
      <c r="D126" s="280">
        <v>108499598.17999999</v>
      </c>
      <c r="E126" s="203">
        <v>59968</v>
      </c>
      <c r="F126" s="282">
        <v>67190</v>
      </c>
      <c r="G126" s="286">
        <v>0.12043089647812166</v>
      </c>
      <c r="H126" s="160">
        <v>63967</v>
      </c>
      <c r="I126" s="159">
        <v>70941</v>
      </c>
      <c r="J126" s="159">
        <v>2135</v>
      </c>
      <c r="K126" s="159">
        <v>280</v>
      </c>
      <c r="L126" s="159">
        <v>9350</v>
      </c>
      <c r="M126" s="171">
        <v>0.12256381748022201</v>
      </c>
      <c r="N126" s="270">
        <v>66735</v>
      </c>
      <c r="O126" s="273">
        <v>66576</v>
      </c>
      <c r="P126" s="274">
        <v>-2.3825578781748701E-3</v>
      </c>
      <c r="Q126" s="273">
        <v>67824</v>
      </c>
      <c r="R126" s="278">
        <v>1.63182737693864E-2</v>
      </c>
      <c r="S126" s="265">
        <v>94.8</v>
      </c>
      <c r="T126" s="265">
        <v>3.6</v>
      </c>
      <c r="U126" s="265">
        <v>0.6</v>
      </c>
      <c r="V126" s="265">
        <v>98.9</v>
      </c>
      <c r="W126" s="160">
        <v>112</v>
      </c>
      <c r="X126" s="159">
        <v>233</v>
      </c>
      <c r="Y126" s="159">
        <v>131</v>
      </c>
      <c r="Z126" s="159">
        <v>0</v>
      </c>
      <c r="AA126" s="159">
        <v>420</v>
      </c>
      <c r="AB126" s="159">
        <v>8410</v>
      </c>
      <c r="AC126" s="159">
        <v>53952</v>
      </c>
      <c r="AD126" s="159">
        <v>7326</v>
      </c>
      <c r="AE126" s="159">
        <v>520</v>
      </c>
      <c r="AF126" s="161">
        <v>0</v>
      </c>
      <c r="AG126" s="203">
        <v>49</v>
      </c>
      <c r="AH126" s="203">
        <v>15</v>
      </c>
      <c r="AI126" s="203">
        <v>227</v>
      </c>
      <c r="AJ126" s="203">
        <v>36</v>
      </c>
      <c r="AK126" s="203">
        <v>0</v>
      </c>
      <c r="AL126" s="203">
        <v>569</v>
      </c>
      <c r="AM126" s="203">
        <v>1980</v>
      </c>
      <c r="AN126" s="203">
        <v>5547</v>
      </c>
      <c r="AO126" s="203">
        <v>36676</v>
      </c>
      <c r="AP126" s="203">
        <v>5531</v>
      </c>
      <c r="AQ126" s="203">
        <v>5919</v>
      </c>
      <c r="AR126" s="203">
        <v>14555</v>
      </c>
      <c r="AS126" s="160">
        <v>49</v>
      </c>
      <c r="AT126" s="203">
        <v>15</v>
      </c>
      <c r="AU126" s="203">
        <v>227</v>
      </c>
      <c r="AV126" s="203">
        <v>36</v>
      </c>
      <c r="AW126" s="203">
        <v>0</v>
      </c>
      <c r="AX126" s="203">
        <v>569</v>
      </c>
      <c r="AY126" s="203">
        <v>3539</v>
      </c>
      <c r="AZ126" s="203">
        <v>4623</v>
      </c>
      <c r="BA126" s="203">
        <v>35852</v>
      </c>
      <c r="BB126" s="203">
        <v>7075</v>
      </c>
      <c r="BC126" s="203">
        <v>4564</v>
      </c>
      <c r="BD126" s="203">
        <v>14555</v>
      </c>
      <c r="BE126" s="162">
        <v>22584266.015534226</v>
      </c>
      <c r="BF126" s="203">
        <v>17</v>
      </c>
      <c r="BG126" s="203">
        <v>1567</v>
      </c>
      <c r="BH126" s="217">
        <v>14412.422473219034</v>
      </c>
      <c r="BI126" s="217">
        <v>120194.67542766556</v>
      </c>
      <c r="BJ126" s="203">
        <v>2</v>
      </c>
      <c r="BK126" s="203">
        <v>45</v>
      </c>
      <c r="BL126" s="217">
        <v>2670.9927872814569</v>
      </c>
      <c r="BM126" s="217">
        <v>9392927.695737008</v>
      </c>
      <c r="BN126" s="203">
        <v>1</v>
      </c>
      <c r="BO126" s="203">
        <v>446</v>
      </c>
      <c r="BP126" s="307">
        <v>21060.375999410331</v>
      </c>
    </row>
    <row r="127" spans="1:68" x14ac:dyDescent="0.45">
      <c r="A127">
        <v>356</v>
      </c>
      <c r="B127" t="s">
        <v>121</v>
      </c>
      <c r="C127" s="238" t="s">
        <v>569</v>
      </c>
      <c r="D127" s="280">
        <v>43807468.869999997</v>
      </c>
      <c r="E127" s="203">
        <v>20884</v>
      </c>
      <c r="F127" s="282">
        <v>24565</v>
      </c>
      <c r="G127" s="286">
        <v>0.17625933729170656</v>
      </c>
      <c r="H127" s="160">
        <v>22568</v>
      </c>
      <c r="I127" s="159">
        <v>27030</v>
      </c>
      <c r="J127" s="159">
        <v>195</v>
      </c>
      <c r="K127" s="159">
        <v>80</v>
      </c>
      <c r="L127" s="159">
        <v>2560</v>
      </c>
      <c r="M127" s="171">
        <v>9.4497535376888195E-2</v>
      </c>
      <c r="N127" s="270">
        <v>24453</v>
      </c>
      <c r="O127" s="273">
        <v>24518</v>
      </c>
      <c r="P127" s="274">
        <v>2.6581605528973999E-3</v>
      </c>
      <c r="Q127" s="273">
        <v>24466</v>
      </c>
      <c r="R127" s="278">
        <v>5.3163211057947904E-4</v>
      </c>
      <c r="S127" s="265">
        <v>91.4</v>
      </c>
      <c r="T127" s="265">
        <v>5.4</v>
      </c>
      <c r="U127" s="265">
        <v>1.4</v>
      </c>
      <c r="V127" s="265">
        <v>98.3</v>
      </c>
      <c r="W127" s="160">
        <v>0</v>
      </c>
      <c r="X127" s="159">
        <v>0</v>
      </c>
      <c r="Y127" s="159">
        <v>0</v>
      </c>
      <c r="Z127" s="159">
        <v>0</v>
      </c>
      <c r="AA127" s="159">
        <v>420</v>
      </c>
      <c r="AB127" s="159">
        <v>6077</v>
      </c>
      <c r="AC127" s="159">
        <v>18144</v>
      </c>
      <c r="AD127" s="159">
        <v>1444</v>
      </c>
      <c r="AE127" s="159">
        <v>630</v>
      </c>
      <c r="AF127" s="161">
        <v>0</v>
      </c>
      <c r="AG127" s="203">
        <v>0</v>
      </c>
      <c r="AH127" s="203">
        <v>0</v>
      </c>
      <c r="AI127" s="203">
        <v>0</v>
      </c>
      <c r="AJ127" s="203">
        <v>0</v>
      </c>
      <c r="AK127" s="203">
        <v>0</v>
      </c>
      <c r="AL127" s="203">
        <v>420</v>
      </c>
      <c r="AM127" s="203">
        <v>2310</v>
      </c>
      <c r="AN127" s="203">
        <v>2000</v>
      </c>
      <c r="AO127" s="203">
        <v>18677</v>
      </c>
      <c r="AP127" s="203">
        <v>959</v>
      </c>
      <c r="AQ127" s="203">
        <v>1035</v>
      </c>
      <c r="AR127" s="203">
        <v>1314</v>
      </c>
      <c r="AS127" s="160">
        <v>0</v>
      </c>
      <c r="AT127" s="203">
        <v>0</v>
      </c>
      <c r="AU127" s="203">
        <v>0</v>
      </c>
      <c r="AV127" s="203">
        <v>0</v>
      </c>
      <c r="AW127" s="203">
        <v>0</v>
      </c>
      <c r="AX127" s="203">
        <v>420</v>
      </c>
      <c r="AY127" s="203">
        <v>2100</v>
      </c>
      <c r="AZ127" s="203">
        <v>4868</v>
      </c>
      <c r="BA127" s="203">
        <v>12734</v>
      </c>
      <c r="BB127" s="203">
        <v>4184</v>
      </c>
      <c r="BC127" s="203">
        <v>1095</v>
      </c>
      <c r="BD127" s="203">
        <v>1314</v>
      </c>
      <c r="BE127" s="162">
        <v>22869939.129828539</v>
      </c>
      <c r="BF127" s="203">
        <v>8</v>
      </c>
      <c r="BG127" s="203">
        <v>1400</v>
      </c>
      <c r="BH127" s="217">
        <v>16335.670807020384</v>
      </c>
      <c r="BI127" s="217">
        <v>0</v>
      </c>
      <c r="BJ127" s="203">
        <v>0</v>
      </c>
      <c r="BK127" s="203">
        <v>0</v>
      </c>
      <c r="BL127" s="217" t="s">
        <v>687</v>
      </c>
      <c r="BM127" s="217">
        <v>0</v>
      </c>
      <c r="BN127" s="203">
        <v>0</v>
      </c>
      <c r="BO127" s="203">
        <v>0</v>
      </c>
      <c r="BP127" s="307" t="s">
        <v>687</v>
      </c>
    </row>
    <row r="128" spans="1:68" x14ac:dyDescent="0.45">
      <c r="A128">
        <v>808</v>
      </c>
      <c r="B128" t="s">
        <v>122</v>
      </c>
      <c r="C128" s="238" t="s">
        <v>572</v>
      </c>
      <c r="D128" s="280">
        <v>61591277.460000001</v>
      </c>
      <c r="E128" s="203">
        <v>14595</v>
      </c>
      <c r="F128" s="282">
        <v>17292</v>
      </c>
      <c r="G128" s="286">
        <v>0.18478931140801644</v>
      </c>
      <c r="H128" s="160">
        <v>16259</v>
      </c>
      <c r="I128" s="159">
        <v>19832</v>
      </c>
      <c r="J128" s="159">
        <v>0</v>
      </c>
      <c r="K128" s="159">
        <v>0</v>
      </c>
      <c r="L128" s="159">
        <v>2500</v>
      </c>
      <c r="M128" s="171">
        <v>0.126371367535555</v>
      </c>
      <c r="N128" s="270">
        <v>17405</v>
      </c>
      <c r="O128" s="273">
        <v>17132</v>
      </c>
      <c r="P128" s="274">
        <v>-1.56851479459925E-2</v>
      </c>
      <c r="Q128" s="273">
        <v>17911</v>
      </c>
      <c r="R128" s="278">
        <v>2.9072105716748099E-2</v>
      </c>
      <c r="S128" s="265">
        <v>96.7</v>
      </c>
      <c r="T128" s="265">
        <v>2.1</v>
      </c>
      <c r="U128" s="265">
        <v>0.4</v>
      </c>
      <c r="V128" s="265">
        <v>99.2</v>
      </c>
      <c r="W128" s="160">
        <v>0</v>
      </c>
      <c r="X128" s="159">
        <v>0</v>
      </c>
      <c r="Y128" s="159">
        <v>0</v>
      </c>
      <c r="Z128" s="159">
        <v>0</v>
      </c>
      <c r="AA128" s="159">
        <v>0</v>
      </c>
      <c r="AB128" s="159">
        <v>3764</v>
      </c>
      <c r="AC128" s="159">
        <v>14256</v>
      </c>
      <c r="AD128" s="159">
        <v>1362</v>
      </c>
      <c r="AE128" s="159">
        <v>0</v>
      </c>
      <c r="AF128" s="161">
        <v>0</v>
      </c>
      <c r="AG128" s="203">
        <v>0</v>
      </c>
      <c r="AH128" s="203">
        <v>0</v>
      </c>
      <c r="AI128" s="203">
        <v>0</v>
      </c>
      <c r="AJ128" s="203">
        <v>0</v>
      </c>
      <c r="AK128" s="203">
        <v>0</v>
      </c>
      <c r="AL128" s="203">
        <v>0</v>
      </c>
      <c r="AM128" s="203">
        <v>1533</v>
      </c>
      <c r="AN128" s="203">
        <v>3111</v>
      </c>
      <c r="AO128" s="203">
        <v>11673</v>
      </c>
      <c r="AP128" s="203">
        <v>805</v>
      </c>
      <c r="AQ128" s="203">
        <v>615</v>
      </c>
      <c r="AR128" s="203">
        <v>1645</v>
      </c>
      <c r="AS128" s="160">
        <v>0</v>
      </c>
      <c r="AT128" s="203">
        <v>0</v>
      </c>
      <c r="AU128" s="203">
        <v>0</v>
      </c>
      <c r="AV128" s="203">
        <v>0</v>
      </c>
      <c r="AW128" s="203">
        <v>0</v>
      </c>
      <c r="AX128" s="203">
        <v>0</v>
      </c>
      <c r="AY128" s="203">
        <v>1585</v>
      </c>
      <c r="AZ128" s="203">
        <v>4851</v>
      </c>
      <c r="BA128" s="203">
        <v>9426</v>
      </c>
      <c r="BB128" s="203">
        <v>1455</v>
      </c>
      <c r="BC128" s="203">
        <v>420</v>
      </c>
      <c r="BD128" s="203">
        <v>1645</v>
      </c>
      <c r="BE128" s="162">
        <v>11537552.156998647</v>
      </c>
      <c r="BF128" s="203">
        <v>7</v>
      </c>
      <c r="BG128" s="203">
        <v>870</v>
      </c>
      <c r="BH128" s="217">
        <v>13261.554203446722</v>
      </c>
      <c r="BI128" s="217">
        <v>555161.74836163153</v>
      </c>
      <c r="BJ128" s="203">
        <v>3</v>
      </c>
      <c r="BK128" s="203">
        <v>50</v>
      </c>
      <c r="BL128" s="217">
        <v>11103.234967232631</v>
      </c>
      <c r="BM128" s="217">
        <v>0</v>
      </c>
      <c r="BN128" s="203">
        <v>0</v>
      </c>
      <c r="BO128" s="203">
        <v>0</v>
      </c>
      <c r="BP128" s="307" t="s">
        <v>687</v>
      </c>
    </row>
    <row r="129" spans="1:68" x14ac:dyDescent="0.45">
      <c r="A129">
        <v>861</v>
      </c>
      <c r="B129" t="s">
        <v>123</v>
      </c>
      <c r="C129" s="238" t="s">
        <v>568</v>
      </c>
      <c r="D129" s="280">
        <v>32707478.989999995</v>
      </c>
      <c r="E129" s="203">
        <v>18582</v>
      </c>
      <c r="F129" s="282">
        <v>22445</v>
      </c>
      <c r="G129" s="286">
        <v>0.20788935529006566</v>
      </c>
      <c r="H129" s="160">
        <v>19929</v>
      </c>
      <c r="I129" s="159">
        <v>24107</v>
      </c>
      <c r="J129" s="159">
        <v>105</v>
      </c>
      <c r="K129" s="159">
        <v>0</v>
      </c>
      <c r="L129" s="159">
        <v>1770</v>
      </c>
      <c r="M129" s="171">
        <v>7.2980340212247696E-2</v>
      </c>
      <c r="N129" s="270">
        <v>23068</v>
      </c>
      <c r="O129" s="273">
        <v>23008</v>
      </c>
      <c r="P129" s="274">
        <v>-2.6010057222125901E-3</v>
      </c>
      <c r="Q129" s="273">
        <v>22688</v>
      </c>
      <c r="R129" s="278">
        <v>-1.6473036240679698E-2</v>
      </c>
      <c r="S129" s="265">
        <v>94.7</v>
      </c>
      <c r="T129" s="265">
        <v>3.4</v>
      </c>
      <c r="U129" s="265">
        <v>0.2</v>
      </c>
      <c r="V129" s="265">
        <v>98.3</v>
      </c>
      <c r="W129" s="160">
        <v>60</v>
      </c>
      <c r="X129" s="159">
        <v>30</v>
      </c>
      <c r="Y129" s="159">
        <v>0</v>
      </c>
      <c r="Z129" s="159">
        <v>0</v>
      </c>
      <c r="AA129" s="159">
        <v>0</v>
      </c>
      <c r="AB129" s="159">
        <v>3855</v>
      </c>
      <c r="AC129" s="159">
        <v>15463</v>
      </c>
      <c r="AD129" s="159">
        <v>3799</v>
      </c>
      <c r="AE129" s="159">
        <v>0</v>
      </c>
      <c r="AF129" s="161">
        <v>0</v>
      </c>
      <c r="AG129" s="203">
        <v>0</v>
      </c>
      <c r="AH129" s="203">
        <v>60</v>
      </c>
      <c r="AI129" s="203">
        <v>30</v>
      </c>
      <c r="AJ129" s="203">
        <v>0</v>
      </c>
      <c r="AK129" s="203">
        <v>0</v>
      </c>
      <c r="AL129" s="203">
        <v>0</v>
      </c>
      <c r="AM129" s="203">
        <v>1470</v>
      </c>
      <c r="AN129" s="203">
        <v>1176</v>
      </c>
      <c r="AO129" s="203">
        <v>9496</v>
      </c>
      <c r="AP129" s="203">
        <v>4169</v>
      </c>
      <c r="AQ129" s="203">
        <v>3930</v>
      </c>
      <c r="AR129" s="203">
        <v>2876</v>
      </c>
      <c r="AS129" s="160">
        <v>0</v>
      </c>
      <c r="AT129" s="203">
        <v>60</v>
      </c>
      <c r="AU129" s="203">
        <v>30</v>
      </c>
      <c r="AV129" s="203">
        <v>0</v>
      </c>
      <c r="AW129" s="203">
        <v>0</v>
      </c>
      <c r="AX129" s="203">
        <v>0</v>
      </c>
      <c r="AY129" s="203">
        <v>840</v>
      </c>
      <c r="AZ129" s="203">
        <v>1620</v>
      </c>
      <c r="BA129" s="203">
        <v>11738</v>
      </c>
      <c r="BB129" s="203">
        <v>3463</v>
      </c>
      <c r="BC129" s="203">
        <v>2580</v>
      </c>
      <c r="BD129" s="203">
        <v>2876</v>
      </c>
      <c r="BE129" s="162">
        <v>2868685.6085956031</v>
      </c>
      <c r="BF129" s="203">
        <v>3</v>
      </c>
      <c r="BG129" s="203">
        <v>330</v>
      </c>
      <c r="BH129" s="217">
        <v>8692.9866927139483</v>
      </c>
      <c r="BI129" s="217">
        <v>1073374.6590694606</v>
      </c>
      <c r="BJ129" s="203">
        <v>5</v>
      </c>
      <c r="BK129" s="203">
        <v>210</v>
      </c>
      <c r="BL129" s="217">
        <v>5111.3079003307648</v>
      </c>
      <c r="BM129" s="217">
        <v>0</v>
      </c>
      <c r="BN129" s="203">
        <v>0</v>
      </c>
      <c r="BO129" s="203">
        <v>0</v>
      </c>
      <c r="BP129" s="307" t="s">
        <v>687</v>
      </c>
    </row>
    <row r="130" spans="1:68" x14ac:dyDescent="0.45">
      <c r="A130">
        <v>935</v>
      </c>
      <c r="B130" t="s">
        <v>124</v>
      </c>
      <c r="C130" s="238" t="s">
        <v>567</v>
      </c>
      <c r="D130" s="280">
        <v>88891500.590000004</v>
      </c>
      <c r="E130" s="203">
        <v>48779</v>
      </c>
      <c r="F130" s="282">
        <v>57344</v>
      </c>
      <c r="G130" s="286">
        <v>0.1755878554295906</v>
      </c>
      <c r="H130" s="160">
        <v>50775</v>
      </c>
      <c r="I130" s="159">
        <v>63486</v>
      </c>
      <c r="J130" s="159">
        <v>855</v>
      </c>
      <c r="K130" s="159">
        <v>150</v>
      </c>
      <c r="L130" s="159">
        <v>7440</v>
      </c>
      <c r="M130" s="171">
        <v>0.115064115862119</v>
      </c>
      <c r="N130" s="270">
        <v>56046</v>
      </c>
      <c r="O130" s="273">
        <v>56879</v>
      </c>
      <c r="P130" s="274">
        <v>1.4862791278592601E-2</v>
      </c>
      <c r="Q130" s="273">
        <v>57512</v>
      </c>
      <c r="R130" s="278">
        <v>2.6157085251400598E-2</v>
      </c>
      <c r="S130" s="265">
        <v>93.8</v>
      </c>
      <c r="T130" s="265">
        <v>3.9</v>
      </c>
      <c r="U130" s="265">
        <v>0.9</v>
      </c>
      <c r="V130" s="265">
        <v>98.6</v>
      </c>
      <c r="W130" s="160">
        <v>0</v>
      </c>
      <c r="X130" s="159">
        <v>141</v>
      </c>
      <c r="Y130" s="159">
        <v>0</v>
      </c>
      <c r="Z130" s="159">
        <v>0</v>
      </c>
      <c r="AA130" s="159">
        <v>630</v>
      </c>
      <c r="AB130" s="159">
        <v>6355</v>
      </c>
      <c r="AC130" s="159">
        <v>38510</v>
      </c>
      <c r="AD130" s="159">
        <v>8960</v>
      </c>
      <c r="AE130" s="159">
        <v>787</v>
      </c>
      <c r="AF130" s="161">
        <v>0</v>
      </c>
      <c r="AG130" s="203">
        <v>0</v>
      </c>
      <c r="AH130" s="203">
        <v>0</v>
      </c>
      <c r="AI130" s="203">
        <v>141</v>
      </c>
      <c r="AJ130" s="203">
        <v>0</v>
      </c>
      <c r="AK130" s="203">
        <v>0</v>
      </c>
      <c r="AL130" s="203">
        <v>630</v>
      </c>
      <c r="AM130" s="203">
        <v>1992</v>
      </c>
      <c r="AN130" s="203">
        <v>2605</v>
      </c>
      <c r="AO130" s="203">
        <v>31196</v>
      </c>
      <c r="AP130" s="203">
        <v>6393</v>
      </c>
      <c r="AQ130" s="203">
        <v>7730</v>
      </c>
      <c r="AR130" s="203">
        <v>4696</v>
      </c>
      <c r="AS130" s="160">
        <v>0</v>
      </c>
      <c r="AT130" s="203">
        <v>0</v>
      </c>
      <c r="AU130" s="203">
        <v>96</v>
      </c>
      <c r="AV130" s="203">
        <v>45</v>
      </c>
      <c r="AW130" s="203">
        <v>0</v>
      </c>
      <c r="AX130" s="203">
        <v>630</v>
      </c>
      <c r="AY130" s="203">
        <v>2426</v>
      </c>
      <c r="AZ130" s="203">
        <v>2920</v>
      </c>
      <c r="BA130" s="203">
        <v>29826</v>
      </c>
      <c r="BB130" s="203">
        <v>7642</v>
      </c>
      <c r="BC130" s="203">
        <v>7102</v>
      </c>
      <c r="BD130" s="203">
        <v>4696</v>
      </c>
      <c r="BE130" s="162">
        <v>37000918.852243796</v>
      </c>
      <c r="BF130" s="203">
        <v>37</v>
      </c>
      <c r="BG130" s="203">
        <v>3289</v>
      </c>
      <c r="BH130" s="217">
        <v>11249.899316583702</v>
      </c>
      <c r="BI130" s="217">
        <v>2497119.7631479409</v>
      </c>
      <c r="BJ130" s="203">
        <v>13</v>
      </c>
      <c r="BK130" s="203">
        <v>531</v>
      </c>
      <c r="BL130" s="217">
        <v>4702.6737535742768</v>
      </c>
      <c r="BM130" s="217">
        <v>0</v>
      </c>
      <c r="BN130" s="203">
        <v>0</v>
      </c>
      <c r="BO130" s="203">
        <v>0</v>
      </c>
      <c r="BP130" s="307" t="s">
        <v>687</v>
      </c>
    </row>
    <row r="131" spans="1:68" x14ac:dyDescent="0.45">
      <c r="A131">
        <v>394</v>
      </c>
      <c r="B131" t="s">
        <v>125</v>
      </c>
      <c r="C131" s="238" t="s">
        <v>572</v>
      </c>
      <c r="D131" s="280">
        <v>12238823.73</v>
      </c>
      <c r="E131" s="203">
        <v>19844</v>
      </c>
      <c r="F131" s="282">
        <v>21204</v>
      </c>
      <c r="G131" s="286">
        <v>6.8534569643217094E-2</v>
      </c>
      <c r="H131" s="160">
        <v>23035</v>
      </c>
      <c r="I131" s="159">
        <v>23183</v>
      </c>
      <c r="J131" s="159">
        <v>260</v>
      </c>
      <c r="K131" s="159">
        <v>20</v>
      </c>
      <c r="L131" s="159">
        <v>3140</v>
      </c>
      <c r="M131" s="171">
        <v>0.129003083247688</v>
      </c>
      <c r="N131" s="270">
        <v>21670</v>
      </c>
      <c r="O131" s="273">
        <v>21744</v>
      </c>
      <c r="P131" s="274">
        <v>3.4148592524227001E-3</v>
      </c>
      <c r="Q131" s="273">
        <v>21973</v>
      </c>
      <c r="R131" s="278">
        <v>1.3982464236271299E-2</v>
      </c>
      <c r="S131" s="265">
        <v>94.6</v>
      </c>
      <c r="T131" s="265">
        <v>3.6</v>
      </c>
      <c r="U131" s="265">
        <v>0.5</v>
      </c>
      <c r="V131" s="265">
        <v>98.8</v>
      </c>
      <c r="W131" s="160">
        <v>15</v>
      </c>
      <c r="X131" s="159">
        <v>30</v>
      </c>
      <c r="Y131" s="159">
        <v>0</v>
      </c>
      <c r="Z131" s="159">
        <v>0</v>
      </c>
      <c r="AA131" s="159">
        <v>0</v>
      </c>
      <c r="AB131" s="159">
        <v>2748</v>
      </c>
      <c r="AC131" s="159">
        <v>18540</v>
      </c>
      <c r="AD131" s="159">
        <v>1892</v>
      </c>
      <c r="AE131" s="159">
        <v>0</v>
      </c>
      <c r="AF131" s="161">
        <v>0</v>
      </c>
      <c r="AG131" s="203">
        <v>15</v>
      </c>
      <c r="AH131" s="203">
        <v>30</v>
      </c>
      <c r="AI131" s="203">
        <v>0</v>
      </c>
      <c r="AJ131" s="203">
        <v>0</v>
      </c>
      <c r="AK131" s="203">
        <v>0</v>
      </c>
      <c r="AL131" s="203">
        <v>0</v>
      </c>
      <c r="AM131" s="203">
        <v>1805</v>
      </c>
      <c r="AN131" s="203">
        <v>3650</v>
      </c>
      <c r="AO131" s="203">
        <v>12155</v>
      </c>
      <c r="AP131" s="203">
        <v>1970</v>
      </c>
      <c r="AQ131" s="203">
        <v>1850</v>
      </c>
      <c r="AR131" s="203">
        <v>1750</v>
      </c>
      <c r="AS131" s="160">
        <v>15</v>
      </c>
      <c r="AT131" s="203">
        <v>30</v>
      </c>
      <c r="AU131" s="203">
        <v>0</v>
      </c>
      <c r="AV131" s="203">
        <v>0</v>
      </c>
      <c r="AW131" s="203">
        <v>0</v>
      </c>
      <c r="AX131" s="203">
        <v>0</v>
      </c>
      <c r="AY131" s="203">
        <v>3115</v>
      </c>
      <c r="AZ131" s="203">
        <v>2865</v>
      </c>
      <c r="BA131" s="203">
        <v>13420</v>
      </c>
      <c r="BB131" s="203">
        <v>660</v>
      </c>
      <c r="BC131" s="203">
        <v>1370</v>
      </c>
      <c r="BD131" s="203">
        <v>1750</v>
      </c>
      <c r="BE131" s="162">
        <v>0</v>
      </c>
      <c r="BF131" s="203">
        <v>0</v>
      </c>
      <c r="BG131" s="203">
        <v>0</v>
      </c>
      <c r="BH131" s="217" t="s">
        <v>687</v>
      </c>
      <c r="BI131" s="217">
        <v>0</v>
      </c>
      <c r="BJ131" s="203">
        <v>0</v>
      </c>
      <c r="BK131" s="203">
        <v>0</v>
      </c>
      <c r="BL131" s="217" t="s">
        <v>687</v>
      </c>
      <c r="BM131" s="217">
        <v>910841.73558400699</v>
      </c>
      <c r="BN131" s="203">
        <v>1</v>
      </c>
      <c r="BO131" s="203">
        <v>105</v>
      </c>
      <c r="BP131" s="307">
        <v>8674.6831960381624</v>
      </c>
    </row>
    <row r="132" spans="1:68" x14ac:dyDescent="0.45">
      <c r="A132">
        <v>936</v>
      </c>
      <c r="B132" t="s">
        <v>126</v>
      </c>
      <c r="C132" s="238" t="s">
        <v>570</v>
      </c>
      <c r="D132" s="280">
        <v>377968356.67000002</v>
      </c>
      <c r="E132" s="203">
        <v>76641</v>
      </c>
      <c r="F132" s="282">
        <v>95202</v>
      </c>
      <c r="G132" s="286">
        <v>0.24218107801307395</v>
      </c>
      <c r="H132" s="160">
        <v>81918</v>
      </c>
      <c r="I132" s="159">
        <v>97025</v>
      </c>
      <c r="J132" s="159">
        <v>2340</v>
      </c>
      <c r="K132" s="159">
        <v>2450</v>
      </c>
      <c r="L132" s="159">
        <v>6950</v>
      </c>
      <c r="M132" s="171">
        <v>6.9750135515103895E-2</v>
      </c>
      <c r="N132" s="270">
        <v>89464</v>
      </c>
      <c r="O132" s="273">
        <v>92346</v>
      </c>
      <c r="P132" s="274">
        <v>3.22140749351695E-2</v>
      </c>
      <c r="Q132" s="273">
        <v>93373</v>
      </c>
      <c r="R132" s="278">
        <v>4.3693552713940799E-2</v>
      </c>
      <c r="S132" s="265">
        <v>87.1</v>
      </c>
      <c r="T132" s="265">
        <v>7.4</v>
      </c>
      <c r="U132" s="265">
        <v>2.1</v>
      </c>
      <c r="V132" s="265">
        <v>96.6</v>
      </c>
      <c r="W132" s="160">
        <v>150</v>
      </c>
      <c r="X132" s="159">
        <v>60</v>
      </c>
      <c r="Y132" s="159">
        <v>0</v>
      </c>
      <c r="Z132" s="159">
        <v>0</v>
      </c>
      <c r="AA132" s="159">
        <v>420</v>
      </c>
      <c r="AB132" s="159">
        <v>21810</v>
      </c>
      <c r="AC132" s="159">
        <v>68969</v>
      </c>
      <c r="AD132" s="159">
        <v>3981</v>
      </c>
      <c r="AE132" s="159">
        <v>586</v>
      </c>
      <c r="AF132" s="161">
        <v>0</v>
      </c>
      <c r="AG132" s="203">
        <v>0</v>
      </c>
      <c r="AH132" s="203">
        <v>30</v>
      </c>
      <c r="AI132" s="203">
        <v>180</v>
      </c>
      <c r="AJ132" s="203">
        <v>0</v>
      </c>
      <c r="AK132" s="203">
        <v>0</v>
      </c>
      <c r="AL132" s="203">
        <v>420</v>
      </c>
      <c r="AM132" s="203">
        <v>5037</v>
      </c>
      <c r="AN132" s="203">
        <v>10824</v>
      </c>
      <c r="AO132" s="203">
        <v>49756</v>
      </c>
      <c r="AP132" s="203">
        <v>9213</v>
      </c>
      <c r="AQ132" s="203">
        <v>2740</v>
      </c>
      <c r="AR132" s="203">
        <v>17776</v>
      </c>
      <c r="AS132" s="160">
        <v>0</v>
      </c>
      <c r="AT132" s="203">
        <v>30</v>
      </c>
      <c r="AU132" s="203">
        <v>180</v>
      </c>
      <c r="AV132" s="203">
        <v>0</v>
      </c>
      <c r="AW132" s="203">
        <v>0</v>
      </c>
      <c r="AX132" s="203">
        <v>420</v>
      </c>
      <c r="AY132" s="203">
        <v>3966</v>
      </c>
      <c r="AZ132" s="203">
        <v>10738</v>
      </c>
      <c r="BA132" s="203">
        <v>46784</v>
      </c>
      <c r="BB132" s="203">
        <v>13606</v>
      </c>
      <c r="BC132" s="203">
        <v>2476</v>
      </c>
      <c r="BD132" s="203">
        <v>17776</v>
      </c>
      <c r="BE132" s="162">
        <v>84253088.658680439</v>
      </c>
      <c r="BF132" s="203">
        <v>34</v>
      </c>
      <c r="BG132" s="203">
        <v>4799</v>
      </c>
      <c r="BH132" s="217">
        <v>17556.384383971752</v>
      </c>
      <c r="BI132" s="217">
        <v>6948855.1954893768</v>
      </c>
      <c r="BJ132" s="203">
        <v>42</v>
      </c>
      <c r="BK132" s="203">
        <v>1243</v>
      </c>
      <c r="BL132" s="217">
        <v>5590.3903423084284</v>
      </c>
      <c r="BM132" s="217">
        <v>0</v>
      </c>
      <c r="BN132" s="203">
        <v>0</v>
      </c>
      <c r="BO132" s="203">
        <v>0</v>
      </c>
      <c r="BP132" s="307" t="s">
        <v>687</v>
      </c>
    </row>
    <row r="133" spans="1:68" x14ac:dyDescent="0.45">
      <c r="A133">
        <v>319</v>
      </c>
      <c r="B133" t="s">
        <v>127</v>
      </c>
      <c r="C133" s="238" t="s">
        <v>564</v>
      </c>
      <c r="D133" s="280">
        <v>141769120.98999998</v>
      </c>
      <c r="E133" s="203">
        <v>13415</v>
      </c>
      <c r="F133" s="282">
        <v>17635</v>
      </c>
      <c r="G133" s="286">
        <v>0.31457323891166605</v>
      </c>
      <c r="H133" s="160">
        <v>13424</v>
      </c>
      <c r="I133" s="159">
        <v>17876</v>
      </c>
      <c r="J133" s="159">
        <v>210</v>
      </c>
      <c r="K133" s="159">
        <v>60</v>
      </c>
      <c r="L133" s="159">
        <v>510</v>
      </c>
      <c r="M133" s="171">
        <v>2.84294870901101E-2</v>
      </c>
      <c r="N133" s="270">
        <v>17622</v>
      </c>
      <c r="O133" s="273">
        <v>17651</v>
      </c>
      <c r="P133" s="274">
        <v>1.6456701849960299E-3</v>
      </c>
      <c r="Q133" s="273">
        <v>17856</v>
      </c>
      <c r="R133" s="278">
        <v>1.32788559754852E-2</v>
      </c>
      <c r="S133" s="265">
        <v>83.9</v>
      </c>
      <c r="T133" s="265">
        <v>6.4</v>
      </c>
      <c r="U133" s="265">
        <v>2.5</v>
      </c>
      <c r="V133" s="265">
        <v>92.8</v>
      </c>
      <c r="W133" s="160">
        <v>0</v>
      </c>
      <c r="X133" s="159">
        <v>30</v>
      </c>
      <c r="Y133" s="159">
        <v>0</v>
      </c>
      <c r="Z133" s="159">
        <v>0</v>
      </c>
      <c r="AA133" s="159">
        <v>0</v>
      </c>
      <c r="AB133" s="159">
        <v>4971</v>
      </c>
      <c r="AC133" s="159">
        <v>12035</v>
      </c>
      <c r="AD133" s="159">
        <v>0</v>
      </c>
      <c r="AE133" s="159">
        <v>0</v>
      </c>
      <c r="AF133" s="161">
        <v>0</v>
      </c>
      <c r="AG133" s="203">
        <v>0</v>
      </c>
      <c r="AH133" s="203">
        <v>0</v>
      </c>
      <c r="AI133" s="203">
        <v>30</v>
      </c>
      <c r="AJ133" s="203">
        <v>0</v>
      </c>
      <c r="AK133" s="203">
        <v>0</v>
      </c>
      <c r="AL133" s="203">
        <v>0</v>
      </c>
      <c r="AM133" s="203">
        <v>1670</v>
      </c>
      <c r="AN133" s="203">
        <v>4027</v>
      </c>
      <c r="AO133" s="203">
        <v>7755</v>
      </c>
      <c r="AP133" s="203">
        <v>1662</v>
      </c>
      <c r="AQ133" s="203">
        <v>0</v>
      </c>
      <c r="AR133" s="203">
        <v>1892</v>
      </c>
      <c r="AS133" s="160">
        <v>0</v>
      </c>
      <c r="AT133" s="203">
        <v>0</v>
      </c>
      <c r="AU133" s="203">
        <v>30</v>
      </c>
      <c r="AV133" s="203">
        <v>0</v>
      </c>
      <c r="AW133" s="203">
        <v>0</v>
      </c>
      <c r="AX133" s="203">
        <v>0</v>
      </c>
      <c r="AY133" s="203">
        <v>3876</v>
      </c>
      <c r="AZ133" s="203">
        <v>3277</v>
      </c>
      <c r="BA133" s="203">
        <v>7367</v>
      </c>
      <c r="BB133" s="203">
        <v>594</v>
      </c>
      <c r="BC133" s="203">
        <v>0</v>
      </c>
      <c r="BD133" s="203">
        <v>1892</v>
      </c>
      <c r="BE133" s="162">
        <v>10259808.594499469</v>
      </c>
      <c r="BF133" s="203">
        <v>6</v>
      </c>
      <c r="BG133" s="203">
        <v>735</v>
      </c>
      <c r="BH133" s="217">
        <v>13958.923257822407</v>
      </c>
      <c r="BI133" s="217">
        <v>663249.0747006184</v>
      </c>
      <c r="BJ133" s="203">
        <v>3</v>
      </c>
      <c r="BK133" s="203">
        <v>90</v>
      </c>
      <c r="BL133" s="217">
        <v>7369.4341633402046</v>
      </c>
      <c r="BM133" s="217">
        <v>0</v>
      </c>
      <c r="BN133" s="203">
        <v>0</v>
      </c>
      <c r="BO133" s="203">
        <v>0</v>
      </c>
      <c r="BP133" s="307" t="s">
        <v>687</v>
      </c>
    </row>
    <row r="134" spans="1:68" x14ac:dyDescent="0.45">
      <c r="A134">
        <v>866</v>
      </c>
      <c r="B134" t="s">
        <v>128</v>
      </c>
      <c r="C134" s="238" t="s">
        <v>566</v>
      </c>
      <c r="D134" s="280">
        <v>26046095.059999999</v>
      </c>
      <c r="E134" s="203">
        <v>15779</v>
      </c>
      <c r="F134" s="282">
        <v>20817</v>
      </c>
      <c r="G134" s="286">
        <v>0.31928512580011409</v>
      </c>
      <c r="H134" s="160">
        <v>17514</v>
      </c>
      <c r="I134" s="159">
        <v>21377</v>
      </c>
      <c r="J134" s="159">
        <v>540</v>
      </c>
      <c r="K134" s="159">
        <v>0</v>
      </c>
      <c r="L134" s="159">
        <v>1940</v>
      </c>
      <c r="M134" s="171">
        <v>8.5248493923472404E-2</v>
      </c>
      <c r="N134" s="270">
        <v>20701</v>
      </c>
      <c r="O134" s="273">
        <v>20602</v>
      </c>
      <c r="P134" s="274">
        <v>-4.7823776629148402E-3</v>
      </c>
      <c r="Q134" s="273">
        <v>20665</v>
      </c>
      <c r="R134" s="278">
        <v>-1.7390464228781201E-3</v>
      </c>
      <c r="S134" s="265">
        <v>95.1</v>
      </c>
      <c r="T134" s="265">
        <v>3.8</v>
      </c>
      <c r="U134" s="265">
        <v>0.6</v>
      </c>
      <c r="V134" s="265">
        <v>99.5</v>
      </c>
      <c r="W134" s="160">
        <v>0</v>
      </c>
      <c r="X134" s="159">
        <v>20</v>
      </c>
      <c r="Y134" s="159">
        <v>0</v>
      </c>
      <c r="Z134" s="159">
        <v>0</v>
      </c>
      <c r="AA134" s="159">
        <v>0</v>
      </c>
      <c r="AB134" s="159">
        <v>3140</v>
      </c>
      <c r="AC134" s="159">
        <v>14861</v>
      </c>
      <c r="AD134" s="159">
        <v>3222</v>
      </c>
      <c r="AE134" s="159">
        <v>574</v>
      </c>
      <c r="AF134" s="161">
        <v>0</v>
      </c>
      <c r="AG134" s="203">
        <v>0</v>
      </c>
      <c r="AH134" s="203">
        <v>0</v>
      </c>
      <c r="AI134" s="203">
        <v>20</v>
      </c>
      <c r="AJ134" s="203">
        <v>0</v>
      </c>
      <c r="AK134" s="203">
        <v>0</v>
      </c>
      <c r="AL134" s="203">
        <v>0</v>
      </c>
      <c r="AM134" s="203">
        <v>371</v>
      </c>
      <c r="AN134" s="203">
        <v>1470</v>
      </c>
      <c r="AO134" s="203">
        <v>15251</v>
      </c>
      <c r="AP134" s="203">
        <v>1290</v>
      </c>
      <c r="AQ134" s="203">
        <v>1189</v>
      </c>
      <c r="AR134" s="203">
        <v>2226</v>
      </c>
      <c r="AS134" s="160">
        <v>0</v>
      </c>
      <c r="AT134" s="203">
        <v>0</v>
      </c>
      <c r="AU134" s="203">
        <v>20</v>
      </c>
      <c r="AV134" s="203">
        <v>0</v>
      </c>
      <c r="AW134" s="203">
        <v>0</v>
      </c>
      <c r="AX134" s="203">
        <v>0</v>
      </c>
      <c r="AY134" s="203">
        <v>371</v>
      </c>
      <c r="AZ134" s="203">
        <v>2827</v>
      </c>
      <c r="BA134" s="203">
        <v>10885</v>
      </c>
      <c r="BB134" s="203">
        <v>3460</v>
      </c>
      <c r="BC134" s="203">
        <v>2028</v>
      </c>
      <c r="BD134" s="203">
        <v>2226</v>
      </c>
      <c r="BE134" s="162">
        <v>161135.16113516112</v>
      </c>
      <c r="BF134" s="203">
        <v>1</v>
      </c>
      <c r="BG134" s="203">
        <v>30</v>
      </c>
      <c r="BH134" s="217">
        <v>5371.1720378387045</v>
      </c>
      <c r="BI134" s="217">
        <v>387040.33802073012</v>
      </c>
      <c r="BJ134" s="203">
        <v>1</v>
      </c>
      <c r="BK134" s="203">
        <v>30</v>
      </c>
      <c r="BL134" s="217">
        <v>12901.344600691004</v>
      </c>
      <c r="BM134" s="217">
        <v>0</v>
      </c>
      <c r="BN134" s="203">
        <v>0</v>
      </c>
      <c r="BO134" s="203">
        <v>0</v>
      </c>
      <c r="BP134" s="307" t="s">
        <v>687</v>
      </c>
    </row>
    <row r="135" spans="1:68" x14ac:dyDescent="0.45">
      <c r="A135">
        <v>357</v>
      </c>
      <c r="B135" t="s">
        <v>129</v>
      </c>
      <c r="C135" s="238" t="s">
        <v>569</v>
      </c>
      <c r="D135" s="280">
        <v>54977165.680000007</v>
      </c>
      <c r="E135" s="203">
        <v>17445</v>
      </c>
      <c r="F135" s="282">
        <v>21245</v>
      </c>
      <c r="G135" s="286">
        <v>0.21782745772427631</v>
      </c>
      <c r="H135" s="160">
        <v>19028</v>
      </c>
      <c r="I135" s="159">
        <v>22582</v>
      </c>
      <c r="J135" s="159">
        <v>90</v>
      </c>
      <c r="K135" s="159">
        <v>30</v>
      </c>
      <c r="L135" s="159">
        <v>1460</v>
      </c>
      <c r="M135" s="171">
        <v>6.4263552819076794E-2</v>
      </c>
      <c r="N135" s="270">
        <v>20999</v>
      </c>
      <c r="O135" s="273">
        <v>21206</v>
      </c>
      <c r="P135" s="274">
        <v>9.8576122672508204E-3</v>
      </c>
      <c r="Q135" s="273">
        <v>21298</v>
      </c>
      <c r="R135" s="278">
        <v>1.4238773274917901E-2</v>
      </c>
      <c r="S135" s="265">
        <v>91.4</v>
      </c>
      <c r="T135" s="265">
        <v>4.5999999999999996</v>
      </c>
      <c r="U135" s="265">
        <v>1.5</v>
      </c>
      <c r="V135" s="265">
        <v>97.5</v>
      </c>
      <c r="W135" s="160">
        <v>0</v>
      </c>
      <c r="X135" s="159">
        <v>116</v>
      </c>
      <c r="Y135" s="159">
        <v>0</v>
      </c>
      <c r="Z135" s="159">
        <v>0</v>
      </c>
      <c r="AA135" s="159">
        <v>0</v>
      </c>
      <c r="AB135" s="159">
        <v>1259</v>
      </c>
      <c r="AC135" s="159">
        <v>18076</v>
      </c>
      <c r="AD135" s="159">
        <v>2816</v>
      </c>
      <c r="AE135" s="159">
        <v>0</v>
      </c>
      <c r="AF135" s="161">
        <v>0</v>
      </c>
      <c r="AG135" s="203">
        <v>0</v>
      </c>
      <c r="AH135" s="203">
        <v>0</v>
      </c>
      <c r="AI135" s="203">
        <v>116</v>
      </c>
      <c r="AJ135" s="203">
        <v>0</v>
      </c>
      <c r="AK135" s="203">
        <v>0</v>
      </c>
      <c r="AL135" s="203">
        <v>0</v>
      </c>
      <c r="AM135" s="203">
        <v>2593</v>
      </c>
      <c r="AN135" s="203">
        <v>2568</v>
      </c>
      <c r="AO135" s="203">
        <v>12194</v>
      </c>
      <c r="AP135" s="203">
        <v>420</v>
      </c>
      <c r="AQ135" s="203">
        <v>1500</v>
      </c>
      <c r="AR135" s="203">
        <v>2876</v>
      </c>
      <c r="AS135" s="160">
        <v>23</v>
      </c>
      <c r="AT135" s="203">
        <v>0</v>
      </c>
      <c r="AU135" s="203">
        <v>60</v>
      </c>
      <c r="AV135" s="203">
        <v>33</v>
      </c>
      <c r="AW135" s="203">
        <v>0</v>
      </c>
      <c r="AX135" s="203">
        <v>0</v>
      </c>
      <c r="AY135" s="203">
        <v>4514</v>
      </c>
      <c r="AZ135" s="203">
        <v>2824</v>
      </c>
      <c r="BA135" s="203">
        <v>8641</v>
      </c>
      <c r="BB135" s="203">
        <v>2216</v>
      </c>
      <c r="BC135" s="203">
        <v>1080</v>
      </c>
      <c r="BD135" s="203">
        <v>2876</v>
      </c>
      <c r="BE135" s="162">
        <v>1045908.7881698878</v>
      </c>
      <c r="BF135" s="203">
        <v>2</v>
      </c>
      <c r="BG135" s="203">
        <v>100</v>
      </c>
      <c r="BH135" s="217">
        <v>10459.087881698879</v>
      </c>
      <c r="BI135" s="217">
        <v>350490.48825868685</v>
      </c>
      <c r="BJ135" s="203">
        <v>4</v>
      </c>
      <c r="BK135" s="203">
        <v>120</v>
      </c>
      <c r="BL135" s="217">
        <v>2920.7540688223903</v>
      </c>
      <c r="BM135" s="217">
        <v>128667.99815639878</v>
      </c>
      <c r="BN135" s="203">
        <v>1</v>
      </c>
      <c r="BO135" s="203">
        <v>105</v>
      </c>
      <c r="BP135" s="307">
        <v>1225.409506251417</v>
      </c>
    </row>
    <row r="136" spans="1:68" x14ac:dyDescent="0.45">
      <c r="A136">
        <v>894</v>
      </c>
      <c r="B136" t="s">
        <v>130</v>
      </c>
      <c r="C136" s="238" t="s">
        <v>568</v>
      </c>
      <c r="D136" s="280">
        <v>33350987.439999998</v>
      </c>
      <c r="E136" s="203">
        <v>13466</v>
      </c>
      <c r="F136" s="282">
        <v>16201</v>
      </c>
      <c r="G136" s="286">
        <v>0.20310411406505272</v>
      </c>
      <c r="H136" s="160">
        <v>14935</v>
      </c>
      <c r="I136" s="159">
        <v>16998</v>
      </c>
      <c r="J136" s="159">
        <v>215</v>
      </c>
      <c r="K136" s="159">
        <v>110</v>
      </c>
      <c r="L136" s="159">
        <v>1120</v>
      </c>
      <c r="M136" s="171">
        <v>6.4897114593193098E-2</v>
      </c>
      <c r="N136" s="270">
        <v>16135</v>
      </c>
      <c r="O136" s="273">
        <v>16375</v>
      </c>
      <c r="P136" s="274">
        <v>1.48744964363186E-2</v>
      </c>
      <c r="Q136" s="273">
        <v>16577</v>
      </c>
      <c r="R136" s="278">
        <v>2.739386427022E-2</v>
      </c>
      <c r="S136" s="265">
        <v>94.3</v>
      </c>
      <c r="T136" s="265">
        <v>3.3</v>
      </c>
      <c r="U136" s="265">
        <v>0.4</v>
      </c>
      <c r="V136" s="265">
        <v>98</v>
      </c>
      <c r="W136" s="160">
        <v>0</v>
      </c>
      <c r="X136" s="159">
        <v>0</v>
      </c>
      <c r="Y136" s="159">
        <v>0</v>
      </c>
      <c r="Z136" s="159">
        <v>0</v>
      </c>
      <c r="AA136" s="159">
        <v>0</v>
      </c>
      <c r="AB136" s="159">
        <v>3277</v>
      </c>
      <c r="AC136" s="159">
        <v>11849</v>
      </c>
      <c r="AD136" s="159">
        <v>1455</v>
      </c>
      <c r="AE136" s="159">
        <v>0</v>
      </c>
      <c r="AF136" s="161">
        <v>0</v>
      </c>
      <c r="AG136" s="203">
        <v>0</v>
      </c>
      <c r="AH136" s="203">
        <v>0</v>
      </c>
      <c r="AI136" s="203">
        <v>0</v>
      </c>
      <c r="AJ136" s="203">
        <v>0</v>
      </c>
      <c r="AK136" s="203">
        <v>0</v>
      </c>
      <c r="AL136" s="203">
        <v>0</v>
      </c>
      <c r="AM136" s="203">
        <v>840</v>
      </c>
      <c r="AN136" s="203">
        <v>2382</v>
      </c>
      <c r="AO136" s="203">
        <v>9713</v>
      </c>
      <c r="AP136" s="203">
        <v>1683</v>
      </c>
      <c r="AQ136" s="203">
        <v>1037</v>
      </c>
      <c r="AR136" s="203">
        <v>926</v>
      </c>
      <c r="AS136" s="160">
        <v>0</v>
      </c>
      <c r="AT136" s="203">
        <v>0</v>
      </c>
      <c r="AU136" s="203">
        <v>0</v>
      </c>
      <c r="AV136" s="203">
        <v>0</v>
      </c>
      <c r="AW136" s="203">
        <v>0</v>
      </c>
      <c r="AX136" s="203">
        <v>0</v>
      </c>
      <c r="AY136" s="203">
        <v>550</v>
      </c>
      <c r="AZ136" s="203">
        <v>2308</v>
      </c>
      <c r="BA136" s="203">
        <v>8244</v>
      </c>
      <c r="BB136" s="203">
        <v>3419</v>
      </c>
      <c r="BC136" s="203">
        <v>1134</v>
      </c>
      <c r="BD136" s="203">
        <v>926</v>
      </c>
      <c r="BE136" s="162">
        <v>3602407.3261680324</v>
      </c>
      <c r="BF136" s="203">
        <v>2</v>
      </c>
      <c r="BG136" s="203">
        <v>240</v>
      </c>
      <c r="BH136" s="217">
        <v>15010.030525700135</v>
      </c>
      <c r="BI136" s="217">
        <v>0</v>
      </c>
      <c r="BJ136" s="203">
        <v>0</v>
      </c>
      <c r="BK136" s="203">
        <v>0</v>
      </c>
      <c r="BL136" s="217" t="s">
        <v>687</v>
      </c>
      <c r="BM136" s="217">
        <v>5756013.7457044879</v>
      </c>
      <c r="BN136" s="203">
        <v>1</v>
      </c>
      <c r="BO136" s="203">
        <v>210</v>
      </c>
      <c r="BP136" s="307">
        <v>27409.589265259467</v>
      </c>
    </row>
    <row r="137" spans="1:68" x14ac:dyDescent="0.45">
      <c r="A137">
        <v>883</v>
      </c>
      <c r="B137" t="s">
        <v>131</v>
      </c>
      <c r="C137" s="238" t="s">
        <v>567</v>
      </c>
      <c r="D137" s="280">
        <v>55445082.679999992</v>
      </c>
      <c r="E137" s="203">
        <v>13037</v>
      </c>
      <c r="F137" s="282">
        <v>18370</v>
      </c>
      <c r="G137" s="286">
        <v>0.40906650302983816</v>
      </c>
      <c r="H137" s="160">
        <v>14331</v>
      </c>
      <c r="I137" s="159">
        <v>18662</v>
      </c>
      <c r="J137" s="159">
        <v>420</v>
      </c>
      <c r="K137" s="159">
        <v>240</v>
      </c>
      <c r="L137" s="159">
        <v>890</v>
      </c>
      <c r="M137" s="171">
        <v>4.6650540699537502E-2</v>
      </c>
      <c r="N137" s="270">
        <v>17097</v>
      </c>
      <c r="O137" s="273">
        <v>17178</v>
      </c>
      <c r="P137" s="274">
        <v>4.7376732760133402E-3</v>
      </c>
      <c r="Q137" s="273">
        <v>17481</v>
      </c>
      <c r="R137" s="278">
        <v>2.2460080715915098E-2</v>
      </c>
      <c r="S137" s="265">
        <v>87.6</v>
      </c>
      <c r="T137" s="265">
        <v>6.6</v>
      </c>
      <c r="U137" s="265">
        <v>1.7</v>
      </c>
      <c r="V137" s="265">
        <v>95.8</v>
      </c>
      <c r="W137" s="160">
        <v>0</v>
      </c>
      <c r="X137" s="159">
        <v>30</v>
      </c>
      <c r="Y137" s="159">
        <v>0</v>
      </c>
      <c r="Z137" s="159">
        <v>0</v>
      </c>
      <c r="AA137" s="159">
        <v>0</v>
      </c>
      <c r="AB137" s="159">
        <v>2580</v>
      </c>
      <c r="AC137" s="159">
        <v>14438</v>
      </c>
      <c r="AD137" s="159">
        <v>420</v>
      </c>
      <c r="AE137" s="159">
        <v>630</v>
      </c>
      <c r="AF137" s="161">
        <v>0</v>
      </c>
      <c r="AG137" s="203">
        <v>0</v>
      </c>
      <c r="AH137" s="203">
        <v>0</v>
      </c>
      <c r="AI137" s="203">
        <v>30</v>
      </c>
      <c r="AJ137" s="203">
        <v>0</v>
      </c>
      <c r="AK137" s="203">
        <v>0</v>
      </c>
      <c r="AL137" s="203">
        <v>0</v>
      </c>
      <c r="AM137" s="203">
        <v>1380</v>
      </c>
      <c r="AN137" s="203">
        <v>2190</v>
      </c>
      <c r="AO137" s="203">
        <v>8085</v>
      </c>
      <c r="AP137" s="203">
        <v>2790</v>
      </c>
      <c r="AQ137" s="203">
        <v>1260</v>
      </c>
      <c r="AR137" s="203">
        <v>2363</v>
      </c>
      <c r="AS137" s="160">
        <v>0</v>
      </c>
      <c r="AT137" s="203">
        <v>0</v>
      </c>
      <c r="AU137" s="203">
        <v>30</v>
      </c>
      <c r="AV137" s="203">
        <v>0</v>
      </c>
      <c r="AW137" s="203">
        <v>0</v>
      </c>
      <c r="AX137" s="203">
        <v>0</v>
      </c>
      <c r="AY137" s="203">
        <v>3750</v>
      </c>
      <c r="AZ137" s="203">
        <v>2640</v>
      </c>
      <c r="BA137" s="203">
        <v>6105</v>
      </c>
      <c r="BB137" s="203">
        <v>2580</v>
      </c>
      <c r="BC137" s="203">
        <v>630</v>
      </c>
      <c r="BD137" s="203">
        <v>2363</v>
      </c>
      <c r="BE137" s="162">
        <v>5267451.6704627108</v>
      </c>
      <c r="BF137" s="203">
        <v>3</v>
      </c>
      <c r="BG137" s="203">
        <v>390</v>
      </c>
      <c r="BH137" s="217">
        <v>13506.286334519771</v>
      </c>
      <c r="BI137" s="217">
        <v>685536.63578782009</v>
      </c>
      <c r="BJ137" s="203">
        <v>5</v>
      </c>
      <c r="BK137" s="203">
        <v>240</v>
      </c>
      <c r="BL137" s="217">
        <v>2856.402649115917</v>
      </c>
      <c r="BM137" s="217">
        <v>0</v>
      </c>
      <c r="BN137" s="203">
        <v>0</v>
      </c>
      <c r="BO137" s="203">
        <v>0</v>
      </c>
      <c r="BP137" s="307" t="s">
        <v>687</v>
      </c>
    </row>
    <row r="138" spans="1:68" x14ac:dyDescent="0.45">
      <c r="A138">
        <v>880</v>
      </c>
      <c r="B138" t="s">
        <v>132</v>
      </c>
      <c r="C138" s="238" t="s">
        <v>566</v>
      </c>
      <c r="D138" s="280">
        <v>25894926.670000002</v>
      </c>
      <c r="E138" s="203">
        <v>8785</v>
      </c>
      <c r="F138" s="282">
        <v>10012</v>
      </c>
      <c r="G138" s="286">
        <v>0.13966989186112691</v>
      </c>
      <c r="H138" s="160">
        <v>9678</v>
      </c>
      <c r="I138" s="159">
        <v>10430</v>
      </c>
      <c r="J138" s="159">
        <v>60</v>
      </c>
      <c r="K138" s="159">
        <v>180</v>
      </c>
      <c r="L138" s="159">
        <v>660</v>
      </c>
      <c r="M138" s="171">
        <v>6.3177533097190902E-2</v>
      </c>
      <c r="N138" s="270">
        <v>9981</v>
      </c>
      <c r="O138" s="273">
        <v>10027</v>
      </c>
      <c r="P138" s="274">
        <v>4.6087566376114596E-3</v>
      </c>
      <c r="Q138" s="273">
        <v>10340</v>
      </c>
      <c r="R138" s="278">
        <v>3.5968339845706798E-2</v>
      </c>
      <c r="S138" s="265">
        <v>92.5</v>
      </c>
      <c r="T138" s="265">
        <v>4.5999999999999996</v>
      </c>
      <c r="U138" s="265">
        <v>1.2</v>
      </c>
      <c r="V138" s="265">
        <v>98.3</v>
      </c>
      <c r="W138" s="160">
        <v>0</v>
      </c>
      <c r="X138" s="159">
        <v>0</v>
      </c>
      <c r="Y138" s="159">
        <v>0</v>
      </c>
      <c r="Z138" s="159">
        <v>0</v>
      </c>
      <c r="AA138" s="159">
        <v>0</v>
      </c>
      <c r="AB138" s="159">
        <v>1365</v>
      </c>
      <c r="AC138" s="159">
        <v>7385</v>
      </c>
      <c r="AD138" s="159">
        <v>1680</v>
      </c>
      <c r="AE138" s="159">
        <v>0</v>
      </c>
      <c r="AF138" s="161">
        <v>0</v>
      </c>
      <c r="AG138" s="203">
        <v>0</v>
      </c>
      <c r="AH138" s="203">
        <v>0</v>
      </c>
      <c r="AI138" s="203">
        <v>0</v>
      </c>
      <c r="AJ138" s="203">
        <v>0</v>
      </c>
      <c r="AK138" s="203">
        <v>0</v>
      </c>
      <c r="AL138" s="203">
        <v>0</v>
      </c>
      <c r="AM138" s="203">
        <v>1785</v>
      </c>
      <c r="AN138" s="203">
        <v>1680</v>
      </c>
      <c r="AO138" s="203">
        <v>6020</v>
      </c>
      <c r="AP138" s="203">
        <v>735</v>
      </c>
      <c r="AQ138" s="203">
        <v>210</v>
      </c>
      <c r="AR138" s="203">
        <v>0</v>
      </c>
      <c r="AS138" s="160">
        <v>0</v>
      </c>
      <c r="AT138" s="203">
        <v>0</v>
      </c>
      <c r="AU138" s="203">
        <v>0</v>
      </c>
      <c r="AV138" s="203">
        <v>0</v>
      </c>
      <c r="AW138" s="203">
        <v>0</v>
      </c>
      <c r="AX138" s="203">
        <v>0</v>
      </c>
      <c r="AY138" s="203">
        <v>2275</v>
      </c>
      <c r="AZ138" s="203">
        <v>1680</v>
      </c>
      <c r="BA138" s="203">
        <v>4375</v>
      </c>
      <c r="BB138" s="203">
        <v>1890</v>
      </c>
      <c r="BC138" s="203">
        <v>210</v>
      </c>
      <c r="BD138" s="203">
        <v>0</v>
      </c>
      <c r="BE138" s="162">
        <v>3450711.983649726</v>
      </c>
      <c r="BF138" s="203">
        <v>1</v>
      </c>
      <c r="BG138" s="203">
        <v>210</v>
      </c>
      <c r="BH138" s="217">
        <v>16431.961826903458</v>
      </c>
      <c r="BI138" s="217">
        <v>0</v>
      </c>
      <c r="BJ138" s="203">
        <v>0</v>
      </c>
      <c r="BK138" s="203">
        <v>0</v>
      </c>
      <c r="BL138" s="217" t="s">
        <v>687</v>
      </c>
      <c r="BM138" s="217">
        <v>0</v>
      </c>
      <c r="BN138" s="203">
        <v>0</v>
      </c>
      <c r="BO138" s="203">
        <v>0</v>
      </c>
      <c r="BP138" s="307" t="s">
        <v>687</v>
      </c>
    </row>
    <row r="139" spans="1:68" x14ac:dyDescent="0.45">
      <c r="A139">
        <v>211</v>
      </c>
      <c r="B139" t="s">
        <v>133</v>
      </c>
      <c r="C139" s="238" t="s">
        <v>571</v>
      </c>
      <c r="D139" s="280">
        <v>88102446.469999999</v>
      </c>
      <c r="E139" s="203">
        <v>20476</v>
      </c>
      <c r="F139" s="282">
        <v>23046</v>
      </c>
      <c r="G139" s="286">
        <v>0.12551279546786481</v>
      </c>
      <c r="H139" s="160">
        <v>21582</v>
      </c>
      <c r="I139" s="159">
        <v>26033</v>
      </c>
      <c r="J139" s="159">
        <v>10</v>
      </c>
      <c r="K139" s="159">
        <v>120</v>
      </c>
      <c r="L139" s="159">
        <v>3540</v>
      </c>
      <c r="M139" s="171">
        <v>0.133706900379329</v>
      </c>
      <c r="N139" s="270">
        <v>23506</v>
      </c>
      <c r="O139" s="273">
        <v>23330</v>
      </c>
      <c r="P139" s="274">
        <v>-7.4874500127627003E-3</v>
      </c>
      <c r="Q139" s="273">
        <v>24020</v>
      </c>
      <c r="R139" s="278">
        <v>2.1866757423636501E-2</v>
      </c>
      <c r="S139" s="265">
        <v>91.7</v>
      </c>
      <c r="T139" s="265">
        <v>4.5</v>
      </c>
      <c r="U139" s="265">
        <v>1.3</v>
      </c>
      <c r="V139" s="265">
        <v>97.5</v>
      </c>
      <c r="W139" s="160">
        <v>0</v>
      </c>
      <c r="X139" s="159">
        <v>0</v>
      </c>
      <c r="Y139" s="159">
        <v>0</v>
      </c>
      <c r="Z139" s="159">
        <v>0</v>
      </c>
      <c r="AA139" s="159">
        <v>0</v>
      </c>
      <c r="AB139" s="159">
        <v>8635</v>
      </c>
      <c r="AC139" s="159">
        <v>17608</v>
      </c>
      <c r="AD139" s="159">
        <v>210</v>
      </c>
      <c r="AE139" s="159">
        <v>0</v>
      </c>
      <c r="AF139" s="161">
        <v>0</v>
      </c>
      <c r="AG139" s="203">
        <v>0</v>
      </c>
      <c r="AH139" s="203">
        <v>0</v>
      </c>
      <c r="AI139" s="203">
        <v>0</v>
      </c>
      <c r="AJ139" s="203">
        <v>0</v>
      </c>
      <c r="AK139" s="203">
        <v>0</v>
      </c>
      <c r="AL139" s="203">
        <v>0</v>
      </c>
      <c r="AM139" s="203">
        <v>7705</v>
      </c>
      <c r="AN139" s="203">
        <v>2205</v>
      </c>
      <c r="AO139" s="203">
        <v>12338</v>
      </c>
      <c r="AP139" s="203">
        <v>2779</v>
      </c>
      <c r="AQ139" s="203">
        <v>0</v>
      </c>
      <c r="AR139" s="203">
        <v>1426</v>
      </c>
      <c r="AS139" s="160">
        <v>0</v>
      </c>
      <c r="AT139" s="203">
        <v>0</v>
      </c>
      <c r="AU139" s="203">
        <v>0</v>
      </c>
      <c r="AV139" s="203">
        <v>0</v>
      </c>
      <c r="AW139" s="203">
        <v>0</v>
      </c>
      <c r="AX139" s="203">
        <v>0</v>
      </c>
      <c r="AY139" s="203">
        <v>5363</v>
      </c>
      <c r="AZ139" s="203">
        <v>8598</v>
      </c>
      <c r="BA139" s="203">
        <v>11066</v>
      </c>
      <c r="BB139" s="203">
        <v>0</v>
      </c>
      <c r="BC139" s="203">
        <v>0</v>
      </c>
      <c r="BD139" s="203">
        <v>1426</v>
      </c>
      <c r="BE139" s="162">
        <v>5422076.06519874</v>
      </c>
      <c r="BF139" s="203">
        <v>1</v>
      </c>
      <c r="BG139" s="203">
        <v>472</v>
      </c>
      <c r="BH139" s="217">
        <v>11487.449290675297</v>
      </c>
      <c r="BI139" s="217">
        <v>0</v>
      </c>
      <c r="BJ139" s="203">
        <v>0</v>
      </c>
      <c r="BK139" s="203">
        <v>0</v>
      </c>
      <c r="BL139" s="217" t="s">
        <v>687</v>
      </c>
      <c r="BM139" s="217">
        <v>0</v>
      </c>
      <c r="BN139" s="203">
        <v>0</v>
      </c>
      <c r="BO139" s="203">
        <v>0</v>
      </c>
      <c r="BP139" s="307" t="s">
        <v>687</v>
      </c>
    </row>
    <row r="140" spans="1:68" x14ac:dyDescent="0.45">
      <c r="A140">
        <v>358</v>
      </c>
      <c r="B140" t="s">
        <v>134</v>
      </c>
      <c r="C140" s="238" t="s">
        <v>569</v>
      </c>
      <c r="D140" s="280">
        <v>77896483.060000002</v>
      </c>
      <c r="E140" s="203">
        <v>17480</v>
      </c>
      <c r="F140" s="282">
        <v>21126</v>
      </c>
      <c r="G140" s="286">
        <v>0.20858123569794051</v>
      </c>
      <c r="H140" s="160">
        <v>18224</v>
      </c>
      <c r="I140" s="159">
        <v>21587</v>
      </c>
      <c r="J140" s="159">
        <v>175</v>
      </c>
      <c r="K140" s="159">
        <v>330</v>
      </c>
      <c r="L140" s="159">
        <v>970</v>
      </c>
      <c r="M140" s="171">
        <v>4.44716882313059E-2</v>
      </c>
      <c r="N140" s="270">
        <v>21083</v>
      </c>
      <c r="O140" s="273">
        <v>21053</v>
      </c>
      <c r="P140" s="274">
        <v>-1.42294739837784E-3</v>
      </c>
      <c r="Q140" s="273">
        <v>21348</v>
      </c>
      <c r="R140" s="278">
        <v>1.2569368685670899E-2</v>
      </c>
      <c r="S140" s="265">
        <v>89.6</v>
      </c>
      <c r="T140" s="265">
        <v>5.5</v>
      </c>
      <c r="U140" s="265">
        <v>1.9</v>
      </c>
      <c r="V140" s="265">
        <v>97</v>
      </c>
      <c r="W140" s="160">
        <v>187</v>
      </c>
      <c r="X140" s="159">
        <v>30</v>
      </c>
      <c r="Y140" s="159">
        <v>0</v>
      </c>
      <c r="Z140" s="159">
        <v>0</v>
      </c>
      <c r="AA140" s="159">
        <v>0</v>
      </c>
      <c r="AB140" s="159">
        <v>9724</v>
      </c>
      <c r="AC140" s="159">
        <v>10736</v>
      </c>
      <c r="AD140" s="159">
        <v>280</v>
      </c>
      <c r="AE140" s="159">
        <v>0</v>
      </c>
      <c r="AF140" s="161">
        <v>0</v>
      </c>
      <c r="AG140" s="203">
        <v>30</v>
      </c>
      <c r="AH140" s="203">
        <v>187</v>
      </c>
      <c r="AI140" s="203">
        <v>0</v>
      </c>
      <c r="AJ140" s="203">
        <v>0</v>
      </c>
      <c r="AK140" s="203">
        <v>0</v>
      </c>
      <c r="AL140" s="203">
        <v>0</v>
      </c>
      <c r="AM140" s="203">
        <v>5156</v>
      </c>
      <c r="AN140" s="203">
        <v>6556</v>
      </c>
      <c r="AO140" s="203">
        <v>7798</v>
      </c>
      <c r="AP140" s="203">
        <v>315</v>
      </c>
      <c r="AQ140" s="203">
        <v>0</v>
      </c>
      <c r="AR140" s="203">
        <v>915</v>
      </c>
      <c r="AS140" s="160">
        <v>30</v>
      </c>
      <c r="AT140" s="203">
        <v>187</v>
      </c>
      <c r="AU140" s="203">
        <v>0</v>
      </c>
      <c r="AV140" s="203">
        <v>0</v>
      </c>
      <c r="AW140" s="203">
        <v>0</v>
      </c>
      <c r="AX140" s="203">
        <v>0</v>
      </c>
      <c r="AY140" s="203">
        <v>6852</v>
      </c>
      <c r="AZ140" s="203">
        <v>5731</v>
      </c>
      <c r="BA140" s="203">
        <v>6682</v>
      </c>
      <c r="BB140" s="203">
        <v>560</v>
      </c>
      <c r="BC140" s="203">
        <v>0</v>
      </c>
      <c r="BD140" s="203">
        <v>915</v>
      </c>
      <c r="BE140" s="162">
        <v>13219295.489523852</v>
      </c>
      <c r="BF140" s="203">
        <v>6</v>
      </c>
      <c r="BG140" s="203">
        <v>840</v>
      </c>
      <c r="BH140" s="217">
        <v>15737.256535147442</v>
      </c>
      <c r="BI140" s="217">
        <v>0</v>
      </c>
      <c r="BJ140" s="203">
        <v>0</v>
      </c>
      <c r="BK140" s="203">
        <v>0</v>
      </c>
      <c r="BL140" s="217" t="s">
        <v>687</v>
      </c>
      <c r="BM140" s="217">
        <v>0</v>
      </c>
      <c r="BN140" s="203">
        <v>0</v>
      </c>
      <c r="BO140" s="203">
        <v>0</v>
      </c>
      <c r="BP140" s="307" t="s">
        <v>687</v>
      </c>
    </row>
    <row r="141" spans="1:68" x14ac:dyDescent="0.45">
      <c r="A141">
        <v>384</v>
      </c>
      <c r="B141" t="s">
        <v>135</v>
      </c>
      <c r="C141" s="238" t="s">
        <v>565</v>
      </c>
      <c r="D141" s="280">
        <v>44317155.890000001</v>
      </c>
      <c r="E141" s="203">
        <v>24194</v>
      </c>
      <c r="F141" s="282">
        <v>30339</v>
      </c>
      <c r="G141" s="286">
        <v>0.25398859221294534</v>
      </c>
      <c r="H141" s="160">
        <v>28918</v>
      </c>
      <c r="I141" s="159">
        <v>31634</v>
      </c>
      <c r="J141" s="159">
        <v>169</v>
      </c>
      <c r="K141" s="159">
        <v>230</v>
      </c>
      <c r="L141" s="159">
        <v>1690</v>
      </c>
      <c r="M141" s="171">
        <v>5.3124629747782599E-2</v>
      </c>
      <c r="N141" s="270">
        <v>28949</v>
      </c>
      <c r="O141" s="273">
        <v>29691</v>
      </c>
      <c r="P141" s="274">
        <v>2.56312826004352E-2</v>
      </c>
      <c r="Q141" s="273">
        <v>27579</v>
      </c>
      <c r="R141" s="278">
        <v>-4.7324605340426297E-2</v>
      </c>
      <c r="S141" s="265">
        <v>92.2</v>
      </c>
      <c r="T141" s="265">
        <v>4.0999999999999996</v>
      </c>
      <c r="U141" s="265">
        <v>0.6</v>
      </c>
      <c r="V141" s="265">
        <v>97</v>
      </c>
      <c r="W141" s="160">
        <v>103</v>
      </c>
      <c r="X141" s="159">
        <v>242</v>
      </c>
      <c r="Y141" s="159">
        <v>0</v>
      </c>
      <c r="Z141" s="159">
        <v>0</v>
      </c>
      <c r="AA141" s="159">
        <v>0</v>
      </c>
      <c r="AB141" s="159">
        <v>4199</v>
      </c>
      <c r="AC141" s="159">
        <v>19760</v>
      </c>
      <c r="AD141" s="159">
        <v>5744</v>
      </c>
      <c r="AE141" s="159">
        <v>210</v>
      </c>
      <c r="AF141" s="161">
        <v>0</v>
      </c>
      <c r="AG141" s="203">
        <v>0</v>
      </c>
      <c r="AH141" s="203">
        <v>0</v>
      </c>
      <c r="AI141" s="203">
        <v>310</v>
      </c>
      <c r="AJ141" s="203">
        <v>0</v>
      </c>
      <c r="AK141" s="203">
        <v>0</v>
      </c>
      <c r="AL141" s="203">
        <v>35</v>
      </c>
      <c r="AM141" s="203">
        <v>1420</v>
      </c>
      <c r="AN141" s="203">
        <v>1890</v>
      </c>
      <c r="AO141" s="203">
        <v>18074</v>
      </c>
      <c r="AP141" s="203">
        <v>2424</v>
      </c>
      <c r="AQ141" s="203">
        <v>3978</v>
      </c>
      <c r="AR141" s="203">
        <v>2127</v>
      </c>
      <c r="AS141" s="160">
        <v>90</v>
      </c>
      <c r="AT141" s="203">
        <v>30</v>
      </c>
      <c r="AU141" s="203">
        <v>190</v>
      </c>
      <c r="AV141" s="203">
        <v>0</v>
      </c>
      <c r="AW141" s="203">
        <v>0</v>
      </c>
      <c r="AX141" s="203">
        <v>35</v>
      </c>
      <c r="AY141" s="203">
        <v>2108</v>
      </c>
      <c r="AZ141" s="203">
        <v>4108</v>
      </c>
      <c r="BA141" s="203">
        <v>15043</v>
      </c>
      <c r="BB141" s="203">
        <v>3713</v>
      </c>
      <c r="BC141" s="203">
        <v>2814</v>
      </c>
      <c r="BD141" s="203">
        <v>2127</v>
      </c>
      <c r="BE141" s="162">
        <v>13707024.073070763</v>
      </c>
      <c r="BF141" s="203">
        <v>7</v>
      </c>
      <c r="BG141" s="203">
        <v>838</v>
      </c>
      <c r="BH141" s="217">
        <v>16356.830636122628</v>
      </c>
      <c r="BI141" s="217">
        <v>621230.47919959214</v>
      </c>
      <c r="BJ141" s="203">
        <v>4</v>
      </c>
      <c r="BK141" s="203">
        <v>60</v>
      </c>
      <c r="BL141" s="217">
        <v>10353.841319993202</v>
      </c>
      <c r="BM141" s="217">
        <v>0</v>
      </c>
      <c r="BN141" s="203">
        <v>0</v>
      </c>
      <c r="BO141" s="203">
        <v>0</v>
      </c>
      <c r="BP141" s="307" t="s">
        <v>687</v>
      </c>
    </row>
    <row r="142" spans="1:68" x14ac:dyDescent="0.45">
      <c r="A142">
        <v>335</v>
      </c>
      <c r="B142" t="s">
        <v>136</v>
      </c>
      <c r="C142" s="238" t="s">
        <v>568</v>
      </c>
      <c r="D142" s="280">
        <v>56636835.619999997</v>
      </c>
      <c r="E142" s="203">
        <v>22687</v>
      </c>
      <c r="F142" s="282">
        <v>26890</v>
      </c>
      <c r="G142" s="286">
        <v>0.18526028121831886</v>
      </c>
      <c r="H142" s="160">
        <v>24986</v>
      </c>
      <c r="I142" s="159">
        <v>27034</v>
      </c>
      <c r="J142" s="159">
        <v>660</v>
      </c>
      <c r="K142" s="159">
        <v>430</v>
      </c>
      <c r="L142" s="159">
        <v>1650</v>
      </c>
      <c r="M142" s="171">
        <v>5.8806277918878602E-2</v>
      </c>
      <c r="N142" s="270">
        <v>26625</v>
      </c>
      <c r="O142" s="273">
        <v>26549</v>
      </c>
      <c r="P142" s="274">
        <v>-2.8544600938967099E-3</v>
      </c>
      <c r="Q142" s="273">
        <v>25965</v>
      </c>
      <c r="R142" s="278">
        <v>-2.47887323943662E-2</v>
      </c>
      <c r="S142" s="265">
        <v>89.5</v>
      </c>
      <c r="T142" s="265">
        <v>5.5</v>
      </c>
      <c r="U142" s="265">
        <v>1.7</v>
      </c>
      <c r="V142" s="265">
        <v>96.7</v>
      </c>
      <c r="W142" s="160">
        <v>180</v>
      </c>
      <c r="X142" s="159">
        <v>167</v>
      </c>
      <c r="Y142" s="159">
        <v>0</v>
      </c>
      <c r="Z142" s="159">
        <v>0</v>
      </c>
      <c r="AA142" s="159">
        <v>0</v>
      </c>
      <c r="AB142" s="159">
        <v>3735</v>
      </c>
      <c r="AC142" s="159">
        <v>17972</v>
      </c>
      <c r="AD142" s="159">
        <v>4020</v>
      </c>
      <c r="AE142" s="159">
        <v>840</v>
      </c>
      <c r="AF142" s="161">
        <v>0</v>
      </c>
      <c r="AG142" s="203">
        <v>0</v>
      </c>
      <c r="AH142" s="203">
        <v>105</v>
      </c>
      <c r="AI142" s="203">
        <v>170</v>
      </c>
      <c r="AJ142" s="203">
        <v>45</v>
      </c>
      <c r="AK142" s="203">
        <v>0</v>
      </c>
      <c r="AL142" s="203">
        <v>27</v>
      </c>
      <c r="AM142" s="203">
        <v>1775</v>
      </c>
      <c r="AN142" s="203">
        <v>3288</v>
      </c>
      <c r="AO142" s="203">
        <v>13431</v>
      </c>
      <c r="AP142" s="203">
        <v>3720</v>
      </c>
      <c r="AQ142" s="203">
        <v>2070</v>
      </c>
      <c r="AR142" s="203">
        <v>2283</v>
      </c>
      <c r="AS142" s="160">
        <v>95</v>
      </c>
      <c r="AT142" s="203">
        <v>180</v>
      </c>
      <c r="AU142" s="203">
        <v>45</v>
      </c>
      <c r="AV142" s="203">
        <v>0</v>
      </c>
      <c r="AW142" s="203">
        <v>0</v>
      </c>
      <c r="AX142" s="203">
        <v>27</v>
      </c>
      <c r="AY142" s="203">
        <v>2980</v>
      </c>
      <c r="AZ142" s="203">
        <v>3678</v>
      </c>
      <c r="BA142" s="203">
        <v>12991</v>
      </c>
      <c r="BB142" s="203">
        <v>3480</v>
      </c>
      <c r="BC142" s="203">
        <v>1155</v>
      </c>
      <c r="BD142" s="203">
        <v>2283</v>
      </c>
      <c r="BE142" s="162">
        <v>6121507.9977904968</v>
      </c>
      <c r="BF142" s="203">
        <v>2</v>
      </c>
      <c r="BG142" s="203">
        <v>236</v>
      </c>
      <c r="BH142" s="217">
        <v>25938.59321097668</v>
      </c>
      <c r="BI142" s="217">
        <v>0</v>
      </c>
      <c r="BJ142" s="203">
        <v>0</v>
      </c>
      <c r="BK142" s="203">
        <v>0</v>
      </c>
      <c r="BL142" s="217" t="s">
        <v>687</v>
      </c>
      <c r="BM142" s="217">
        <v>0</v>
      </c>
      <c r="BN142" s="203">
        <v>0</v>
      </c>
      <c r="BO142" s="203">
        <v>0</v>
      </c>
      <c r="BP142" s="307" t="s">
        <v>687</v>
      </c>
    </row>
    <row r="143" spans="1:68" x14ac:dyDescent="0.45">
      <c r="A143">
        <v>320</v>
      </c>
      <c r="B143" t="s">
        <v>137</v>
      </c>
      <c r="C143" s="238" t="s">
        <v>564</v>
      </c>
      <c r="D143" s="280">
        <v>210347814.08000001</v>
      </c>
      <c r="E143" s="203">
        <v>20362</v>
      </c>
      <c r="F143" s="282">
        <v>25434</v>
      </c>
      <c r="G143" s="286">
        <v>0.24909144484824675</v>
      </c>
      <c r="H143" s="160">
        <v>20046</v>
      </c>
      <c r="I143" s="159">
        <v>26550</v>
      </c>
      <c r="J143" s="159">
        <v>0</v>
      </c>
      <c r="K143" s="159">
        <v>1010</v>
      </c>
      <c r="L143" s="159">
        <v>3390</v>
      </c>
      <c r="M143" s="171">
        <v>0.12182668068327999</v>
      </c>
      <c r="N143" s="270">
        <v>24204</v>
      </c>
      <c r="O143" s="273">
        <v>24439</v>
      </c>
      <c r="P143" s="274">
        <v>9.7091389852916894E-3</v>
      </c>
      <c r="Q143" s="273">
        <v>25736</v>
      </c>
      <c r="R143" s="278">
        <v>6.3295323087093E-2</v>
      </c>
      <c r="S143" s="265">
        <v>89.5</v>
      </c>
      <c r="T143" s="265">
        <v>6.7</v>
      </c>
      <c r="U143" s="265">
        <v>1.3</v>
      </c>
      <c r="V143" s="265">
        <v>97.5</v>
      </c>
      <c r="W143" s="160">
        <v>0</v>
      </c>
      <c r="X143" s="159">
        <v>120</v>
      </c>
      <c r="Y143" s="159">
        <v>0</v>
      </c>
      <c r="Z143" s="159">
        <v>0</v>
      </c>
      <c r="AA143" s="159">
        <v>0</v>
      </c>
      <c r="AB143" s="159">
        <v>7440</v>
      </c>
      <c r="AC143" s="159">
        <v>19410</v>
      </c>
      <c r="AD143" s="159">
        <v>0</v>
      </c>
      <c r="AE143" s="159">
        <v>420</v>
      </c>
      <c r="AF143" s="161">
        <v>0</v>
      </c>
      <c r="AG143" s="203">
        <v>0</v>
      </c>
      <c r="AH143" s="203">
        <v>30</v>
      </c>
      <c r="AI143" s="203">
        <v>90</v>
      </c>
      <c r="AJ143" s="203">
        <v>0</v>
      </c>
      <c r="AK143" s="203">
        <v>0</v>
      </c>
      <c r="AL143" s="203">
        <v>0</v>
      </c>
      <c r="AM143" s="203">
        <v>5940</v>
      </c>
      <c r="AN143" s="203">
        <v>5550</v>
      </c>
      <c r="AO143" s="203">
        <v>10890</v>
      </c>
      <c r="AP143" s="203">
        <v>2340</v>
      </c>
      <c r="AQ143" s="203">
        <v>630</v>
      </c>
      <c r="AR143" s="203">
        <v>1920</v>
      </c>
      <c r="AS143" s="160">
        <v>30</v>
      </c>
      <c r="AT143" s="203">
        <v>0</v>
      </c>
      <c r="AU143" s="203">
        <v>90</v>
      </c>
      <c r="AV143" s="203">
        <v>0</v>
      </c>
      <c r="AW143" s="203">
        <v>0</v>
      </c>
      <c r="AX143" s="203">
        <v>0</v>
      </c>
      <c r="AY143" s="203">
        <v>8190</v>
      </c>
      <c r="AZ143" s="203">
        <v>6210</v>
      </c>
      <c r="BA143" s="203">
        <v>8700</v>
      </c>
      <c r="BB143" s="203">
        <v>2250</v>
      </c>
      <c r="BC143" s="203">
        <v>0</v>
      </c>
      <c r="BD143" s="203">
        <v>1920</v>
      </c>
      <c r="BE143" s="162">
        <v>13662440.171856904</v>
      </c>
      <c r="BF143" s="203">
        <v>9</v>
      </c>
      <c r="BG143" s="203">
        <v>630</v>
      </c>
      <c r="BH143" s="217">
        <v>21686.412971201436</v>
      </c>
      <c r="BI143" s="217">
        <v>393367.56463255256</v>
      </c>
      <c r="BJ143" s="203">
        <v>2</v>
      </c>
      <c r="BK143" s="203">
        <v>60</v>
      </c>
      <c r="BL143" s="217">
        <v>6556.1260772092091</v>
      </c>
      <c r="BM143" s="217">
        <v>0</v>
      </c>
      <c r="BN143" s="203">
        <v>0</v>
      </c>
      <c r="BO143" s="203">
        <v>0</v>
      </c>
      <c r="BP143" s="307" t="s">
        <v>687</v>
      </c>
    </row>
    <row r="144" spans="1:68" x14ac:dyDescent="0.45">
      <c r="A144">
        <v>212</v>
      </c>
      <c r="B144" t="s">
        <v>138</v>
      </c>
      <c r="C144" s="238" t="s">
        <v>571</v>
      </c>
      <c r="D144" s="280">
        <v>62105498.010000005</v>
      </c>
      <c r="E144" s="203">
        <v>15642</v>
      </c>
      <c r="F144" s="282">
        <v>18955</v>
      </c>
      <c r="G144" s="286">
        <v>0.21180155990282573</v>
      </c>
      <c r="H144" s="160">
        <v>16922</v>
      </c>
      <c r="I144" s="159">
        <v>23059</v>
      </c>
      <c r="J144" s="159">
        <v>225</v>
      </c>
      <c r="K144" s="159">
        <v>100</v>
      </c>
      <c r="L144" s="159">
        <v>4430</v>
      </c>
      <c r="M144" s="171">
        <v>0.19026196891366501</v>
      </c>
      <c r="N144" s="270">
        <v>18626</v>
      </c>
      <c r="O144" s="273">
        <v>18750</v>
      </c>
      <c r="P144" s="274">
        <v>6.65736067862128E-3</v>
      </c>
      <c r="Q144" s="273">
        <v>19448</v>
      </c>
      <c r="R144" s="278">
        <v>4.4131858692150798E-2</v>
      </c>
      <c r="S144" s="265">
        <v>75.400000000000006</v>
      </c>
      <c r="T144" s="265">
        <v>9.6</v>
      </c>
      <c r="U144" s="265">
        <v>5.4</v>
      </c>
      <c r="V144" s="265">
        <v>90.5</v>
      </c>
      <c r="W144" s="160">
        <v>0</v>
      </c>
      <c r="X144" s="159">
        <v>0</v>
      </c>
      <c r="Y144" s="159">
        <v>0</v>
      </c>
      <c r="Z144" s="159">
        <v>0</v>
      </c>
      <c r="AA144" s="159">
        <v>0</v>
      </c>
      <c r="AB144" s="159">
        <v>7680</v>
      </c>
      <c r="AC144" s="159">
        <v>13269</v>
      </c>
      <c r="AD144" s="159">
        <v>839</v>
      </c>
      <c r="AE144" s="159">
        <v>0</v>
      </c>
      <c r="AF144" s="161">
        <v>0</v>
      </c>
      <c r="AG144" s="203">
        <v>0</v>
      </c>
      <c r="AH144" s="203">
        <v>0</v>
      </c>
      <c r="AI144" s="203">
        <v>0</v>
      </c>
      <c r="AJ144" s="203">
        <v>0</v>
      </c>
      <c r="AK144" s="203">
        <v>0</v>
      </c>
      <c r="AL144" s="203">
        <v>0</v>
      </c>
      <c r="AM144" s="203">
        <v>1740</v>
      </c>
      <c r="AN144" s="203">
        <v>4743</v>
      </c>
      <c r="AO144" s="203">
        <v>11679</v>
      </c>
      <c r="AP144" s="203">
        <v>840</v>
      </c>
      <c r="AQ144" s="203">
        <v>420</v>
      </c>
      <c r="AR144" s="203">
        <v>2366</v>
      </c>
      <c r="AS144" s="160">
        <v>0</v>
      </c>
      <c r="AT144" s="203">
        <v>0</v>
      </c>
      <c r="AU144" s="203">
        <v>0</v>
      </c>
      <c r="AV144" s="203">
        <v>0</v>
      </c>
      <c r="AW144" s="203">
        <v>0</v>
      </c>
      <c r="AX144" s="203">
        <v>0</v>
      </c>
      <c r="AY144" s="203">
        <v>2572</v>
      </c>
      <c r="AZ144" s="203">
        <v>3082</v>
      </c>
      <c r="BA144" s="203">
        <v>12523</v>
      </c>
      <c r="BB144" s="203">
        <v>1245</v>
      </c>
      <c r="BC144" s="203">
        <v>0</v>
      </c>
      <c r="BD144" s="203">
        <v>2366</v>
      </c>
      <c r="BE144" s="162">
        <v>11953513.527005574</v>
      </c>
      <c r="BF144" s="203">
        <v>2</v>
      </c>
      <c r="BG144" s="203">
        <v>450</v>
      </c>
      <c r="BH144" s="217">
        <v>26563.36339334572</v>
      </c>
      <c r="BI144" s="217">
        <v>710406.61532199977</v>
      </c>
      <c r="BJ144" s="203">
        <v>3</v>
      </c>
      <c r="BK144" s="203">
        <v>75</v>
      </c>
      <c r="BL144" s="217">
        <v>9472.0882042933299</v>
      </c>
      <c r="BM144" s="217">
        <v>10508550.613631381</v>
      </c>
      <c r="BN144" s="203">
        <v>2</v>
      </c>
      <c r="BO144" s="203">
        <v>892</v>
      </c>
      <c r="BP144" s="307">
        <v>11780.886338151771</v>
      </c>
    </row>
    <row r="145" spans="1:68" x14ac:dyDescent="0.45">
      <c r="A145">
        <v>877</v>
      </c>
      <c r="B145" t="s">
        <v>139</v>
      </c>
      <c r="C145" s="238" t="s">
        <v>569</v>
      </c>
      <c r="D145" s="280">
        <v>32212231.130000003</v>
      </c>
      <c r="E145" s="203">
        <v>16197</v>
      </c>
      <c r="F145" s="282">
        <v>17944</v>
      </c>
      <c r="G145" s="286">
        <v>0.10785948015064518</v>
      </c>
      <c r="H145" s="160">
        <v>18496</v>
      </c>
      <c r="I145" s="159">
        <v>19169</v>
      </c>
      <c r="J145" s="159">
        <v>525</v>
      </c>
      <c r="K145" s="159">
        <v>110</v>
      </c>
      <c r="L145" s="159">
        <v>1860</v>
      </c>
      <c r="M145" s="171">
        <v>9.4487058895589601E-2</v>
      </c>
      <c r="N145" s="270">
        <v>17875</v>
      </c>
      <c r="O145" s="273">
        <v>17984</v>
      </c>
      <c r="P145" s="274">
        <v>6.0979020979021002E-3</v>
      </c>
      <c r="Q145" s="273">
        <v>18971</v>
      </c>
      <c r="R145" s="278">
        <v>6.1314685314685299E-2</v>
      </c>
      <c r="S145" s="265">
        <v>90.7</v>
      </c>
      <c r="T145" s="265">
        <v>5</v>
      </c>
      <c r="U145" s="265">
        <v>1.9</v>
      </c>
      <c r="V145" s="265">
        <v>97.6</v>
      </c>
      <c r="W145" s="160">
        <v>0</v>
      </c>
      <c r="X145" s="159">
        <v>0</v>
      </c>
      <c r="Y145" s="159">
        <v>15</v>
      </c>
      <c r="Z145" s="159">
        <v>0</v>
      </c>
      <c r="AA145" s="159">
        <v>0</v>
      </c>
      <c r="AB145" s="159">
        <v>4639</v>
      </c>
      <c r="AC145" s="159">
        <v>13902</v>
      </c>
      <c r="AD145" s="159">
        <v>613</v>
      </c>
      <c r="AE145" s="159">
        <v>0</v>
      </c>
      <c r="AF145" s="161">
        <v>0</v>
      </c>
      <c r="AG145" s="203">
        <v>0</v>
      </c>
      <c r="AH145" s="203">
        <v>0</v>
      </c>
      <c r="AI145" s="203">
        <v>15</v>
      </c>
      <c r="AJ145" s="203">
        <v>0</v>
      </c>
      <c r="AK145" s="203">
        <v>0</v>
      </c>
      <c r="AL145" s="203">
        <v>0</v>
      </c>
      <c r="AM145" s="203">
        <v>1783</v>
      </c>
      <c r="AN145" s="203">
        <v>2163</v>
      </c>
      <c r="AO145" s="203">
        <v>14053</v>
      </c>
      <c r="AP145" s="203">
        <v>205</v>
      </c>
      <c r="AQ145" s="203">
        <v>238</v>
      </c>
      <c r="AR145" s="203">
        <v>712</v>
      </c>
      <c r="AS145" s="160">
        <v>0</v>
      </c>
      <c r="AT145" s="203">
        <v>0</v>
      </c>
      <c r="AU145" s="203">
        <v>15</v>
      </c>
      <c r="AV145" s="203">
        <v>0</v>
      </c>
      <c r="AW145" s="203">
        <v>0</v>
      </c>
      <c r="AX145" s="203">
        <v>0</v>
      </c>
      <c r="AY145" s="203">
        <v>2820</v>
      </c>
      <c r="AZ145" s="203">
        <v>2898</v>
      </c>
      <c r="BA145" s="203">
        <v>11907</v>
      </c>
      <c r="BB145" s="203">
        <v>612</v>
      </c>
      <c r="BC145" s="203">
        <v>205</v>
      </c>
      <c r="BD145" s="203">
        <v>712</v>
      </c>
      <c r="BE145" s="162">
        <v>8636373.01886517</v>
      </c>
      <c r="BF145" s="203">
        <v>4</v>
      </c>
      <c r="BG145" s="203">
        <v>525</v>
      </c>
      <c r="BH145" s="217">
        <v>16450.234321647942</v>
      </c>
      <c r="BI145" s="217">
        <v>40014.333492594349</v>
      </c>
      <c r="BJ145" s="203">
        <v>1</v>
      </c>
      <c r="BK145" s="203">
        <v>30</v>
      </c>
      <c r="BL145" s="217">
        <v>1333.8111164198117</v>
      </c>
      <c r="BM145" s="217">
        <v>0</v>
      </c>
      <c r="BN145" s="203">
        <v>0</v>
      </c>
      <c r="BO145" s="203">
        <v>0</v>
      </c>
      <c r="BP145" s="307" t="s">
        <v>687</v>
      </c>
    </row>
    <row r="146" spans="1:68" x14ac:dyDescent="0.45">
      <c r="A146">
        <v>937</v>
      </c>
      <c r="B146" t="s">
        <v>140</v>
      </c>
      <c r="C146" s="238" t="s">
        <v>568</v>
      </c>
      <c r="D146" s="280">
        <v>120349446.73</v>
      </c>
      <c r="E146" s="203">
        <v>38637</v>
      </c>
      <c r="F146" s="282">
        <v>47764</v>
      </c>
      <c r="G146" s="286">
        <v>0.23622434454020758</v>
      </c>
      <c r="H146" s="160">
        <v>43489</v>
      </c>
      <c r="I146" s="159">
        <v>49353</v>
      </c>
      <c r="J146" s="159">
        <v>945</v>
      </c>
      <c r="K146" s="159">
        <v>1300</v>
      </c>
      <c r="L146" s="159">
        <v>4050</v>
      </c>
      <c r="M146" s="171">
        <v>8.0100664374858105E-2</v>
      </c>
      <c r="N146" s="270">
        <v>44797</v>
      </c>
      <c r="O146" s="273">
        <v>46281</v>
      </c>
      <c r="P146" s="274">
        <v>3.3127218340513902E-2</v>
      </c>
      <c r="Q146" s="273">
        <v>46326</v>
      </c>
      <c r="R146" s="278">
        <v>3.4131749893966098E-2</v>
      </c>
      <c r="S146" s="265">
        <v>93.9</v>
      </c>
      <c r="T146" s="265">
        <v>4.2</v>
      </c>
      <c r="U146" s="265">
        <v>0.8</v>
      </c>
      <c r="V146" s="265">
        <v>98.9</v>
      </c>
      <c r="W146" s="160">
        <v>0</v>
      </c>
      <c r="X146" s="159">
        <v>433</v>
      </c>
      <c r="Y146" s="159">
        <v>0</v>
      </c>
      <c r="Z146" s="159">
        <v>0</v>
      </c>
      <c r="AA146" s="159">
        <v>210</v>
      </c>
      <c r="AB146" s="159">
        <v>7290</v>
      </c>
      <c r="AC146" s="159">
        <v>35267</v>
      </c>
      <c r="AD146" s="159">
        <v>4338</v>
      </c>
      <c r="AE146" s="159">
        <v>1500</v>
      </c>
      <c r="AF146" s="161">
        <v>210</v>
      </c>
      <c r="AG146" s="203">
        <v>0</v>
      </c>
      <c r="AH146" s="203">
        <v>0</v>
      </c>
      <c r="AI146" s="203">
        <v>555</v>
      </c>
      <c r="AJ146" s="203">
        <v>88</v>
      </c>
      <c r="AK146" s="203">
        <v>0</v>
      </c>
      <c r="AL146" s="203">
        <v>0</v>
      </c>
      <c r="AM146" s="203">
        <v>2761</v>
      </c>
      <c r="AN146" s="203">
        <v>4824</v>
      </c>
      <c r="AO146" s="203">
        <v>28382</v>
      </c>
      <c r="AP146" s="203">
        <v>2597</v>
      </c>
      <c r="AQ146" s="203">
        <v>3839</v>
      </c>
      <c r="AR146" s="203">
        <v>6202</v>
      </c>
      <c r="AS146" s="160">
        <v>0</v>
      </c>
      <c r="AT146" s="203">
        <v>180</v>
      </c>
      <c r="AU146" s="203">
        <v>193</v>
      </c>
      <c r="AV146" s="203">
        <v>60</v>
      </c>
      <c r="AW146" s="203">
        <v>210</v>
      </c>
      <c r="AX146" s="203">
        <v>0</v>
      </c>
      <c r="AY146" s="203">
        <v>1974</v>
      </c>
      <c r="AZ146" s="203">
        <v>4891</v>
      </c>
      <c r="BA146" s="203">
        <v>25558</v>
      </c>
      <c r="BB146" s="203">
        <v>5259</v>
      </c>
      <c r="BC146" s="203">
        <v>4721</v>
      </c>
      <c r="BD146" s="203">
        <v>6202</v>
      </c>
      <c r="BE146" s="162">
        <v>24220163.731148563</v>
      </c>
      <c r="BF146" s="203">
        <v>15</v>
      </c>
      <c r="BG146" s="203">
        <v>1569</v>
      </c>
      <c r="BH146" s="217">
        <v>15436.688165167981</v>
      </c>
      <c r="BI146" s="217">
        <v>349392.56448019459</v>
      </c>
      <c r="BJ146" s="203">
        <v>2</v>
      </c>
      <c r="BK146" s="203">
        <v>60</v>
      </c>
      <c r="BL146" s="217">
        <v>5823.209408003243</v>
      </c>
      <c r="BM146" s="217">
        <v>103223.39054617277</v>
      </c>
      <c r="BN146" s="203">
        <v>1</v>
      </c>
      <c r="BO146" s="203">
        <v>30</v>
      </c>
      <c r="BP146" s="307">
        <v>3440.7796848724256</v>
      </c>
    </row>
    <row r="147" spans="1:68" x14ac:dyDescent="0.45">
      <c r="A147">
        <v>869</v>
      </c>
      <c r="B147" t="s">
        <v>141</v>
      </c>
      <c r="C147" s="238" t="s">
        <v>570</v>
      </c>
      <c r="D147" s="280">
        <v>32047920.150000002</v>
      </c>
      <c r="E147" s="203">
        <v>11901</v>
      </c>
      <c r="F147" s="282">
        <v>12966</v>
      </c>
      <c r="G147" s="286">
        <v>8.9488278295941512E-2</v>
      </c>
      <c r="H147" s="160">
        <v>13041</v>
      </c>
      <c r="I147" s="159">
        <v>14499</v>
      </c>
      <c r="J147" s="159">
        <v>240</v>
      </c>
      <c r="K147" s="159">
        <v>50</v>
      </c>
      <c r="L147" s="159">
        <v>1820</v>
      </c>
      <c r="M147" s="171">
        <v>0.12336184335398</v>
      </c>
      <c r="N147" s="270">
        <v>13307</v>
      </c>
      <c r="O147" s="273">
        <v>13485</v>
      </c>
      <c r="P147" s="274">
        <v>1.33764184263921E-2</v>
      </c>
      <c r="Q147" s="273">
        <v>14016</v>
      </c>
      <c r="R147" s="278">
        <v>5.3280228451191097E-2</v>
      </c>
      <c r="S147" s="265">
        <v>94.4</v>
      </c>
      <c r="T147" s="265">
        <v>3.8</v>
      </c>
      <c r="U147" s="265">
        <v>0.9</v>
      </c>
      <c r="V147" s="265">
        <v>99.1</v>
      </c>
      <c r="W147" s="160">
        <v>15</v>
      </c>
      <c r="X147" s="159">
        <v>0</v>
      </c>
      <c r="Y147" s="159">
        <v>0</v>
      </c>
      <c r="Z147" s="159">
        <v>0</v>
      </c>
      <c r="AA147" s="159">
        <v>0</v>
      </c>
      <c r="AB147" s="159">
        <v>1255</v>
      </c>
      <c r="AC147" s="159">
        <v>11977</v>
      </c>
      <c r="AD147" s="159">
        <v>1043</v>
      </c>
      <c r="AE147" s="159">
        <v>0</v>
      </c>
      <c r="AF147" s="161">
        <v>0</v>
      </c>
      <c r="AG147" s="203">
        <v>0</v>
      </c>
      <c r="AH147" s="203">
        <v>0</v>
      </c>
      <c r="AI147" s="203">
        <v>15</v>
      </c>
      <c r="AJ147" s="203">
        <v>0</v>
      </c>
      <c r="AK147" s="203">
        <v>0</v>
      </c>
      <c r="AL147" s="203">
        <v>0</v>
      </c>
      <c r="AM147" s="203">
        <v>1346</v>
      </c>
      <c r="AN147" s="203">
        <v>1905</v>
      </c>
      <c r="AO147" s="203">
        <v>8521</v>
      </c>
      <c r="AP147" s="203">
        <v>659</v>
      </c>
      <c r="AQ147" s="203">
        <v>266</v>
      </c>
      <c r="AR147" s="203">
        <v>1578</v>
      </c>
      <c r="AS147" s="160">
        <v>0</v>
      </c>
      <c r="AT147" s="203">
        <v>0</v>
      </c>
      <c r="AU147" s="203">
        <v>0</v>
      </c>
      <c r="AV147" s="203">
        <v>15</v>
      </c>
      <c r="AW147" s="203">
        <v>0</v>
      </c>
      <c r="AX147" s="203">
        <v>0</v>
      </c>
      <c r="AY147" s="203">
        <v>730</v>
      </c>
      <c r="AZ147" s="203">
        <v>1390</v>
      </c>
      <c r="BA147" s="203">
        <v>7177</v>
      </c>
      <c r="BB147" s="203">
        <v>2429</v>
      </c>
      <c r="BC147" s="203">
        <v>971</v>
      </c>
      <c r="BD147" s="203">
        <v>1578</v>
      </c>
      <c r="BE147" s="162">
        <v>5924626.4397141105</v>
      </c>
      <c r="BF147" s="203">
        <v>4</v>
      </c>
      <c r="BG147" s="203">
        <v>280</v>
      </c>
      <c r="BH147" s="217">
        <v>21159.380141836107</v>
      </c>
      <c r="BI147" s="217">
        <v>585024.37414179789</v>
      </c>
      <c r="BJ147" s="203">
        <v>5</v>
      </c>
      <c r="BK147" s="203">
        <v>130</v>
      </c>
      <c r="BL147" s="217">
        <v>4500.1874933984454</v>
      </c>
      <c r="BM147" s="217">
        <v>0</v>
      </c>
      <c r="BN147" s="203">
        <v>0</v>
      </c>
      <c r="BO147" s="203">
        <v>0</v>
      </c>
      <c r="BP147" s="307" t="s">
        <v>687</v>
      </c>
    </row>
    <row r="148" spans="1:68" x14ac:dyDescent="0.45">
      <c r="A148">
        <v>938</v>
      </c>
      <c r="B148" t="s">
        <v>142</v>
      </c>
      <c r="C148" s="238" t="s">
        <v>570</v>
      </c>
      <c r="D148" s="280">
        <v>248466382.16</v>
      </c>
      <c r="E148" s="203">
        <v>55084</v>
      </c>
      <c r="F148" s="282">
        <v>66984</v>
      </c>
      <c r="G148" s="286">
        <v>0.21603369399462638</v>
      </c>
      <c r="H148" s="160">
        <v>60664</v>
      </c>
      <c r="I148" s="159">
        <v>71465</v>
      </c>
      <c r="J148" s="159">
        <v>890</v>
      </c>
      <c r="K148" s="159">
        <v>670</v>
      </c>
      <c r="L148" s="159">
        <v>6880</v>
      </c>
      <c r="M148" s="171">
        <v>9.4040435897921798E-2</v>
      </c>
      <c r="N148" s="270">
        <v>65221</v>
      </c>
      <c r="O148" s="273">
        <v>66165</v>
      </c>
      <c r="P148" s="274">
        <v>1.44738657794269E-2</v>
      </c>
      <c r="Q148" s="273">
        <v>69674</v>
      </c>
      <c r="R148" s="278">
        <v>6.8275555419266803E-2</v>
      </c>
      <c r="S148" s="265">
        <v>91.1</v>
      </c>
      <c r="T148" s="265">
        <v>6.1</v>
      </c>
      <c r="U148" s="265">
        <v>1.7</v>
      </c>
      <c r="V148" s="265">
        <v>98.9</v>
      </c>
      <c r="W148" s="160">
        <v>15</v>
      </c>
      <c r="X148" s="159">
        <v>181</v>
      </c>
      <c r="Y148" s="159">
        <v>30</v>
      </c>
      <c r="Z148" s="159">
        <v>0</v>
      </c>
      <c r="AA148" s="159">
        <v>0</v>
      </c>
      <c r="AB148" s="159">
        <v>5593</v>
      </c>
      <c r="AC148" s="159">
        <v>52675</v>
      </c>
      <c r="AD148" s="159">
        <v>11860</v>
      </c>
      <c r="AE148" s="159">
        <v>556</v>
      </c>
      <c r="AF148" s="161">
        <v>0</v>
      </c>
      <c r="AG148" s="203">
        <v>30</v>
      </c>
      <c r="AH148" s="203">
        <v>0</v>
      </c>
      <c r="AI148" s="203">
        <v>181</v>
      </c>
      <c r="AJ148" s="203">
        <v>0</v>
      </c>
      <c r="AK148" s="203">
        <v>0</v>
      </c>
      <c r="AL148" s="203">
        <v>15</v>
      </c>
      <c r="AM148" s="203">
        <v>6711</v>
      </c>
      <c r="AN148" s="203">
        <v>8030</v>
      </c>
      <c r="AO148" s="203">
        <v>39122</v>
      </c>
      <c r="AP148" s="203">
        <v>6678</v>
      </c>
      <c r="AQ148" s="203">
        <v>3723</v>
      </c>
      <c r="AR148" s="203">
        <v>6420</v>
      </c>
      <c r="AS148" s="160">
        <v>0</v>
      </c>
      <c r="AT148" s="203">
        <v>0</v>
      </c>
      <c r="AU148" s="203">
        <v>126</v>
      </c>
      <c r="AV148" s="203">
        <v>50</v>
      </c>
      <c r="AW148" s="203">
        <v>35</v>
      </c>
      <c r="AX148" s="203">
        <v>15</v>
      </c>
      <c r="AY148" s="203">
        <v>4295</v>
      </c>
      <c r="AZ148" s="203">
        <v>7370</v>
      </c>
      <c r="BA148" s="203">
        <v>37473</v>
      </c>
      <c r="BB148" s="203">
        <v>10451</v>
      </c>
      <c r="BC148" s="203">
        <v>4675</v>
      </c>
      <c r="BD148" s="203">
        <v>6420</v>
      </c>
      <c r="BE148" s="162">
        <v>49478495.369110256</v>
      </c>
      <c r="BF148" s="203">
        <v>23</v>
      </c>
      <c r="BG148" s="203">
        <v>2920</v>
      </c>
      <c r="BH148" s="217">
        <v>16944.690194900773</v>
      </c>
      <c r="BI148" s="217">
        <v>6095645.7015814567</v>
      </c>
      <c r="BJ148" s="203">
        <v>17</v>
      </c>
      <c r="BK148" s="203">
        <v>570</v>
      </c>
      <c r="BL148" s="217">
        <v>10694.11526593238</v>
      </c>
      <c r="BM148" s="217">
        <v>0</v>
      </c>
      <c r="BN148" s="203">
        <v>0</v>
      </c>
      <c r="BO148" s="203">
        <v>0</v>
      </c>
      <c r="BP148" s="307" t="s">
        <v>687</v>
      </c>
    </row>
    <row r="149" spans="1:68" x14ac:dyDescent="0.45">
      <c r="A149">
        <v>213</v>
      </c>
      <c r="B149" t="s">
        <v>143</v>
      </c>
      <c r="C149" s="238" t="s">
        <v>571</v>
      </c>
      <c r="D149" s="280">
        <v>28720662.600000001</v>
      </c>
      <c r="E149" s="203">
        <v>10086</v>
      </c>
      <c r="F149" s="282">
        <v>9087</v>
      </c>
      <c r="G149" s="286">
        <v>-9.9048185603807251E-2</v>
      </c>
      <c r="H149" s="160">
        <v>11425</v>
      </c>
      <c r="I149" s="159">
        <v>11318</v>
      </c>
      <c r="J149" s="159">
        <v>150</v>
      </c>
      <c r="K149" s="159">
        <v>0</v>
      </c>
      <c r="L149" s="159">
        <v>2800</v>
      </c>
      <c r="M149" s="171">
        <v>0.23561574632874799</v>
      </c>
      <c r="N149" s="270">
        <v>9662</v>
      </c>
      <c r="O149" s="273">
        <v>10007</v>
      </c>
      <c r="P149" s="274">
        <v>3.5706892982819302E-2</v>
      </c>
      <c r="Q149" s="273">
        <v>10700</v>
      </c>
      <c r="R149" s="278">
        <v>0.10743117367004799</v>
      </c>
      <c r="S149" s="265">
        <v>87.3</v>
      </c>
      <c r="T149" s="265">
        <v>6.6</v>
      </c>
      <c r="U149" s="265">
        <v>2.4</v>
      </c>
      <c r="V149" s="265">
        <v>96.4</v>
      </c>
      <c r="W149" s="160">
        <v>30</v>
      </c>
      <c r="X149" s="159">
        <v>0</v>
      </c>
      <c r="Y149" s="159">
        <v>0</v>
      </c>
      <c r="Z149" s="159">
        <v>0</v>
      </c>
      <c r="AA149" s="159">
        <v>0</v>
      </c>
      <c r="AB149" s="159">
        <v>3760</v>
      </c>
      <c r="AC149" s="159">
        <v>7318</v>
      </c>
      <c r="AD149" s="159">
        <v>630</v>
      </c>
      <c r="AE149" s="159">
        <v>0</v>
      </c>
      <c r="AF149" s="161">
        <v>0</v>
      </c>
      <c r="AG149" s="203">
        <v>30</v>
      </c>
      <c r="AH149" s="203">
        <v>0</v>
      </c>
      <c r="AI149" s="203">
        <v>0</v>
      </c>
      <c r="AJ149" s="203">
        <v>0</v>
      </c>
      <c r="AK149" s="203">
        <v>0</v>
      </c>
      <c r="AL149" s="203">
        <v>0</v>
      </c>
      <c r="AM149" s="203">
        <v>2528</v>
      </c>
      <c r="AN149" s="203">
        <v>1421</v>
      </c>
      <c r="AO149" s="203">
        <v>6739</v>
      </c>
      <c r="AP149" s="203">
        <v>0</v>
      </c>
      <c r="AQ149" s="203">
        <v>420</v>
      </c>
      <c r="AR149" s="203">
        <v>600</v>
      </c>
      <c r="AS149" s="160">
        <v>30</v>
      </c>
      <c r="AT149" s="203">
        <v>0</v>
      </c>
      <c r="AU149" s="203">
        <v>0</v>
      </c>
      <c r="AV149" s="203">
        <v>0</v>
      </c>
      <c r="AW149" s="203">
        <v>0</v>
      </c>
      <c r="AX149" s="203">
        <v>0</v>
      </c>
      <c r="AY149" s="203">
        <v>3109</v>
      </c>
      <c r="AZ149" s="203">
        <v>1290</v>
      </c>
      <c r="BA149" s="203">
        <v>6125</v>
      </c>
      <c r="BB149" s="203">
        <v>584</v>
      </c>
      <c r="BC149" s="203">
        <v>0</v>
      </c>
      <c r="BD149" s="203">
        <v>600</v>
      </c>
      <c r="BE149" s="162">
        <v>3853445.2034452031</v>
      </c>
      <c r="BF149" s="203">
        <v>1</v>
      </c>
      <c r="BG149" s="203">
        <v>210</v>
      </c>
      <c r="BH149" s="217">
        <v>18349.739064024776</v>
      </c>
      <c r="BI149" s="217">
        <v>0</v>
      </c>
      <c r="BJ149" s="203">
        <v>0</v>
      </c>
      <c r="BK149" s="203">
        <v>0</v>
      </c>
      <c r="BL149" s="217" t="s">
        <v>687</v>
      </c>
      <c r="BM149" s="217">
        <v>0</v>
      </c>
      <c r="BN149" s="203">
        <v>0</v>
      </c>
      <c r="BO149" s="203">
        <v>0</v>
      </c>
      <c r="BP149" s="307" t="s">
        <v>687</v>
      </c>
    </row>
    <row r="150" spans="1:68" x14ac:dyDescent="0.45">
      <c r="A150">
        <v>359</v>
      </c>
      <c r="B150" t="s">
        <v>144</v>
      </c>
      <c r="C150" s="238" t="s">
        <v>569</v>
      </c>
      <c r="D150" s="280">
        <v>47148545.749999993</v>
      </c>
      <c r="E150" s="203">
        <v>23707</v>
      </c>
      <c r="F150" s="282">
        <v>26221</v>
      </c>
      <c r="G150" s="286">
        <v>0.10604462816889526</v>
      </c>
      <c r="H150" s="160">
        <v>25861</v>
      </c>
      <c r="I150" s="159">
        <v>27346</v>
      </c>
      <c r="J150" s="159">
        <v>105</v>
      </c>
      <c r="K150" s="159">
        <v>480</v>
      </c>
      <c r="L150" s="159">
        <v>1710</v>
      </c>
      <c r="M150" s="171">
        <v>6.2353919793258598E-2</v>
      </c>
      <c r="N150" s="270">
        <v>26520</v>
      </c>
      <c r="O150" s="273">
        <v>26546</v>
      </c>
      <c r="P150" s="274">
        <v>9.8039215686274508E-4</v>
      </c>
      <c r="Q150" s="273">
        <v>26958</v>
      </c>
      <c r="R150" s="278">
        <v>1.6515837104072398E-2</v>
      </c>
      <c r="S150" s="265">
        <v>93.5</v>
      </c>
      <c r="T150" s="265">
        <v>4.0999999999999996</v>
      </c>
      <c r="U150" s="265">
        <v>1</v>
      </c>
      <c r="V150" s="265">
        <v>98.7</v>
      </c>
      <c r="W150" s="160">
        <v>21</v>
      </c>
      <c r="X150" s="159">
        <v>0</v>
      </c>
      <c r="Y150" s="159">
        <v>0</v>
      </c>
      <c r="Z150" s="159">
        <v>0</v>
      </c>
      <c r="AA150" s="159">
        <v>0</v>
      </c>
      <c r="AB150" s="159">
        <v>8008</v>
      </c>
      <c r="AC150" s="159">
        <v>18029</v>
      </c>
      <c r="AD150" s="159">
        <v>690</v>
      </c>
      <c r="AE150" s="159">
        <v>0</v>
      </c>
      <c r="AF150" s="161">
        <v>0</v>
      </c>
      <c r="AG150" s="203">
        <v>0</v>
      </c>
      <c r="AH150" s="203">
        <v>0</v>
      </c>
      <c r="AI150" s="203">
        <v>0</v>
      </c>
      <c r="AJ150" s="203">
        <v>0</v>
      </c>
      <c r="AK150" s="203">
        <v>0</v>
      </c>
      <c r="AL150" s="203">
        <v>21</v>
      </c>
      <c r="AM150" s="203">
        <v>1851</v>
      </c>
      <c r="AN150" s="203">
        <v>3009</v>
      </c>
      <c r="AO150" s="203">
        <v>16326</v>
      </c>
      <c r="AP150" s="203">
        <v>1918</v>
      </c>
      <c r="AQ150" s="203">
        <v>2346</v>
      </c>
      <c r="AR150" s="203">
        <v>1277</v>
      </c>
      <c r="AS150" s="160">
        <v>0</v>
      </c>
      <c r="AT150" s="203">
        <v>0</v>
      </c>
      <c r="AU150" s="203">
        <v>0</v>
      </c>
      <c r="AV150" s="203">
        <v>0</v>
      </c>
      <c r="AW150" s="203">
        <v>0</v>
      </c>
      <c r="AX150" s="203">
        <v>21</v>
      </c>
      <c r="AY150" s="203">
        <v>3705</v>
      </c>
      <c r="AZ150" s="203">
        <v>3179</v>
      </c>
      <c r="BA150" s="203">
        <v>15696</v>
      </c>
      <c r="BB150" s="203">
        <v>2065</v>
      </c>
      <c r="BC150" s="203">
        <v>805</v>
      </c>
      <c r="BD150" s="203">
        <v>1277</v>
      </c>
      <c r="BE150" s="162">
        <v>4241564.7814869294</v>
      </c>
      <c r="BF150" s="203">
        <v>3</v>
      </c>
      <c r="BG150" s="203">
        <v>320</v>
      </c>
      <c r="BH150" s="217">
        <v>13254.889942146654</v>
      </c>
      <c r="BI150" s="217">
        <v>757476.33024669171</v>
      </c>
      <c r="BJ150" s="203">
        <v>4</v>
      </c>
      <c r="BK150" s="203">
        <v>105</v>
      </c>
      <c r="BL150" s="217">
        <v>7214.0602880637307</v>
      </c>
      <c r="BM150" s="217">
        <v>0</v>
      </c>
      <c r="BN150" s="203">
        <v>0</v>
      </c>
      <c r="BO150" s="203">
        <v>0</v>
      </c>
      <c r="BP150" s="307" t="s">
        <v>687</v>
      </c>
    </row>
    <row r="151" spans="1:68" x14ac:dyDescent="0.45">
      <c r="A151">
        <v>865</v>
      </c>
      <c r="B151" t="s">
        <v>145</v>
      </c>
      <c r="C151" s="238" t="s">
        <v>566</v>
      </c>
      <c r="D151" s="280">
        <v>68201550.689999998</v>
      </c>
      <c r="E151" s="203">
        <v>33888</v>
      </c>
      <c r="F151" s="282">
        <v>40692</v>
      </c>
      <c r="G151" s="286">
        <v>0.20077903682719547</v>
      </c>
      <c r="H151" s="160">
        <v>40642</v>
      </c>
      <c r="I151" s="159">
        <v>46093</v>
      </c>
      <c r="J151" s="159">
        <v>1360</v>
      </c>
      <c r="K151" s="159">
        <v>50</v>
      </c>
      <c r="L151" s="159">
        <v>6810</v>
      </c>
      <c r="M151" s="171">
        <v>0.143610396622224</v>
      </c>
      <c r="N151" s="270">
        <v>38274</v>
      </c>
      <c r="O151" s="273">
        <v>39715</v>
      </c>
      <c r="P151" s="274">
        <v>3.7649579348905303E-2</v>
      </c>
      <c r="Q151" s="273">
        <v>41063</v>
      </c>
      <c r="R151" s="278">
        <v>7.2869310759262201E-2</v>
      </c>
      <c r="S151" s="265">
        <v>93.1</v>
      </c>
      <c r="T151" s="265">
        <v>4.4000000000000004</v>
      </c>
      <c r="U151" s="265">
        <v>0.9</v>
      </c>
      <c r="V151" s="265">
        <v>98.4</v>
      </c>
      <c r="W151" s="160">
        <v>46</v>
      </c>
      <c r="X151" s="159">
        <v>360</v>
      </c>
      <c r="Y151" s="159">
        <v>0</v>
      </c>
      <c r="Z151" s="159">
        <v>15</v>
      </c>
      <c r="AA151" s="159">
        <v>315</v>
      </c>
      <c r="AB151" s="159">
        <v>5975</v>
      </c>
      <c r="AC151" s="159">
        <v>29526</v>
      </c>
      <c r="AD151" s="159">
        <v>7337</v>
      </c>
      <c r="AE151" s="159">
        <v>1745</v>
      </c>
      <c r="AF151" s="161">
        <v>0</v>
      </c>
      <c r="AG151" s="203">
        <v>15</v>
      </c>
      <c r="AH151" s="203">
        <v>0</v>
      </c>
      <c r="AI151" s="203">
        <v>406</v>
      </c>
      <c r="AJ151" s="203">
        <v>0</v>
      </c>
      <c r="AK151" s="203">
        <v>0</v>
      </c>
      <c r="AL151" s="203">
        <v>315</v>
      </c>
      <c r="AM151" s="203">
        <v>1804</v>
      </c>
      <c r="AN151" s="203">
        <v>2160</v>
      </c>
      <c r="AO151" s="203">
        <v>29784</v>
      </c>
      <c r="AP151" s="203">
        <v>3263</v>
      </c>
      <c r="AQ151" s="203">
        <v>4040</v>
      </c>
      <c r="AR151" s="203">
        <v>3532</v>
      </c>
      <c r="AS151" s="160">
        <v>15</v>
      </c>
      <c r="AT151" s="203">
        <v>0</v>
      </c>
      <c r="AU151" s="203">
        <v>46</v>
      </c>
      <c r="AV151" s="203">
        <v>60</v>
      </c>
      <c r="AW151" s="203">
        <v>300</v>
      </c>
      <c r="AX151" s="203">
        <v>315</v>
      </c>
      <c r="AY151" s="203">
        <v>1099</v>
      </c>
      <c r="AZ151" s="203">
        <v>2574</v>
      </c>
      <c r="BA151" s="203">
        <v>25940</v>
      </c>
      <c r="BB151" s="203">
        <v>6222</v>
      </c>
      <c r="BC151" s="203">
        <v>5216</v>
      </c>
      <c r="BD151" s="203">
        <v>3532</v>
      </c>
      <c r="BE151" s="162">
        <v>32740552.314076204</v>
      </c>
      <c r="BF151" s="203">
        <v>17</v>
      </c>
      <c r="BG151" s="203">
        <v>1674</v>
      </c>
      <c r="BH151" s="217">
        <v>19558.274978540147</v>
      </c>
      <c r="BI151" s="217">
        <v>621549.79323435691</v>
      </c>
      <c r="BJ151" s="203">
        <v>1</v>
      </c>
      <c r="BK151" s="203">
        <v>90</v>
      </c>
      <c r="BL151" s="217">
        <v>6906.1088137150764</v>
      </c>
      <c r="BM151" s="217">
        <v>4478199.391686379</v>
      </c>
      <c r="BN151" s="203">
        <v>1</v>
      </c>
      <c r="BO151" s="203">
        <v>210</v>
      </c>
      <c r="BP151" s="307">
        <v>21324.759008030374</v>
      </c>
    </row>
    <row r="152" spans="1:68" x14ac:dyDescent="0.45">
      <c r="A152">
        <v>868</v>
      </c>
      <c r="B152" t="s">
        <v>146</v>
      </c>
      <c r="C152" s="238" t="s">
        <v>570</v>
      </c>
      <c r="D152" s="280">
        <v>31563843.239999998</v>
      </c>
      <c r="E152" s="203">
        <v>8885</v>
      </c>
      <c r="F152" s="282">
        <v>11221</v>
      </c>
      <c r="G152" s="286">
        <v>0.26291502532357908</v>
      </c>
      <c r="H152" s="160">
        <v>8938</v>
      </c>
      <c r="I152" s="159">
        <v>11378</v>
      </c>
      <c r="J152" s="159">
        <v>201</v>
      </c>
      <c r="K152" s="159">
        <v>10</v>
      </c>
      <c r="L152" s="159">
        <v>1420</v>
      </c>
      <c r="M152" s="171">
        <v>0.11263397017224699</v>
      </c>
      <c r="N152" s="270">
        <v>11387</v>
      </c>
      <c r="O152" s="273">
        <v>11354</v>
      </c>
      <c r="P152" s="274">
        <v>-2.8980416264160901E-3</v>
      </c>
      <c r="Q152" s="273">
        <v>11375</v>
      </c>
      <c r="R152" s="278">
        <v>-1.0538333186967601E-3</v>
      </c>
      <c r="S152" s="265">
        <v>83.6</v>
      </c>
      <c r="T152" s="265">
        <v>8</v>
      </c>
      <c r="U152" s="265">
        <v>2.9</v>
      </c>
      <c r="V152" s="265">
        <v>94.4</v>
      </c>
      <c r="W152" s="160">
        <v>0</v>
      </c>
      <c r="X152" s="159">
        <v>15</v>
      </c>
      <c r="Y152" s="159">
        <v>95</v>
      </c>
      <c r="Z152" s="159">
        <v>0</v>
      </c>
      <c r="AA152" s="159">
        <v>0</v>
      </c>
      <c r="AB152" s="159">
        <v>3869</v>
      </c>
      <c r="AC152" s="159">
        <v>7179</v>
      </c>
      <c r="AD152" s="159">
        <v>1276</v>
      </c>
      <c r="AE152" s="159">
        <v>0</v>
      </c>
      <c r="AF152" s="161">
        <v>0</v>
      </c>
      <c r="AG152" s="203">
        <v>0</v>
      </c>
      <c r="AH152" s="203">
        <v>0</v>
      </c>
      <c r="AI152" s="203">
        <v>15</v>
      </c>
      <c r="AJ152" s="203">
        <v>0</v>
      </c>
      <c r="AK152" s="203">
        <v>0</v>
      </c>
      <c r="AL152" s="203">
        <v>95</v>
      </c>
      <c r="AM152" s="203">
        <v>1260</v>
      </c>
      <c r="AN152" s="203">
        <v>975</v>
      </c>
      <c r="AO152" s="203">
        <v>4432</v>
      </c>
      <c r="AP152" s="203">
        <v>780</v>
      </c>
      <c r="AQ152" s="203">
        <v>0</v>
      </c>
      <c r="AR152" s="203">
        <v>4877</v>
      </c>
      <c r="AS152" s="160">
        <v>0</v>
      </c>
      <c r="AT152" s="203">
        <v>0</v>
      </c>
      <c r="AU152" s="203">
        <v>15</v>
      </c>
      <c r="AV152" s="203">
        <v>0</v>
      </c>
      <c r="AW152" s="203">
        <v>0</v>
      </c>
      <c r="AX152" s="203">
        <v>95</v>
      </c>
      <c r="AY152" s="203">
        <v>1614</v>
      </c>
      <c r="AZ152" s="203">
        <v>1270</v>
      </c>
      <c r="BA152" s="203">
        <v>3204</v>
      </c>
      <c r="BB152" s="203">
        <v>1200</v>
      </c>
      <c r="BC152" s="203">
        <v>159</v>
      </c>
      <c r="BD152" s="203">
        <v>4877</v>
      </c>
      <c r="BE152" s="162">
        <v>549551.96328383894</v>
      </c>
      <c r="BF152" s="203">
        <v>2</v>
      </c>
      <c r="BG152" s="203">
        <v>60</v>
      </c>
      <c r="BH152" s="217">
        <v>9159.199388063982</v>
      </c>
      <c r="BI152" s="217">
        <v>658693.09262166428</v>
      </c>
      <c r="BJ152" s="203">
        <v>2</v>
      </c>
      <c r="BK152" s="203">
        <v>81</v>
      </c>
      <c r="BL152" s="217">
        <v>8132.0134891563494</v>
      </c>
      <c r="BM152" s="217">
        <v>0</v>
      </c>
      <c r="BN152" s="203">
        <v>0</v>
      </c>
      <c r="BO152" s="203">
        <v>0</v>
      </c>
      <c r="BP152" s="307" t="s">
        <v>687</v>
      </c>
    </row>
    <row r="153" spans="1:68" x14ac:dyDescent="0.45">
      <c r="A153">
        <v>344</v>
      </c>
      <c r="B153" t="s">
        <v>147</v>
      </c>
      <c r="C153" s="238" t="s">
        <v>569</v>
      </c>
      <c r="D153" s="280">
        <v>10319571.82</v>
      </c>
      <c r="E153" s="203">
        <v>23649</v>
      </c>
      <c r="F153" s="282">
        <v>25490</v>
      </c>
      <c r="G153" s="286">
        <v>7.7846843418326359E-2</v>
      </c>
      <c r="H153" s="160">
        <v>27210</v>
      </c>
      <c r="I153" s="159">
        <v>28035</v>
      </c>
      <c r="J153" s="159">
        <v>120</v>
      </c>
      <c r="K153" s="159">
        <v>60</v>
      </c>
      <c r="L153" s="159">
        <v>3110</v>
      </c>
      <c r="M153" s="171">
        <v>0.10903655605703801</v>
      </c>
      <c r="N153" s="270">
        <v>25918</v>
      </c>
      <c r="O153" s="273">
        <v>26056</v>
      </c>
      <c r="P153" s="274">
        <v>5.3244849139594099E-3</v>
      </c>
      <c r="Q153" s="273">
        <v>26438</v>
      </c>
      <c r="R153" s="278">
        <v>2.0063276487383298E-2</v>
      </c>
      <c r="S153" s="265">
        <v>91.7</v>
      </c>
      <c r="T153" s="265">
        <v>5.2</v>
      </c>
      <c r="U153" s="265">
        <v>1.2</v>
      </c>
      <c r="V153" s="265">
        <v>98.1</v>
      </c>
      <c r="W153" s="160">
        <v>48</v>
      </c>
      <c r="X153" s="159">
        <v>153</v>
      </c>
      <c r="Y153" s="159">
        <v>23</v>
      </c>
      <c r="Z153" s="159">
        <v>0</v>
      </c>
      <c r="AA153" s="159">
        <v>0</v>
      </c>
      <c r="AB153" s="159">
        <v>5394</v>
      </c>
      <c r="AC153" s="159">
        <v>18916</v>
      </c>
      <c r="AD153" s="159">
        <v>2941</v>
      </c>
      <c r="AE153" s="159">
        <v>0</v>
      </c>
      <c r="AF153" s="161">
        <v>0</v>
      </c>
      <c r="AG153" s="203">
        <v>88</v>
      </c>
      <c r="AH153" s="203">
        <v>0</v>
      </c>
      <c r="AI153" s="203">
        <v>92</v>
      </c>
      <c r="AJ153" s="203">
        <v>44</v>
      </c>
      <c r="AK153" s="203">
        <v>0</v>
      </c>
      <c r="AL153" s="203">
        <v>0</v>
      </c>
      <c r="AM153" s="203">
        <v>1540</v>
      </c>
      <c r="AN153" s="203">
        <v>2052</v>
      </c>
      <c r="AO153" s="203">
        <v>14971</v>
      </c>
      <c r="AP153" s="203">
        <v>3963</v>
      </c>
      <c r="AQ153" s="203">
        <v>2706</v>
      </c>
      <c r="AR153" s="203">
        <v>2019</v>
      </c>
      <c r="AS153" s="160">
        <v>0</v>
      </c>
      <c r="AT153" s="203">
        <v>88</v>
      </c>
      <c r="AU153" s="203">
        <v>115</v>
      </c>
      <c r="AV153" s="203">
        <v>0</v>
      </c>
      <c r="AW153" s="203">
        <v>21</v>
      </c>
      <c r="AX153" s="203">
        <v>0</v>
      </c>
      <c r="AY153" s="203">
        <v>1260</v>
      </c>
      <c r="AZ153" s="203">
        <v>2626</v>
      </c>
      <c r="BA153" s="203">
        <v>15376</v>
      </c>
      <c r="BB153" s="203">
        <v>4671</v>
      </c>
      <c r="BC153" s="203">
        <v>1299</v>
      </c>
      <c r="BD153" s="203">
        <v>2019</v>
      </c>
      <c r="BE153" s="162">
        <v>2492756.296297546</v>
      </c>
      <c r="BF153" s="203">
        <v>3</v>
      </c>
      <c r="BG153" s="203">
        <v>236</v>
      </c>
      <c r="BH153" s="217">
        <v>10562.52667922689</v>
      </c>
      <c r="BI153" s="217">
        <v>0</v>
      </c>
      <c r="BJ153" s="203">
        <v>0</v>
      </c>
      <c r="BK153" s="203">
        <v>0</v>
      </c>
      <c r="BL153" s="217" t="s">
        <v>687</v>
      </c>
      <c r="BM153" s="217">
        <v>0</v>
      </c>
      <c r="BN153" s="203">
        <v>0</v>
      </c>
      <c r="BO153" s="203">
        <v>0</v>
      </c>
      <c r="BP153" s="307" t="s">
        <v>687</v>
      </c>
    </row>
    <row r="154" spans="1:68" x14ac:dyDescent="0.45">
      <c r="A154">
        <v>872</v>
      </c>
      <c r="B154" t="s">
        <v>148</v>
      </c>
      <c r="C154" s="238" t="s">
        <v>570</v>
      </c>
      <c r="D154" s="280">
        <v>58885759.640000001</v>
      </c>
      <c r="E154" s="203">
        <v>11884</v>
      </c>
      <c r="F154" s="282">
        <v>15827</v>
      </c>
      <c r="G154" s="286">
        <v>0.33179064288118476</v>
      </c>
      <c r="H154" s="160">
        <v>13272</v>
      </c>
      <c r="I154" s="159">
        <v>16200</v>
      </c>
      <c r="J154" s="159">
        <v>810</v>
      </c>
      <c r="K154" s="159">
        <v>230</v>
      </c>
      <c r="L154" s="159">
        <v>1620</v>
      </c>
      <c r="M154" s="171">
        <v>9.41882344934932E-2</v>
      </c>
      <c r="N154" s="270">
        <v>15203</v>
      </c>
      <c r="O154" s="273">
        <v>15257</v>
      </c>
      <c r="P154" s="274">
        <v>3.551930540025E-3</v>
      </c>
      <c r="Q154" s="273">
        <v>15936</v>
      </c>
      <c r="R154" s="278">
        <v>4.8214168256265198E-2</v>
      </c>
      <c r="S154" s="265">
        <v>88.7</v>
      </c>
      <c r="T154" s="265">
        <v>7.8</v>
      </c>
      <c r="U154" s="265">
        <v>1.4</v>
      </c>
      <c r="V154" s="265">
        <v>97.9</v>
      </c>
      <c r="W154" s="160">
        <v>0</v>
      </c>
      <c r="X154" s="159">
        <v>233</v>
      </c>
      <c r="Y154" s="159">
        <v>180</v>
      </c>
      <c r="Z154" s="159">
        <v>0</v>
      </c>
      <c r="AA154" s="159">
        <v>0</v>
      </c>
      <c r="AB154" s="159">
        <v>2770</v>
      </c>
      <c r="AC154" s="159">
        <v>10722</v>
      </c>
      <c r="AD154" s="159">
        <v>1560</v>
      </c>
      <c r="AE154" s="159">
        <v>420</v>
      </c>
      <c r="AF154" s="161">
        <v>0</v>
      </c>
      <c r="AG154" s="203">
        <v>0</v>
      </c>
      <c r="AH154" s="203">
        <v>0</v>
      </c>
      <c r="AI154" s="203">
        <v>365</v>
      </c>
      <c r="AJ154" s="203">
        <v>0</v>
      </c>
      <c r="AK154" s="203">
        <v>48</v>
      </c>
      <c r="AL154" s="203">
        <v>0</v>
      </c>
      <c r="AM154" s="203">
        <v>1155</v>
      </c>
      <c r="AN154" s="203">
        <v>1691</v>
      </c>
      <c r="AO154" s="203">
        <v>8837</v>
      </c>
      <c r="AP154" s="203">
        <v>690</v>
      </c>
      <c r="AQ154" s="203">
        <v>372</v>
      </c>
      <c r="AR154" s="203">
        <v>2727</v>
      </c>
      <c r="AS154" s="160">
        <v>0</v>
      </c>
      <c r="AT154" s="203">
        <v>0</v>
      </c>
      <c r="AU154" s="203">
        <v>365</v>
      </c>
      <c r="AV154" s="203">
        <v>0</v>
      </c>
      <c r="AW154" s="203">
        <v>48</v>
      </c>
      <c r="AX154" s="203">
        <v>0</v>
      </c>
      <c r="AY154" s="203">
        <v>840</v>
      </c>
      <c r="AZ154" s="203">
        <v>1428</v>
      </c>
      <c r="BA154" s="203">
        <v>9065</v>
      </c>
      <c r="BB154" s="203">
        <v>1040</v>
      </c>
      <c r="BC154" s="203">
        <v>372</v>
      </c>
      <c r="BD154" s="203">
        <v>2727</v>
      </c>
      <c r="BE154" s="162">
        <v>6156379.1115682553</v>
      </c>
      <c r="BF154" s="203">
        <v>4</v>
      </c>
      <c r="BG154" s="203">
        <v>420</v>
      </c>
      <c r="BH154" s="217">
        <v>14658.045503733942</v>
      </c>
      <c r="BI154" s="217">
        <v>884058.41741901229</v>
      </c>
      <c r="BJ154" s="203">
        <v>2</v>
      </c>
      <c r="BK154" s="203">
        <v>45</v>
      </c>
      <c r="BL154" s="217">
        <v>19645.742609311383</v>
      </c>
      <c r="BM154" s="217">
        <v>11078042.32804233</v>
      </c>
      <c r="BN154" s="203">
        <v>1</v>
      </c>
      <c r="BO154" s="203">
        <v>446</v>
      </c>
      <c r="BP154" s="307">
        <v>24838.659928346031</v>
      </c>
    </row>
    <row r="155" spans="1:68" x14ac:dyDescent="0.45">
      <c r="A155">
        <v>336</v>
      </c>
      <c r="B155" t="s">
        <v>149</v>
      </c>
      <c r="C155" s="238" t="s">
        <v>568</v>
      </c>
      <c r="D155" s="280">
        <v>47299625.989999995</v>
      </c>
      <c r="E155" s="203">
        <v>19176</v>
      </c>
      <c r="F155" s="282">
        <v>25326</v>
      </c>
      <c r="G155" s="286">
        <v>0.32071339173967461</v>
      </c>
      <c r="H155" s="160">
        <v>22278</v>
      </c>
      <c r="I155" s="159">
        <v>24486</v>
      </c>
      <c r="J155" s="159">
        <v>270</v>
      </c>
      <c r="K155" s="159">
        <v>560</v>
      </c>
      <c r="L155" s="159">
        <v>600</v>
      </c>
      <c r="M155" s="171">
        <v>2.3693814284547102E-2</v>
      </c>
      <c r="N155" s="270">
        <v>24331</v>
      </c>
      <c r="O155" s="273">
        <v>24351</v>
      </c>
      <c r="P155" s="274">
        <v>8.2199662981381804E-4</v>
      </c>
      <c r="Q155" s="273">
        <v>24279</v>
      </c>
      <c r="R155" s="278">
        <v>-2.1371912375159302E-3</v>
      </c>
      <c r="S155" s="265">
        <v>87</v>
      </c>
      <c r="T155" s="265">
        <v>7</v>
      </c>
      <c r="U155" s="265">
        <v>2.1</v>
      </c>
      <c r="V155" s="265">
        <v>96.1</v>
      </c>
      <c r="W155" s="160">
        <v>0</v>
      </c>
      <c r="X155" s="159">
        <v>120</v>
      </c>
      <c r="Y155" s="159">
        <v>0</v>
      </c>
      <c r="Z155" s="159">
        <v>0</v>
      </c>
      <c r="AA155" s="159">
        <v>0</v>
      </c>
      <c r="AB155" s="159">
        <v>3799</v>
      </c>
      <c r="AC155" s="159">
        <v>18713</v>
      </c>
      <c r="AD155" s="159">
        <v>983</v>
      </c>
      <c r="AE155" s="159">
        <v>420</v>
      </c>
      <c r="AF155" s="161">
        <v>0</v>
      </c>
      <c r="AG155" s="203">
        <v>30</v>
      </c>
      <c r="AH155" s="203">
        <v>0</v>
      </c>
      <c r="AI155" s="203">
        <v>60</v>
      </c>
      <c r="AJ155" s="203">
        <v>0</v>
      </c>
      <c r="AK155" s="203">
        <v>30</v>
      </c>
      <c r="AL155" s="203">
        <v>0</v>
      </c>
      <c r="AM155" s="203">
        <v>4502</v>
      </c>
      <c r="AN155" s="203">
        <v>2402</v>
      </c>
      <c r="AO155" s="203">
        <v>12470</v>
      </c>
      <c r="AP155" s="203">
        <v>210</v>
      </c>
      <c r="AQ155" s="203">
        <v>2893</v>
      </c>
      <c r="AR155" s="203">
        <v>1438</v>
      </c>
      <c r="AS155" s="160">
        <v>0</v>
      </c>
      <c r="AT155" s="203">
        <v>30</v>
      </c>
      <c r="AU155" s="203">
        <v>90</v>
      </c>
      <c r="AV155" s="203">
        <v>0</v>
      </c>
      <c r="AW155" s="203">
        <v>0</v>
      </c>
      <c r="AX155" s="203">
        <v>0</v>
      </c>
      <c r="AY155" s="203">
        <v>2198</v>
      </c>
      <c r="AZ155" s="203">
        <v>3769</v>
      </c>
      <c r="BA155" s="203">
        <v>13527</v>
      </c>
      <c r="BB155" s="203">
        <v>840</v>
      </c>
      <c r="BC155" s="203">
        <v>2143</v>
      </c>
      <c r="BD155" s="203">
        <v>1438</v>
      </c>
      <c r="BE155" s="162">
        <v>18059521.950366303</v>
      </c>
      <c r="BF155" s="203">
        <v>6</v>
      </c>
      <c r="BG155" s="203">
        <v>830</v>
      </c>
      <c r="BH155" s="217">
        <v>21758.460181164221</v>
      </c>
      <c r="BI155" s="217">
        <v>5915871.6910373718</v>
      </c>
      <c r="BJ155" s="203">
        <v>8</v>
      </c>
      <c r="BK155" s="203">
        <v>360</v>
      </c>
      <c r="BL155" s="217">
        <v>16432.976919548255</v>
      </c>
      <c r="BM155" s="217">
        <v>0</v>
      </c>
      <c r="BN155" s="203">
        <v>0</v>
      </c>
      <c r="BO155" s="203">
        <v>0</v>
      </c>
      <c r="BP155" s="307" t="s">
        <v>687</v>
      </c>
    </row>
    <row r="156" spans="1:68" x14ac:dyDescent="0.45">
      <c r="A156">
        <v>885</v>
      </c>
      <c r="B156" t="s">
        <v>150</v>
      </c>
      <c r="C156" s="238" t="s">
        <v>568</v>
      </c>
      <c r="D156" s="280">
        <v>74025212.060000002</v>
      </c>
      <c r="E156" s="203">
        <v>39413</v>
      </c>
      <c r="F156" s="282">
        <v>45813</v>
      </c>
      <c r="G156" s="286">
        <v>0.16238297008601224</v>
      </c>
      <c r="H156" s="160">
        <v>40677</v>
      </c>
      <c r="I156" s="159">
        <v>45210</v>
      </c>
      <c r="J156" s="159">
        <v>1245</v>
      </c>
      <c r="K156" s="159">
        <v>520</v>
      </c>
      <c r="L156" s="159">
        <v>4560</v>
      </c>
      <c r="M156" s="171">
        <v>9.14545145131649E-2</v>
      </c>
      <c r="N156" s="270">
        <v>44055</v>
      </c>
      <c r="O156" s="273">
        <v>44359</v>
      </c>
      <c r="P156" s="274">
        <v>6.9004653274316197E-3</v>
      </c>
      <c r="Q156" s="273">
        <v>45148</v>
      </c>
      <c r="R156" s="278">
        <v>2.4809896720009099E-2</v>
      </c>
      <c r="S156" s="265">
        <v>92.6</v>
      </c>
      <c r="T156" s="265">
        <v>4.8</v>
      </c>
      <c r="U156" s="265">
        <v>0.8</v>
      </c>
      <c r="V156" s="265">
        <v>98.3</v>
      </c>
      <c r="W156" s="160">
        <v>266</v>
      </c>
      <c r="X156" s="159">
        <v>272</v>
      </c>
      <c r="Y156" s="159">
        <v>0</v>
      </c>
      <c r="Z156" s="159">
        <v>0</v>
      </c>
      <c r="AA156" s="159">
        <v>0</v>
      </c>
      <c r="AB156" s="159">
        <v>7113</v>
      </c>
      <c r="AC156" s="159">
        <v>33720</v>
      </c>
      <c r="AD156" s="159">
        <v>3608</v>
      </c>
      <c r="AE156" s="159">
        <v>1515</v>
      </c>
      <c r="AF156" s="161">
        <v>0</v>
      </c>
      <c r="AG156" s="203">
        <v>0</v>
      </c>
      <c r="AH156" s="203">
        <v>210</v>
      </c>
      <c r="AI156" s="203">
        <v>154</v>
      </c>
      <c r="AJ156" s="203">
        <v>35</v>
      </c>
      <c r="AK156" s="203">
        <v>0</v>
      </c>
      <c r="AL156" s="203">
        <v>139</v>
      </c>
      <c r="AM156" s="203">
        <v>1608</v>
      </c>
      <c r="AN156" s="203">
        <v>3433</v>
      </c>
      <c r="AO156" s="203">
        <v>16299</v>
      </c>
      <c r="AP156" s="203">
        <v>2170</v>
      </c>
      <c r="AQ156" s="203">
        <v>2099</v>
      </c>
      <c r="AR156" s="203">
        <v>20347</v>
      </c>
      <c r="AS156" s="160">
        <v>0</v>
      </c>
      <c r="AT156" s="203">
        <v>0</v>
      </c>
      <c r="AU156" s="203">
        <v>301</v>
      </c>
      <c r="AV156" s="203">
        <v>63</v>
      </c>
      <c r="AW156" s="203">
        <v>35</v>
      </c>
      <c r="AX156" s="203">
        <v>139</v>
      </c>
      <c r="AY156" s="203">
        <v>2170</v>
      </c>
      <c r="AZ156" s="203">
        <v>1611</v>
      </c>
      <c r="BA156" s="203">
        <v>16296</v>
      </c>
      <c r="BB156" s="203">
        <v>3538</v>
      </c>
      <c r="BC156" s="203">
        <v>1994</v>
      </c>
      <c r="BD156" s="203">
        <v>20347</v>
      </c>
      <c r="BE156" s="162">
        <v>11714492.617143884</v>
      </c>
      <c r="BF156" s="203">
        <v>7</v>
      </c>
      <c r="BG156" s="203">
        <v>730</v>
      </c>
      <c r="BH156" s="217">
        <v>16047.250160471074</v>
      </c>
      <c r="BI156" s="217">
        <v>165784.58139798406</v>
      </c>
      <c r="BJ156" s="203">
        <v>1</v>
      </c>
      <c r="BK156" s="203">
        <v>30</v>
      </c>
      <c r="BL156" s="217">
        <v>5526.1527132661349</v>
      </c>
      <c r="BM156" s="217">
        <v>0</v>
      </c>
      <c r="BN156" s="203">
        <v>0</v>
      </c>
      <c r="BO156" s="203">
        <v>0</v>
      </c>
      <c r="BP156" s="307" t="s">
        <v>687</v>
      </c>
    </row>
    <row r="157" spans="1:68" ht="14.65" thickBot="1" x14ac:dyDescent="0.5">
      <c r="A157" s="188">
        <v>816</v>
      </c>
      <c r="B157" s="188" t="s">
        <v>151</v>
      </c>
      <c r="C157" s="240" t="s">
        <v>565</v>
      </c>
      <c r="D157" s="281">
        <v>47074213.589999996</v>
      </c>
      <c r="E157" s="163">
        <v>12209</v>
      </c>
      <c r="F157" s="283">
        <v>13683</v>
      </c>
      <c r="G157" s="288">
        <v>0.12073060856745024</v>
      </c>
      <c r="H157" s="164">
        <v>13533</v>
      </c>
      <c r="I157" s="163">
        <v>15807</v>
      </c>
      <c r="J157" s="163">
        <v>105</v>
      </c>
      <c r="K157" s="163">
        <v>60</v>
      </c>
      <c r="L157" s="163">
        <v>2290</v>
      </c>
      <c r="M157" s="173">
        <v>0.14406457997800801</v>
      </c>
      <c r="N157" s="275">
        <v>13759</v>
      </c>
      <c r="O157" s="276">
        <v>13895</v>
      </c>
      <c r="P157" s="277">
        <v>9.8844392761101799E-3</v>
      </c>
      <c r="Q157" s="276">
        <v>13915</v>
      </c>
      <c r="R157" s="279">
        <v>1.1338033287302899E-2</v>
      </c>
      <c r="S157" s="261">
        <v>96</v>
      </c>
      <c r="T157" s="262">
        <v>3.1</v>
      </c>
      <c r="U157" s="262">
        <v>0.2</v>
      </c>
      <c r="V157" s="263">
        <v>99.2</v>
      </c>
      <c r="W157" s="164">
        <v>0</v>
      </c>
      <c r="X157" s="163">
        <v>0</v>
      </c>
      <c r="Y157" s="163">
        <v>138</v>
      </c>
      <c r="Z157" s="163">
        <v>0</v>
      </c>
      <c r="AA157" s="163">
        <v>0</v>
      </c>
      <c r="AB157" s="163">
        <v>3416</v>
      </c>
      <c r="AC157" s="163">
        <v>10315</v>
      </c>
      <c r="AD157" s="163">
        <v>1440</v>
      </c>
      <c r="AE157" s="163">
        <v>0</v>
      </c>
      <c r="AF157" s="165">
        <v>0</v>
      </c>
      <c r="AG157" s="163">
        <v>0</v>
      </c>
      <c r="AH157" s="163">
        <v>0</v>
      </c>
      <c r="AI157" s="163">
        <v>66</v>
      </c>
      <c r="AJ157" s="163">
        <v>0</v>
      </c>
      <c r="AK157" s="163">
        <v>0</v>
      </c>
      <c r="AL157" s="163">
        <v>72</v>
      </c>
      <c r="AM157" s="163">
        <v>587</v>
      </c>
      <c r="AN157" s="163">
        <v>1616</v>
      </c>
      <c r="AO157" s="163">
        <v>8901</v>
      </c>
      <c r="AP157" s="163">
        <v>1273</v>
      </c>
      <c r="AQ157" s="163">
        <v>1643</v>
      </c>
      <c r="AR157" s="163">
        <v>1151</v>
      </c>
      <c r="AS157" s="164">
        <v>0</v>
      </c>
      <c r="AT157" s="163">
        <v>66</v>
      </c>
      <c r="AU157" s="163">
        <v>0</v>
      </c>
      <c r="AV157" s="163">
        <v>0</v>
      </c>
      <c r="AW157" s="163">
        <v>0</v>
      </c>
      <c r="AX157" s="163">
        <v>72</v>
      </c>
      <c r="AY157" s="163">
        <v>0</v>
      </c>
      <c r="AZ157" s="163">
        <v>3089</v>
      </c>
      <c r="BA157" s="163">
        <v>9033</v>
      </c>
      <c r="BB157" s="163">
        <v>548</v>
      </c>
      <c r="BC157" s="163">
        <v>1350</v>
      </c>
      <c r="BD157" s="163">
        <v>1151</v>
      </c>
      <c r="BE157" s="166">
        <v>870723.24838282377</v>
      </c>
      <c r="BF157" s="163">
        <v>1</v>
      </c>
      <c r="BG157" s="163">
        <v>67</v>
      </c>
      <c r="BH157" s="167">
        <v>12995.869378848116</v>
      </c>
      <c r="BI157" s="167">
        <v>383973.56891474588</v>
      </c>
      <c r="BJ157" s="163">
        <v>1</v>
      </c>
      <c r="BK157" s="163">
        <v>15</v>
      </c>
      <c r="BL157" s="167">
        <v>25598.237927649727</v>
      </c>
      <c r="BM157" s="167">
        <v>659660.17982018052</v>
      </c>
      <c r="BN157" s="163">
        <v>1</v>
      </c>
      <c r="BO157" s="163">
        <v>60</v>
      </c>
      <c r="BP157" s="309">
        <v>10994.336330336342</v>
      </c>
    </row>
    <row r="158" spans="1:68" x14ac:dyDescent="0.45">
      <c r="A158" s="15" t="s">
        <v>279</v>
      </c>
    </row>
    <row r="159" spans="1:68" s="208" customFormat="1" x14ac:dyDescent="0.45">
      <c r="A159" s="310" t="s">
        <v>280</v>
      </c>
      <c r="B159" s="208" t="s">
        <v>534</v>
      </c>
    </row>
    <row r="160" spans="1:68" s="208" customFormat="1" x14ac:dyDescent="0.45">
      <c r="A160" s="310" t="s">
        <v>281</v>
      </c>
      <c r="B160" s="208" t="s">
        <v>637</v>
      </c>
    </row>
    <row r="161" spans="1:3" s="208" customFormat="1" x14ac:dyDescent="0.45">
      <c r="A161" s="311" t="s">
        <v>282</v>
      </c>
      <c r="B161" s="312" t="s">
        <v>714</v>
      </c>
      <c r="C161" s="312"/>
    </row>
    <row r="162" spans="1:3" s="208" customFormat="1" x14ac:dyDescent="0.45">
      <c r="A162" s="311"/>
      <c r="B162" s="313" t="s">
        <v>532</v>
      </c>
      <c r="C162" s="313"/>
    </row>
    <row r="163" spans="1:3" s="208" customFormat="1" x14ac:dyDescent="0.45">
      <c r="A163" s="311"/>
      <c r="B163" s="313" t="s">
        <v>529</v>
      </c>
      <c r="C163" s="313"/>
    </row>
    <row r="164" spans="1:3" s="208" customFormat="1" x14ac:dyDescent="0.45">
      <c r="A164" s="310" t="s">
        <v>302</v>
      </c>
      <c r="B164" s="208" t="s">
        <v>717</v>
      </c>
    </row>
    <row r="165" spans="1:3" s="208" customFormat="1" x14ac:dyDescent="0.45">
      <c r="A165" s="310" t="s">
        <v>528</v>
      </c>
      <c r="B165" s="208" t="s">
        <v>718</v>
      </c>
    </row>
    <row r="166" spans="1:3" s="208" customFormat="1" x14ac:dyDescent="0.45">
      <c r="A166" s="310"/>
      <c r="B166" s="208" t="s">
        <v>719</v>
      </c>
    </row>
    <row r="167" spans="1:3" s="208" customFormat="1" x14ac:dyDescent="0.45">
      <c r="A167" s="310" t="s">
        <v>531</v>
      </c>
      <c r="B167" s="208" t="s">
        <v>726</v>
      </c>
    </row>
    <row r="168" spans="1:3" s="208" customFormat="1" x14ac:dyDescent="0.45">
      <c r="A168" s="310"/>
      <c r="B168" s="208" t="s">
        <v>716</v>
      </c>
    </row>
    <row r="169" spans="1:3" s="208" customFormat="1" x14ac:dyDescent="0.45">
      <c r="B169" s="208" t="s">
        <v>750</v>
      </c>
    </row>
    <row r="170" spans="1:3" s="208" customFormat="1" x14ac:dyDescent="0.45">
      <c r="B170" s="208" t="s">
        <v>749</v>
      </c>
    </row>
    <row r="171" spans="1:3" x14ac:dyDescent="0.45">
      <c r="A171" s="304" t="s">
        <v>687</v>
      </c>
      <c r="B171" t="s">
        <v>712</v>
      </c>
    </row>
    <row r="172" spans="1:3" x14ac:dyDescent="0.45">
      <c r="A172" s="304" t="s">
        <v>711</v>
      </c>
      <c r="B172" t="s">
        <v>713</v>
      </c>
    </row>
  </sheetData>
  <sheetProtection sort="0" autoFilter="0"/>
  <pageMargins left="0.70866141732283472" right="0.70866141732283472" top="0.74803149606299213" bottom="0.74803149606299213" header="0.31496062992125984" footer="0.31496062992125984"/>
  <pageSetup paperSize="9" scale="39" orientation="landscape" r:id="rId1"/>
  <rowBreaks count="1" manualBreakCount="1">
    <brk id="57" max="40" man="1"/>
  </rowBreaks>
  <colBreaks count="3" manualBreakCount="3">
    <brk id="13" max="1048575" man="1"/>
    <brk id="22" max="163" man="1"/>
    <brk id="56" max="163" man="1"/>
  </colBreaks>
  <ignoredErrors>
    <ignoredError sqref="A161:A165 A159:A160 A167"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BS173"/>
  <sheetViews>
    <sheetView showGridLines="0" zoomScaleNormal="100" workbookViewId="0">
      <selection activeCell="B8" sqref="B8"/>
    </sheetView>
  </sheetViews>
  <sheetFormatPr defaultColWidth="8.86328125" defaultRowHeight="14.25" x14ac:dyDescent="0.45"/>
  <cols>
    <col min="1" max="1" width="25.86328125" bestFit="1" customWidth="1"/>
    <col min="2" max="2" width="40.59765625" customWidth="1"/>
    <col min="3" max="3" width="28.3984375" customWidth="1"/>
    <col min="4" max="5" width="23.73046875" customWidth="1"/>
    <col min="6" max="7" width="23.73046875" style="208" customWidth="1"/>
    <col min="8" max="56" width="23.73046875" customWidth="1"/>
  </cols>
  <sheetData>
    <row r="1" spans="1:57" s="15" customFormat="1" ht="14.65" thickBot="1" x14ac:dyDescent="0.5">
      <c r="A1" s="351" t="s">
        <v>748</v>
      </c>
      <c r="B1" s="351" t="s">
        <v>748</v>
      </c>
      <c r="C1" s="351" t="s">
        <v>748</v>
      </c>
      <c r="D1" s="352" t="s">
        <v>255</v>
      </c>
      <c r="E1" s="353" t="s">
        <v>255</v>
      </c>
      <c r="F1" s="353" t="s">
        <v>255</v>
      </c>
      <c r="G1" s="354" t="s">
        <v>255</v>
      </c>
      <c r="H1" s="352" t="s">
        <v>253</v>
      </c>
      <c r="I1" s="353" t="s">
        <v>253</v>
      </c>
      <c r="J1" s="353" t="s">
        <v>253</v>
      </c>
      <c r="K1" s="353" t="s">
        <v>253</v>
      </c>
      <c r="L1" s="353" t="s">
        <v>253</v>
      </c>
      <c r="M1" s="354" t="s">
        <v>253</v>
      </c>
      <c r="N1" s="352" t="s">
        <v>257</v>
      </c>
      <c r="O1" s="353" t="s">
        <v>257</v>
      </c>
      <c r="P1" s="353" t="s">
        <v>257</v>
      </c>
      <c r="Q1" s="353" t="s">
        <v>257</v>
      </c>
      <c r="R1" s="354" t="s">
        <v>257</v>
      </c>
      <c r="S1" s="352" t="s">
        <v>301</v>
      </c>
      <c r="T1" s="353" t="s">
        <v>301</v>
      </c>
      <c r="U1" s="353" t="s">
        <v>301</v>
      </c>
      <c r="V1" s="354" t="s">
        <v>301</v>
      </c>
      <c r="W1" s="352" t="s">
        <v>260</v>
      </c>
      <c r="X1" s="353" t="s">
        <v>837</v>
      </c>
      <c r="Y1" s="353" t="s">
        <v>837</v>
      </c>
      <c r="Z1" s="353" t="s">
        <v>837</v>
      </c>
      <c r="AA1" s="353" t="s">
        <v>837</v>
      </c>
      <c r="AB1" s="353" t="s">
        <v>837</v>
      </c>
      <c r="AC1" s="353" t="s">
        <v>837</v>
      </c>
      <c r="AD1" s="353" t="s">
        <v>837</v>
      </c>
      <c r="AE1" s="353" t="s">
        <v>837</v>
      </c>
      <c r="AF1" s="354" t="s">
        <v>837</v>
      </c>
      <c r="AG1" s="352" t="s">
        <v>517</v>
      </c>
      <c r="AH1" s="353" t="s">
        <v>840</v>
      </c>
      <c r="AI1" s="353" t="s">
        <v>840</v>
      </c>
      <c r="AJ1" s="353" t="s">
        <v>840</v>
      </c>
      <c r="AK1" s="353" t="s">
        <v>840</v>
      </c>
      <c r="AL1" s="353" t="s">
        <v>840</v>
      </c>
      <c r="AM1" s="353" t="s">
        <v>840</v>
      </c>
      <c r="AN1" s="353" t="s">
        <v>840</v>
      </c>
      <c r="AO1" s="353" t="s">
        <v>840</v>
      </c>
      <c r="AP1" s="353" t="s">
        <v>840</v>
      </c>
      <c r="AQ1" s="353" t="s">
        <v>840</v>
      </c>
      <c r="AR1" s="353" t="s">
        <v>840</v>
      </c>
      <c r="AS1" s="352" t="s">
        <v>268</v>
      </c>
      <c r="AT1" s="353" t="s">
        <v>268</v>
      </c>
      <c r="AU1" s="353" t="s">
        <v>268</v>
      </c>
      <c r="AV1" s="353" t="s">
        <v>268</v>
      </c>
      <c r="AW1" s="353" t="s">
        <v>268</v>
      </c>
      <c r="AX1" s="353" t="s">
        <v>268</v>
      </c>
      <c r="AY1" s="353" t="s">
        <v>268</v>
      </c>
      <c r="AZ1" s="353" t="s">
        <v>268</v>
      </c>
      <c r="BA1" s="353" t="s">
        <v>268</v>
      </c>
      <c r="BB1" s="353" t="s">
        <v>268</v>
      </c>
      <c r="BC1" s="353" t="s">
        <v>268</v>
      </c>
      <c r="BD1" s="354" t="s">
        <v>268</v>
      </c>
    </row>
    <row r="2" spans="1:57" ht="92.25" customHeight="1" thickBot="1" x14ac:dyDescent="0.5">
      <c r="A2" s="137" t="s">
        <v>686</v>
      </c>
      <c r="B2" s="138" t="s">
        <v>284</v>
      </c>
      <c r="C2" s="139" t="s">
        <v>252</v>
      </c>
      <c r="D2" s="155" t="s">
        <v>648</v>
      </c>
      <c r="E2" s="156" t="s">
        <v>256</v>
      </c>
      <c r="F2" s="216" t="s">
        <v>649</v>
      </c>
      <c r="G2" s="216" t="s">
        <v>650</v>
      </c>
      <c r="H2" s="199" t="s">
        <v>254</v>
      </c>
      <c r="I2" s="200" t="s">
        <v>651</v>
      </c>
      <c r="J2" s="200" t="s">
        <v>652</v>
      </c>
      <c r="K2" s="200" t="s">
        <v>653</v>
      </c>
      <c r="L2" s="200" t="s">
        <v>654</v>
      </c>
      <c r="M2" s="200" t="s">
        <v>643</v>
      </c>
      <c r="N2" s="199" t="s">
        <v>655</v>
      </c>
      <c r="O2" s="200" t="s">
        <v>657</v>
      </c>
      <c r="P2" s="200" t="s">
        <v>515</v>
      </c>
      <c r="Q2" s="200" t="s">
        <v>656</v>
      </c>
      <c r="R2" s="201" t="s">
        <v>516</v>
      </c>
      <c r="S2" s="155" t="s">
        <v>258</v>
      </c>
      <c r="T2" s="156" t="s">
        <v>274</v>
      </c>
      <c r="U2" s="156" t="s">
        <v>259</v>
      </c>
      <c r="V2" s="157" t="s">
        <v>275</v>
      </c>
      <c r="W2" s="155" t="s">
        <v>261</v>
      </c>
      <c r="X2" s="156" t="s">
        <v>276</v>
      </c>
      <c r="Y2" s="156" t="s">
        <v>262</v>
      </c>
      <c r="Z2" s="156" t="s">
        <v>263</v>
      </c>
      <c r="AA2" s="156" t="s">
        <v>277</v>
      </c>
      <c r="AB2" s="156" t="s">
        <v>264</v>
      </c>
      <c r="AC2" s="156" t="s">
        <v>278</v>
      </c>
      <c r="AD2" s="156" t="s">
        <v>265</v>
      </c>
      <c r="AE2" s="156" t="s">
        <v>266</v>
      </c>
      <c r="AF2" s="156" t="s">
        <v>267</v>
      </c>
      <c r="AG2" s="155" t="s">
        <v>518</v>
      </c>
      <c r="AH2" s="156" t="s">
        <v>519</v>
      </c>
      <c r="AI2" s="156" t="s">
        <v>520</v>
      </c>
      <c r="AJ2" s="156" t="s">
        <v>521</v>
      </c>
      <c r="AK2" s="156" t="s">
        <v>522</v>
      </c>
      <c r="AL2" s="156" t="s">
        <v>628</v>
      </c>
      <c r="AM2" s="156" t="s">
        <v>523</v>
      </c>
      <c r="AN2" s="156" t="s">
        <v>524</v>
      </c>
      <c r="AO2" s="156" t="s">
        <v>525</v>
      </c>
      <c r="AP2" s="156" t="s">
        <v>526</v>
      </c>
      <c r="AQ2" s="156" t="s">
        <v>527</v>
      </c>
      <c r="AR2" s="157" t="s">
        <v>627</v>
      </c>
      <c r="AS2" s="199" t="s">
        <v>271</v>
      </c>
      <c r="AT2" s="200" t="s">
        <v>548</v>
      </c>
      <c r="AU2" s="200" t="s">
        <v>638</v>
      </c>
      <c r="AV2" s="200" t="s">
        <v>729</v>
      </c>
      <c r="AW2" s="200" t="s">
        <v>272</v>
      </c>
      <c r="AX2" s="200" t="s">
        <v>549</v>
      </c>
      <c r="AY2" s="200" t="s">
        <v>269</v>
      </c>
      <c r="AZ2" s="200" t="s">
        <v>732</v>
      </c>
      <c r="BA2" s="200" t="s">
        <v>273</v>
      </c>
      <c r="BB2" s="200" t="s">
        <v>550</v>
      </c>
      <c r="BC2" s="200" t="s">
        <v>270</v>
      </c>
      <c r="BD2" s="201" t="s">
        <v>731</v>
      </c>
    </row>
    <row r="3" spans="1:57" ht="14.65" thickBot="1" x14ac:dyDescent="0.5">
      <c r="A3" s="357" t="s">
        <v>687</v>
      </c>
      <c r="B3" s="138" t="s">
        <v>590</v>
      </c>
      <c r="C3" s="358" t="s">
        <v>687</v>
      </c>
      <c r="D3" s="315">
        <v>12304980119.809992</v>
      </c>
      <c r="E3" s="209">
        <v>2649586</v>
      </c>
      <c r="F3" s="285">
        <v>3126348</v>
      </c>
      <c r="G3" s="287">
        <v>0.17993829979476039</v>
      </c>
      <c r="H3" s="218">
        <v>3563118</v>
      </c>
      <c r="I3" s="219">
        <v>3897512</v>
      </c>
      <c r="J3" s="219">
        <v>74393</v>
      </c>
      <c r="K3" s="219">
        <v>37480</v>
      </c>
      <c r="L3" s="219">
        <v>358060</v>
      </c>
      <c r="M3" s="228">
        <v>0.103878307348459</v>
      </c>
      <c r="N3" s="266">
        <v>2839889</v>
      </c>
      <c r="O3" s="267">
        <v>2880425</v>
      </c>
      <c r="P3" s="268">
        <v>1.4273797320951629E-2</v>
      </c>
      <c r="Q3" s="267">
        <v>2931623</v>
      </c>
      <c r="R3" s="269">
        <v>3.2301966731798318E-2</v>
      </c>
      <c r="S3" s="250">
        <v>80.900000000000006</v>
      </c>
      <c r="T3" s="251">
        <v>9</v>
      </c>
      <c r="U3" s="251">
        <v>3.2</v>
      </c>
      <c r="V3" s="251">
        <v>93</v>
      </c>
      <c r="W3" s="243">
        <v>13850</v>
      </c>
      <c r="X3" s="244">
        <v>28135</v>
      </c>
      <c r="Y3" s="244">
        <v>4577</v>
      </c>
      <c r="Z3" s="244">
        <v>1051</v>
      </c>
      <c r="AA3" s="244">
        <v>30445</v>
      </c>
      <c r="AB3" s="244">
        <v>837639</v>
      </c>
      <c r="AC3" s="244">
        <v>1964798</v>
      </c>
      <c r="AD3" s="244">
        <v>566529</v>
      </c>
      <c r="AE3" s="244">
        <v>148421</v>
      </c>
      <c r="AF3" s="244">
        <v>21008</v>
      </c>
      <c r="AG3" s="230">
        <v>9079</v>
      </c>
      <c r="AH3" s="231">
        <v>9778</v>
      </c>
      <c r="AI3" s="231">
        <v>12044</v>
      </c>
      <c r="AJ3" s="231">
        <v>8104</v>
      </c>
      <c r="AK3" s="231">
        <v>3083</v>
      </c>
      <c r="AL3" s="231">
        <v>35970</v>
      </c>
      <c r="AM3" s="231">
        <v>489151</v>
      </c>
      <c r="AN3" s="231">
        <v>618181</v>
      </c>
      <c r="AO3" s="231">
        <v>1229073</v>
      </c>
      <c r="AP3" s="231">
        <v>637564</v>
      </c>
      <c r="AQ3" s="231">
        <v>335834</v>
      </c>
      <c r="AR3" s="232">
        <v>228592</v>
      </c>
      <c r="AS3" s="220">
        <v>708847714.50087988</v>
      </c>
      <c r="AT3" s="219">
        <v>144</v>
      </c>
      <c r="AU3" s="219">
        <v>29815</v>
      </c>
      <c r="AV3" s="221">
        <v>23774.868841216834</v>
      </c>
      <c r="AW3" s="221">
        <v>29565809.422022775</v>
      </c>
      <c r="AX3" s="219">
        <v>41</v>
      </c>
      <c r="AY3" s="219">
        <v>3197</v>
      </c>
      <c r="AZ3" s="221">
        <v>9247.98543072342</v>
      </c>
      <c r="BA3" s="221">
        <v>281801439.3826713</v>
      </c>
      <c r="BB3" s="219">
        <v>12</v>
      </c>
      <c r="BC3" s="219">
        <v>11304</v>
      </c>
      <c r="BD3" s="306">
        <v>24929.355925572479</v>
      </c>
    </row>
    <row r="4" spans="1:57" x14ac:dyDescent="0.45">
      <c r="A4">
        <v>301</v>
      </c>
      <c r="B4" t="s">
        <v>1</v>
      </c>
      <c r="C4" s="238" t="s">
        <v>564</v>
      </c>
      <c r="D4" s="280">
        <v>194835734.56999999</v>
      </c>
      <c r="E4" s="158">
        <v>10856</v>
      </c>
      <c r="F4" s="231">
        <v>16169</v>
      </c>
      <c r="G4" s="286">
        <v>0.48940677966101692</v>
      </c>
      <c r="H4" s="160">
        <v>14175</v>
      </c>
      <c r="I4" s="203">
        <v>24594</v>
      </c>
      <c r="J4" s="159">
        <v>900</v>
      </c>
      <c r="K4" s="203">
        <v>0</v>
      </c>
      <c r="L4" s="203">
        <v>3940</v>
      </c>
      <c r="M4" s="226">
        <v>0.19595358224425799</v>
      </c>
      <c r="N4" s="270">
        <v>13656</v>
      </c>
      <c r="O4" s="271">
        <v>13842</v>
      </c>
      <c r="P4" s="272">
        <v>1.3620386643233701E-2</v>
      </c>
      <c r="Q4" s="271">
        <v>14943</v>
      </c>
      <c r="R4" s="272">
        <v>9.4244288224956105E-2</v>
      </c>
      <c r="S4" s="252">
        <v>73.099999999999994</v>
      </c>
      <c r="T4" s="253">
        <v>11.3</v>
      </c>
      <c r="U4" s="253">
        <v>5.2</v>
      </c>
      <c r="V4" s="254">
        <v>89.6</v>
      </c>
      <c r="W4" s="160">
        <v>0</v>
      </c>
      <c r="X4" s="203">
        <v>726</v>
      </c>
      <c r="Y4" s="203">
        <v>0</v>
      </c>
      <c r="Z4" s="203">
        <v>0</v>
      </c>
      <c r="AA4" s="203">
        <v>0</v>
      </c>
      <c r="AB4" s="203">
        <v>2088</v>
      </c>
      <c r="AC4" s="203">
        <v>16829</v>
      </c>
      <c r="AD4" s="203">
        <v>2641</v>
      </c>
      <c r="AE4" s="203">
        <v>0</v>
      </c>
      <c r="AF4" s="203">
        <v>0</v>
      </c>
      <c r="AG4" s="234">
        <v>0</v>
      </c>
      <c r="AH4" s="235">
        <v>586</v>
      </c>
      <c r="AI4" s="235">
        <v>140</v>
      </c>
      <c r="AJ4" s="235">
        <v>0</v>
      </c>
      <c r="AK4" s="235">
        <v>0</v>
      </c>
      <c r="AL4" s="235">
        <v>0</v>
      </c>
      <c r="AM4" s="235">
        <v>3468</v>
      </c>
      <c r="AN4" s="235">
        <v>7748</v>
      </c>
      <c r="AO4" s="235">
        <v>5187</v>
      </c>
      <c r="AP4" s="235">
        <v>0</v>
      </c>
      <c r="AQ4" s="235">
        <v>2041</v>
      </c>
      <c r="AR4" s="236">
        <v>3114</v>
      </c>
      <c r="AS4" s="217">
        <v>52813227.620466962</v>
      </c>
      <c r="AT4" s="203">
        <v>3</v>
      </c>
      <c r="AU4" s="203">
        <v>2358</v>
      </c>
      <c r="AV4" s="217">
        <v>22397.467184252317</v>
      </c>
      <c r="AW4" s="217">
        <v>0</v>
      </c>
      <c r="AX4" s="203">
        <v>0</v>
      </c>
      <c r="AY4" s="203">
        <v>0</v>
      </c>
      <c r="AZ4" s="217" t="s">
        <v>687</v>
      </c>
      <c r="BA4" s="217">
        <v>0</v>
      </c>
      <c r="BB4" s="203">
        <v>0</v>
      </c>
      <c r="BC4" s="158">
        <v>0</v>
      </c>
      <c r="BD4" s="307" t="s">
        <v>687</v>
      </c>
    </row>
    <row r="5" spans="1:57" x14ac:dyDescent="0.45">
      <c r="A5">
        <v>302</v>
      </c>
      <c r="B5" t="s">
        <v>4</v>
      </c>
      <c r="C5" s="238" t="s">
        <v>564</v>
      </c>
      <c r="D5" s="280">
        <v>112361168.95</v>
      </c>
      <c r="E5" s="203">
        <v>15585</v>
      </c>
      <c r="F5" s="282">
        <v>22622</v>
      </c>
      <c r="G5" s="286">
        <v>0.45152390118703883</v>
      </c>
      <c r="H5" s="160">
        <v>24087</v>
      </c>
      <c r="I5" s="159">
        <v>31000</v>
      </c>
      <c r="J5" s="159">
        <v>840</v>
      </c>
      <c r="K5" s="159">
        <v>0</v>
      </c>
      <c r="L5" s="159">
        <v>2370</v>
      </c>
      <c r="M5" s="170">
        <v>9.4929633617410802E-2</v>
      </c>
      <c r="N5" s="270">
        <v>20540</v>
      </c>
      <c r="O5" s="273">
        <v>21094</v>
      </c>
      <c r="P5" s="274">
        <v>2.6971762414800399E-2</v>
      </c>
      <c r="Q5" s="273">
        <v>21062</v>
      </c>
      <c r="R5" s="272">
        <v>2.54138266796495E-2</v>
      </c>
      <c r="S5" s="255">
        <v>67.099999999999994</v>
      </c>
      <c r="T5" s="256">
        <v>12.6</v>
      </c>
      <c r="U5" s="256">
        <v>5.6</v>
      </c>
      <c r="V5" s="257">
        <v>85.3</v>
      </c>
      <c r="W5" s="160">
        <v>60</v>
      </c>
      <c r="X5" s="159">
        <v>270</v>
      </c>
      <c r="Y5" s="159">
        <v>0</v>
      </c>
      <c r="Z5" s="159">
        <v>0</v>
      </c>
      <c r="AA5" s="159">
        <v>900</v>
      </c>
      <c r="AB5" s="159">
        <v>9484</v>
      </c>
      <c r="AC5" s="159">
        <v>18069</v>
      </c>
      <c r="AD5" s="159">
        <v>0</v>
      </c>
      <c r="AE5" s="159">
        <v>0</v>
      </c>
      <c r="AF5" s="203">
        <v>747</v>
      </c>
      <c r="AG5" s="237">
        <v>60</v>
      </c>
      <c r="AH5" s="233">
        <v>270</v>
      </c>
      <c r="AI5" s="233">
        <v>0</v>
      </c>
      <c r="AJ5" s="233">
        <v>0</v>
      </c>
      <c r="AK5" s="233">
        <v>0</v>
      </c>
      <c r="AL5" s="233">
        <v>900</v>
      </c>
      <c r="AM5" s="233">
        <v>20076</v>
      </c>
      <c r="AN5" s="233">
        <v>2948</v>
      </c>
      <c r="AO5" s="233">
        <v>3714</v>
      </c>
      <c r="AP5" s="233">
        <v>815</v>
      </c>
      <c r="AQ5" s="233">
        <v>0</v>
      </c>
      <c r="AR5" s="238">
        <v>747</v>
      </c>
      <c r="AS5" s="217">
        <v>0</v>
      </c>
      <c r="AT5" s="203">
        <v>0</v>
      </c>
      <c r="AU5" s="203">
        <v>0</v>
      </c>
      <c r="AV5" s="217" t="s">
        <v>687</v>
      </c>
      <c r="AW5" s="217">
        <v>0</v>
      </c>
      <c r="AX5" s="203">
        <v>0</v>
      </c>
      <c r="AY5" s="203">
        <v>0</v>
      </c>
      <c r="AZ5" s="217" t="s">
        <v>687</v>
      </c>
      <c r="BA5" s="217">
        <v>0</v>
      </c>
      <c r="BB5" s="203">
        <v>0</v>
      </c>
      <c r="BC5" s="203">
        <v>0</v>
      </c>
      <c r="BD5" s="307" t="s">
        <v>687</v>
      </c>
    </row>
    <row r="6" spans="1:57" x14ac:dyDescent="0.45">
      <c r="A6">
        <v>370</v>
      </c>
      <c r="B6" t="s">
        <v>5</v>
      </c>
      <c r="C6" s="238" t="s">
        <v>565</v>
      </c>
      <c r="D6" s="280">
        <v>30289536.73</v>
      </c>
      <c r="E6" s="203">
        <v>12186</v>
      </c>
      <c r="F6" s="282">
        <v>12750</v>
      </c>
      <c r="G6" s="286">
        <v>4.6282619399310686E-2</v>
      </c>
      <c r="H6" s="160">
        <v>14350</v>
      </c>
      <c r="I6" s="159">
        <v>13520</v>
      </c>
      <c r="J6" s="159">
        <v>290</v>
      </c>
      <c r="K6" s="159">
        <v>100</v>
      </c>
      <c r="L6" s="159">
        <v>520</v>
      </c>
      <c r="M6" s="170">
        <v>3.9792029951536502E-2</v>
      </c>
      <c r="N6" s="270">
        <v>11484</v>
      </c>
      <c r="O6" s="273">
        <v>11726</v>
      </c>
      <c r="P6" s="274">
        <v>2.1072796934865901E-2</v>
      </c>
      <c r="Q6" s="273">
        <v>11482</v>
      </c>
      <c r="R6" s="272">
        <v>-1.7415534656914001E-4</v>
      </c>
      <c r="S6" s="255">
        <v>94.5</v>
      </c>
      <c r="T6" s="256">
        <v>3.4</v>
      </c>
      <c r="U6" s="256">
        <v>0.5</v>
      </c>
      <c r="V6" s="257">
        <v>98.4</v>
      </c>
      <c r="W6" s="160">
        <v>0</v>
      </c>
      <c r="X6" s="159">
        <v>0</v>
      </c>
      <c r="Y6" s="159">
        <v>0</v>
      </c>
      <c r="Z6" s="159">
        <v>0</v>
      </c>
      <c r="AA6" s="159">
        <v>0</v>
      </c>
      <c r="AB6" s="159">
        <v>0</v>
      </c>
      <c r="AC6" s="159">
        <v>6300</v>
      </c>
      <c r="AD6" s="159">
        <v>3300</v>
      </c>
      <c r="AE6" s="159">
        <v>0</v>
      </c>
      <c r="AF6" s="203">
        <v>0</v>
      </c>
      <c r="AG6" s="237">
        <v>0</v>
      </c>
      <c r="AH6" s="233">
        <v>0</v>
      </c>
      <c r="AI6" s="233">
        <v>0</v>
      </c>
      <c r="AJ6" s="233">
        <v>0</v>
      </c>
      <c r="AK6" s="233">
        <v>0</v>
      </c>
      <c r="AL6" s="233">
        <v>0</v>
      </c>
      <c r="AM6" s="233">
        <v>0</v>
      </c>
      <c r="AN6" s="233">
        <v>1700</v>
      </c>
      <c r="AO6" s="233">
        <v>6700</v>
      </c>
      <c r="AP6" s="233">
        <v>0</v>
      </c>
      <c r="AQ6" s="233">
        <v>0</v>
      </c>
      <c r="AR6" s="238">
        <v>1200</v>
      </c>
      <c r="AS6" s="217">
        <v>0</v>
      </c>
      <c r="AT6" s="203">
        <v>0</v>
      </c>
      <c r="AU6" s="203">
        <v>0</v>
      </c>
      <c r="AV6" s="217" t="s">
        <v>687</v>
      </c>
      <c r="AW6" s="217">
        <v>0</v>
      </c>
      <c r="AX6" s="203">
        <v>0</v>
      </c>
      <c r="AY6" s="203">
        <v>0</v>
      </c>
      <c r="AZ6" s="217" t="s">
        <v>687</v>
      </c>
      <c r="BA6" s="217">
        <v>0</v>
      </c>
      <c r="BB6" s="203">
        <v>0</v>
      </c>
      <c r="BC6" s="203">
        <v>0</v>
      </c>
      <c r="BD6" s="307" t="s">
        <v>687</v>
      </c>
    </row>
    <row r="7" spans="1:57" x14ac:dyDescent="0.45">
      <c r="A7">
        <v>800</v>
      </c>
      <c r="B7" t="s">
        <v>6</v>
      </c>
      <c r="C7" s="238" t="s">
        <v>566</v>
      </c>
      <c r="D7" s="280">
        <v>41983924.130000003</v>
      </c>
      <c r="E7" s="203">
        <v>10689</v>
      </c>
      <c r="F7" s="282">
        <v>11877</v>
      </c>
      <c r="G7" s="286">
        <v>0.11114229581813079</v>
      </c>
      <c r="H7" s="160">
        <v>13856</v>
      </c>
      <c r="I7" s="159">
        <v>14998</v>
      </c>
      <c r="J7" s="159">
        <v>0</v>
      </c>
      <c r="K7" s="159">
        <v>470</v>
      </c>
      <c r="L7" s="159">
        <v>1330</v>
      </c>
      <c r="M7" s="170">
        <v>0.10415454766502601</v>
      </c>
      <c r="N7" s="270">
        <v>10946</v>
      </c>
      <c r="O7" s="273">
        <v>11223</v>
      </c>
      <c r="P7" s="274">
        <v>2.53060478713685E-2</v>
      </c>
      <c r="Q7" s="273">
        <v>11437</v>
      </c>
      <c r="R7" s="272">
        <v>4.4856568609537698E-2</v>
      </c>
      <c r="S7" s="255">
        <v>87.6</v>
      </c>
      <c r="T7" s="256">
        <v>6.9</v>
      </c>
      <c r="U7" s="256">
        <v>1.9</v>
      </c>
      <c r="V7" s="257">
        <v>96.4</v>
      </c>
      <c r="W7" s="160">
        <v>0</v>
      </c>
      <c r="X7" s="159">
        <v>335</v>
      </c>
      <c r="Y7" s="159">
        <v>0</v>
      </c>
      <c r="Z7" s="159">
        <v>25</v>
      </c>
      <c r="AA7" s="159">
        <v>0</v>
      </c>
      <c r="AB7" s="159">
        <v>2167</v>
      </c>
      <c r="AC7" s="159">
        <v>9095</v>
      </c>
      <c r="AD7" s="159">
        <v>2245</v>
      </c>
      <c r="AE7" s="159">
        <v>1131</v>
      </c>
      <c r="AF7" s="203">
        <v>0</v>
      </c>
      <c r="AG7" s="237">
        <v>0</v>
      </c>
      <c r="AH7" s="233">
        <v>0</v>
      </c>
      <c r="AI7" s="233">
        <v>0</v>
      </c>
      <c r="AJ7" s="233">
        <v>0</v>
      </c>
      <c r="AK7" s="233">
        <v>335</v>
      </c>
      <c r="AL7" s="233">
        <v>25</v>
      </c>
      <c r="AM7" s="233">
        <v>2065</v>
      </c>
      <c r="AN7" s="233">
        <v>3021</v>
      </c>
      <c r="AO7" s="233">
        <v>3277</v>
      </c>
      <c r="AP7" s="233">
        <v>2981</v>
      </c>
      <c r="AQ7" s="233">
        <v>1263</v>
      </c>
      <c r="AR7" s="238">
        <v>2031</v>
      </c>
      <c r="AS7" s="217">
        <v>0</v>
      </c>
      <c r="AT7" s="203">
        <v>0</v>
      </c>
      <c r="AU7" s="203">
        <v>0</v>
      </c>
      <c r="AV7" s="217" t="s">
        <v>687</v>
      </c>
      <c r="AW7" s="217">
        <v>0</v>
      </c>
      <c r="AX7" s="203">
        <v>0</v>
      </c>
      <c r="AY7" s="203">
        <v>0</v>
      </c>
      <c r="AZ7" s="217" t="s">
        <v>687</v>
      </c>
      <c r="BA7" s="217">
        <v>0</v>
      </c>
      <c r="BB7" s="203">
        <v>0</v>
      </c>
      <c r="BC7" s="203">
        <v>0</v>
      </c>
      <c r="BD7" s="307" t="s">
        <v>687</v>
      </c>
    </row>
    <row r="8" spans="1:57" x14ac:dyDescent="0.45">
      <c r="A8">
        <v>822</v>
      </c>
      <c r="B8" t="s">
        <v>7</v>
      </c>
      <c r="C8" s="238" t="s">
        <v>567</v>
      </c>
      <c r="D8" s="280">
        <v>53898320.190000005</v>
      </c>
      <c r="E8" s="203">
        <v>9159</v>
      </c>
      <c r="F8" s="282">
        <v>11652</v>
      </c>
      <c r="G8" s="286">
        <v>0.27219128725843433</v>
      </c>
      <c r="H8" s="160">
        <v>15299</v>
      </c>
      <c r="I8" s="159">
        <v>14407</v>
      </c>
      <c r="J8" s="159">
        <v>0</v>
      </c>
      <c r="K8" s="159">
        <v>800</v>
      </c>
      <c r="L8" s="159">
        <v>2030</v>
      </c>
      <c r="M8" s="170">
        <v>0.15778303217362599</v>
      </c>
      <c r="N8" s="270">
        <v>9786</v>
      </c>
      <c r="O8" s="273">
        <v>10079</v>
      </c>
      <c r="P8" s="274">
        <v>2.99407316574699E-2</v>
      </c>
      <c r="Q8" s="273">
        <v>9778</v>
      </c>
      <c r="R8" s="272">
        <v>-8.1749437972613898E-4</v>
      </c>
      <c r="S8" s="255">
        <v>85.9</v>
      </c>
      <c r="T8" s="256">
        <v>9.1</v>
      </c>
      <c r="U8" s="256">
        <v>2</v>
      </c>
      <c r="V8" s="257">
        <v>97</v>
      </c>
      <c r="W8" s="160">
        <v>0</v>
      </c>
      <c r="X8" s="159">
        <v>0</v>
      </c>
      <c r="Y8" s="159">
        <v>0</v>
      </c>
      <c r="Z8" s="159">
        <v>0</v>
      </c>
      <c r="AA8" s="159">
        <v>0</v>
      </c>
      <c r="AB8" s="159">
        <v>1232</v>
      </c>
      <c r="AC8" s="159">
        <v>11885</v>
      </c>
      <c r="AD8" s="159">
        <v>500</v>
      </c>
      <c r="AE8" s="159">
        <v>0</v>
      </c>
      <c r="AF8" s="203">
        <v>600</v>
      </c>
      <c r="AG8" s="237">
        <v>0</v>
      </c>
      <c r="AH8" s="233">
        <v>0</v>
      </c>
      <c r="AI8" s="233">
        <v>0</v>
      </c>
      <c r="AJ8" s="233">
        <v>0</v>
      </c>
      <c r="AK8" s="233">
        <v>0</v>
      </c>
      <c r="AL8" s="233">
        <v>0</v>
      </c>
      <c r="AM8" s="233">
        <v>500</v>
      </c>
      <c r="AN8" s="233">
        <v>3495</v>
      </c>
      <c r="AO8" s="233">
        <v>3497</v>
      </c>
      <c r="AP8" s="233">
        <v>1243</v>
      </c>
      <c r="AQ8" s="233">
        <v>1080</v>
      </c>
      <c r="AR8" s="238">
        <v>4402</v>
      </c>
      <c r="AS8" s="217">
        <v>1228764.4787644788</v>
      </c>
      <c r="AT8" s="203">
        <v>1</v>
      </c>
      <c r="AU8" s="203">
        <v>90</v>
      </c>
      <c r="AV8" s="217">
        <v>13652.938652938654</v>
      </c>
      <c r="AW8" s="217">
        <v>0</v>
      </c>
      <c r="AX8" s="203">
        <v>0</v>
      </c>
      <c r="AY8" s="203">
        <v>0</v>
      </c>
      <c r="AZ8" s="217" t="s">
        <v>687</v>
      </c>
      <c r="BA8" s="217">
        <v>0</v>
      </c>
      <c r="BB8" s="203">
        <v>0</v>
      </c>
      <c r="BC8" s="203">
        <v>0</v>
      </c>
      <c r="BD8" s="307" t="s">
        <v>687</v>
      </c>
    </row>
    <row r="9" spans="1:57" x14ac:dyDescent="0.45">
      <c r="A9">
        <v>303</v>
      </c>
      <c r="B9" t="s">
        <v>8</v>
      </c>
      <c r="C9" s="238" t="s">
        <v>564</v>
      </c>
      <c r="D9" s="280">
        <v>57825284.169999994</v>
      </c>
      <c r="E9" s="203">
        <v>14591</v>
      </c>
      <c r="F9" s="282">
        <v>17142</v>
      </c>
      <c r="G9" s="286">
        <v>0.17483380165855664</v>
      </c>
      <c r="H9" s="160">
        <v>21891</v>
      </c>
      <c r="I9" s="159">
        <v>23799</v>
      </c>
      <c r="J9" s="159">
        <v>0</v>
      </c>
      <c r="K9" s="159">
        <v>0</v>
      </c>
      <c r="L9" s="159">
        <v>1780</v>
      </c>
      <c r="M9" s="170">
        <v>9.4188465218262504E-2</v>
      </c>
      <c r="N9" s="270">
        <v>16127</v>
      </c>
      <c r="O9" s="273">
        <v>16800</v>
      </c>
      <c r="P9" s="274">
        <v>4.1731258138525497E-2</v>
      </c>
      <c r="Q9" s="273">
        <v>17250</v>
      </c>
      <c r="R9" s="272">
        <v>6.9634773981521694E-2</v>
      </c>
      <c r="S9" s="255">
        <v>68.599999999999994</v>
      </c>
      <c r="T9" s="256">
        <v>13.9</v>
      </c>
      <c r="U9" s="256">
        <v>6</v>
      </c>
      <c r="V9" s="257">
        <v>88.5</v>
      </c>
      <c r="W9" s="160">
        <v>80</v>
      </c>
      <c r="X9" s="159">
        <v>0</v>
      </c>
      <c r="Y9" s="159">
        <v>0</v>
      </c>
      <c r="Z9" s="159">
        <v>0</v>
      </c>
      <c r="AA9" s="159">
        <v>0</v>
      </c>
      <c r="AB9" s="159">
        <v>5500</v>
      </c>
      <c r="AC9" s="159">
        <v>7394</v>
      </c>
      <c r="AD9" s="159">
        <v>4065</v>
      </c>
      <c r="AE9" s="159">
        <v>2100</v>
      </c>
      <c r="AF9" s="203">
        <v>0</v>
      </c>
      <c r="AG9" s="237">
        <v>0</v>
      </c>
      <c r="AH9" s="233">
        <v>80</v>
      </c>
      <c r="AI9" s="233">
        <v>0</v>
      </c>
      <c r="AJ9" s="233">
        <v>0</v>
      </c>
      <c r="AK9" s="233">
        <v>0</v>
      </c>
      <c r="AL9" s="233">
        <v>0</v>
      </c>
      <c r="AM9" s="233">
        <v>2600</v>
      </c>
      <c r="AN9" s="233">
        <v>4144</v>
      </c>
      <c r="AO9" s="233">
        <v>4800</v>
      </c>
      <c r="AP9" s="233">
        <v>2215</v>
      </c>
      <c r="AQ9" s="233">
        <v>5300</v>
      </c>
      <c r="AR9" s="238">
        <v>0</v>
      </c>
      <c r="AS9" s="217">
        <v>0</v>
      </c>
      <c r="AT9" s="203">
        <v>0</v>
      </c>
      <c r="AU9" s="203">
        <v>0</v>
      </c>
      <c r="AV9" s="217" t="s">
        <v>687</v>
      </c>
      <c r="AW9" s="217">
        <v>0</v>
      </c>
      <c r="AX9" s="203">
        <v>0</v>
      </c>
      <c r="AY9" s="203">
        <v>0</v>
      </c>
      <c r="AZ9" s="217" t="s">
        <v>687</v>
      </c>
      <c r="BA9" s="217">
        <v>0</v>
      </c>
      <c r="BB9" s="203">
        <v>0</v>
      </c>
      <c r="BC9" s="203">
        <v>0</v>
      </c>
      <c r="BD9" s="307" t="s">
        <v>687</v>
      </c>
    </row>
    <row r="10" spans="1:57" x14ac:dyDescent="0.45">
      <c r="A10">
        <v>330</v>
      </c>
      <c r="B10" t="s">
        <v>9</v>
      </c>
      <c r="C10" s="238" t="s">
        <v>568</v>
      </c>
      <c r="D10" s="280">
        <v>294689266.74000001</v>
      </c>
      <c r="E10" s="203">
        <v>59261</v>
      </c>
      <c r="F10" s="282">
        <v>74560</v>
      </c>
      <c r="G10" s="286">
        <v>0.25816304146065711</v>
      </c>
      <c r="H10" s="160">
        <v>70812</v>
      </c>
      <c r="I10" s="159">
        <v>89021</v>
      </c>
      <c r="J10" s="159">
        <v>4787</v>
      </c>
      <c r="K10" s="159">
        <v>790</v>
      </c>
      <c r="L10" s="159">
        <v>4930</v>
      </c>
      <c r="M10" s="170">
        <v>6.2626444296601094E-2</v>
      </c>
      <c r="N10" s="270">
        <v>68221</v>
      </c>
      <c r="O10" s="273">
        <v>69307</v>
      </c>
      <c r="P10" s="274">
        <v>1.5918851966403299E-2</v>
      </c>
      <c r="Q10" s="273">
        <v>71130</v>
      </c>
      <c r="R10" s="272">
        <v>4.26408290702276E-2</v>
      </c>
      <c r="S10" s="255">
        <v>67.7</v>
      </c>
      <c r="T10" s="256">
        <v>12.7</v>
      </c>
      <c r="U10" s="256">
        <v>6</v>
      </c>
      <c r="V10" s="257">
        <v>86.4</v>
      </c>
      <c r="W10" s="160">
        <v>160</v>
      </c>
      <c r="X10" s="159">
        <v>244</v>
      </c>
      <c r="Y10" s="159">
        <v>60</v>
      </c>
      <c r="Z10" s="159">
        <v>0</v>
      </c>
      <c r="AA10" s="159">
        <v>800</v>
      </c>
      <c r="AB10" s="159">
        <v>27429</v>
      </c>
      <c r="AC10" s="159">
        <v>35691</v>
      </c>
      <c r="AD10" s="159">
        <v>11669</v>
      </c>
      <c r="AE10" s="159">
        <v>5078</v>
      </c>
      <c r="AF10" s="203">
        <v>0</v>
      </c>
      <c r="AG10" s="237">
        <v>0</v>
      </c>
      <c r="AH10" s="233">
        <v>0</v>
      </c>
      <c r="AI10" s="233">
        <v>184</v>
      </c>
      <c r="AJ10" s="233">
        <v>0</v>
      </c>
      <c r="AK10" s="233">
        <v>120</v>
      </c>
      <c r="AL10" s="233">
        <v>960</v>
      </c>
      <c r="AM10" s="233">
        <v>18143</v>
      </c>
      <c r="AN10" s="233">
        <v>12396</v>
      </c>
      <c r="AO10" s="233">
        <v>31668</v>
      </c>
      <c r="AP10" s="233">
        <v>8134</v>
      </c>
      <c r="AQ10" s="233">
        <v>4144</v>
      </c>
      <c r="AR10" s="238">
        <v>5382</v>
      </c>
      <c r="AS10" s="217">
        <v>568581.8456122725</v>
      </c>
      <c r="AT10" s="203">
        <v>1</v>
      </c>
      <c r="AU10" s="203">
        <v>75</v>
      </c>
      <c r="AV10" s="217">
        <v>7581.0912748302999</v>
      </c>
      <c r="AW10" s="217">
        <v>380568.75857316906</v>
      </c>
      <c r="AX10" s="203">
        <v>3</v>
      </c>
      <c r="AY10" s="203">
        <v>100</v>
      </c>
      <c r="AZ10" s="217">
        <v>3805.6875857316904</v>
      </c>
      <c r="BA10" s="217">
        <v>0</v>
      </c>
      <c r="BB10" s="203">
        <v>0</v>
      </c>
      <c r="BC10" s="203">
        <v>0</v>
      </c>
      <c r="BD10" s="307" t="s">
        <v>687</v>
      </c>
    </row>
    <row r="11" spans="1:57" x14ac:dyDescent="0.45">
      <c r="A11">
        <v>889</v>
      </c>
      <c r="B11" t="s">
        <v>10</v>
      </c>
      <c r="C11" s="238" t="s">
        <v>569</v>
      </c>
      <c r="D11" s="280">
        <v>19797556.990000002</v>
      </c>
      <c r="E11" s="203">
        <v>8314</v>
      </c>
      <c r="F11" s="282">
        <v>10831</v>
      </c>
      <c r="G11" s="286">
        <v>0.30274236228049073</v>
      </c>
      <c r="H11" s="160">
        <v>10394</v>
      </c>
      <c r="I11" s="159">
        <v>12845</v>
      </c>
      <c r="J11" s="159">
        <v>0</v>
      </c>
      <c r="K11" s="159">
        <v>0</v>
      </c>
      <c r="L11" s="159">
        <v>870</v>
      </c>
      <c r="M11" s="170">
        <v>7.4156522367467004E-2</v>
      </c>
      <c r="N11" s="270">
        <v>9938</v>
      </c>
      <c r="O11" s="273">
        <v>9872</v>
      </c>
      <c r="P11" s="274">
        <v>-6.6411752867780198E-3</v>
      </c>
      <c r="Q11" s="273">
        <v>9835</v>
      </c>
      <c r="R11" s="272">
        <v>-1.0364258402093001E-2</v>
      </c>
      <c r="S11" s="255">
        <v>79.599999999999994</v>
      </c>
      <c r="T11" s="256">
        <v>12.7</v>
      </c>
      <c r="U11" s="256">
        <v>3.1</v>
      </c>
      <c r="V11" s="257">
        <v>95.4</v>
      </c>
      <c r="W11" s="160">
        <v>0</v>
      </c>
      <c r="X11" s="159">
        <v>50</v>
      </c>
      <c r="Y11" s="159">
        <v>0</v>
      </c>
      <c r="Z11" s="159">
        <v>0</v>
      </c>
      <c r="AA11" s="159">
        <v>0</v>
      </c>
      <c r="AB11" s="159">
        <v>2950</v>
      </c>
      <c r="AC11" s="159">
        <v>6540</v>
      </c>
      <c r="AD11" s="159">
        <v>3025</v>
      </c>
      <c r="AE11" s="159">
        <v>0</v>
      </c>
      <c r="AF11" s="203">
        <v>0</v>
      </c>
      <c r="AG11" s="237">
        <v>0</v>
      </c>
      <c r="AH11" s="233">
        <v>0</v>
      </c>
      <c r="AI11" s="233">
        <v>50</v>
      </c>
      <c r="AJ11" s="233">
        <v>0</v>
      </c>
      <c r="AK11" s="233">
        <v>0</v>
      </c>
      <c r="AL11" s="233">
        <v>0</v>
      </c>
      <c r="AM11" s="233">
        <v>3230</v>
      </c>
      <c r="AN11" s="233">
        <v>0</v>
      </c>
      <c r="AO11" s="233">
        <v>5285</v>
      </c>
      <c r="AP11" s="233">
        <v>3700</v>
      </c>
      <c r="AQ11" s="233">
        <v>0</v>
      </c>
      <c r="AR11" s="238">
        <v>300</v>
      </c>
      <c r="AS11" s="217">
        <v>0</v>
      </c>
      <c r="AT11" s="203">
        <v>0</v>
      </c>
      <c r="AU11" s="203">
        <v>0</v>
      </c>
      <c r="AV11" s="217" t="s">
        <v>687</v>
      </c>
      <c r="AW11" s="217">
        <v>0</v>
      </c>
      <c r="AX11" s="203">
        <v>0</v>
      </c>
      <c r="AY11" s="203">
        <v>0</v>
      </c>
      <c r="AZ11" s="217" t="s">
        <v>687</v>
      </c>
      <c r="BA11" s="217">
        <v>0</v>
      </c>
      <c r="BB11" s="203">
        <v>0</v>
      </c>
      <c r="BC11" s="203">
        <v>0</v>
      </c>
      <c r="BD11" s="307" t="s">
        <v>687</v>
      </c>
    </row>
    <row r="12" spans="1:57" x14ac:dyDescent="0.45">
      <c r="A12">
        <v>890</v>
      </c>
      <c r="B12" t="s">
        <v>11</v>
      </c>
      <c r="C12" s="238" t="s">
        <v>569</v>
      </c>
      <c r="D12" s="280">
        <v>23671643.190000001</v>
      </c>
      <c r="E12" s="203">
        <v>7800</v>
      </c>
      <c r="F12" s="282">
        <v>6511</v>
      </c>
      <c r="G12" s="286">
        <v>-0.16525641025641025</v>
      </c>
      <c r="H12" s="160">
        <v>8707</v>
      </c>
      <c r="I12" s="159">
        <v>9022</v>
      </c>
      <c r="J12" s="159">
        <v>0</v>
      </c>
      <c r="K12" s="159">
        <v>10</v>
      </c>
      <c r="L12" s="159">
        <v>1370</v>
      </c>
      <c r="M12" s="170">
        <v>0.17459955956390599</v>
      </c>
      <c r="N12" s="270">
        <v>6139</v>
      </c>
      <c r="O12" s="273">
        <v>6090</v>
      </c>
      <c r="P12" s="274">
        <v>-7.98175598631699E-3</v>
      </c>
      <c r="Q12" s="273">
        <v>6705</v>
      </c>
      <c r="R12" s="272">
        <v>9.2197426290926907E-2</v>
      </c>
      <c r="S12" s="255">
        <v>80.599999999999994</v>
      </c>
      <c r="T12" s="256">
        <v>11.8</v>
      </c>
      <c r="U12" s="256">
        <v>2</v>
      </c>
      <c r="V12" s="257">
        <v>94.5</v>
      </c>
      <c r="W12" s="160">
        <v>0</v>
      </c>
      <c r="X12" s="159">
        <v>175</v>
      </c>
      <c r="Y12" s="159">
        <v>0</v>
      </c>
      <c r="Z12" s="159">
        <v>0</v>
      </c>
      <c r="AA12" s="159">
        <v>800</v>
      </c>
      <c r="AB12" s="159">
        <v>0</v>
      </c>
      <c r="AC12" s="159">
        <v>3655</v>
      </c>
      <c r="AD12" s="159">
        <v>2352</v>
      </c>
      <c r="AE12" s="159">
        <v>1200</v>
      </c>
      <c r="AF12" s="203">
        <v>0</v>
      </c>
      <c r="AG12" s="237">
        <v>0</v>
      </c>
      <c r="AH12" s="233">
        <v>0</v>
      </c>
      <c r="AI12" s="233">
        <v>0</v>
      </c>
      <c r="AJ12" s="233">
        <v>60</v>
      </c>
      <c r="AK12" s="233">
        <v>115</v>
      </c>
      <c r="AL12" s="233">
        <v>800</v>
      </c>
      <c r="AM12" s="233">
        <v>0</v>
      </c>
      <c r="AN12" s="233">
        <v>0</v>
      </c>
      <c r="AO12" s="233">
        <v>1950</v>
      </c>
      <c r="AP12" s="233">
        <v>1220</v>
      </c>
      <c r="AQ12" s="233">
        <v>4037</v>
      </c>
      <c r="AR12" s="238">
        <v>0</v>
      </c>
      <c r="AS12" s="217">
        <v>0</v>
      </c>
      <c r="AT12" s="203">
        <v>0</v>
      </c>
      <c r="AU12" s="203">
        <v>0</v>
      </c>
      <c r="AV12" s="217" t="s">
        <v>687</v>
      </c>
      <c r="AW12" s="217">
        <v>0</v>
      </c>
      <c r="AX12" s="203">
        <v>0</v>
      </c>
      <c r="AY12" s="203">
        <v>0</v>
      </c>
      <c r="AZ12" s="217" t="s">
        <v>687</v>
      </c>
      <c r="BA12" s="217">
        <v>0</v>
      </c>
      <c r="BB12" s="203">
        <v>0</v>
      </c>
      <c r="BC12" s="203">
        <v>0</v>
      </c>
      <c r="BD12" s="307" t="s">
        <v>687</v>
      </c>
      <c r="BE12" s="208"/>
    </row>
    <row r="13" spans="1:57" x14ac:dyDescent="0.45">
      <c r="A13">
        <v>350</v>
      </c>
      <c r="B13" t="s">
        <v>13</v>
      </c>
      <c r="C13" s="238" t="s">
        <v>569</v>
      </c>
      <c r="D13" s="280">
        <v>66415938.590000004</v>
      </c>
      <c r="E13" s="203">
        <v>15728</v>
      </c>
      <c r="F13" s="282">
        <v>20115</v>
      </c>
      <c r="G13" s="286">
        <v>0.2789292980671414</v>
      </c>
      <c r="H13" s="160">
        <v>19514</v>
      </c>
      <c r="I13" s="159">
        <v>21667</v>
      </c>
      <c r="J13" s="159">
        <v>1733</v>
      </c>
      <c r="K13" s="159">
        <v>40</v>
      </c>
      <c r="L13" s="159">
        <v>1530</v>
      </c>
      <c r="M13" s="170">
        <v>7.1020280875548805E-2</v>
      </c>
      <c r="N13" s="270">
        <v>17894</v>
      </c>
      <c r="O13" s="273">
        <v>17907</v>
      </c>
      <c r="P13" s="274">
        <v>7.2650050296188702E-4</v>
      </c>
      <c r="Q13" s="273">
        <v>18112</v>
      </c>
      <c r="R13" s="272">
        <v>1.21828545881301E-2</v>
      </c>
      <c r="S13" s="255">
        <v>75.2</v>
      </c>
      <c r="T13" s="256">
        <v>11.9</v>
      </c>
      <c r="U13" s="256">
        <v>4.2</v>
      </c>
      <c r="V13" s="257">
        <v>91.3</v>
      </c>
      <c r="W13" s="160">
        <v>134</v>
      </c>
      <c r="X13" s="159">
        <v>150</v>
      </c>
      <c r="Y13" s="159">
        <v>0</v>
      </c>
      <c r="Z13" s="159">
        <v>0</v>
      </c>
      <c r="AA13" s="159">
        <v>0</v>
      </c>
      <c r="AB13" s="159">
        <v>3998</v>
      </c>
      <c r="AC13" s="159">
        <v>11010</v>
      </c>
      <c r="AD13" s="159">
        <v>6075</v>
      </c>
      <c r="AE13" s="159">
        <v>0</v>
      </c>
      <c r="AF13" s="203">
        <v>0</v>
      </c>
      <c r="AG13" s="237">
        <v>134</v>
      </c>
      <c r="AH13" s="233">
        <v>0</v>
      </c>
      <c r="AI13" s="233">
        <v>0</v>
      </c>
      <c r="AJ13" s="233">
        <v>150</v>
      </c>
      <c r="AK13" s="233">
        <v>0</v>
      </c>
      <c r="AL13" s="233">
        <v>0</v>
      </c>
      <c r="AM13" s="233">
        <v>2313</v>
      </c>
      <c r="AN13" s="233">
        <v>900</v>
      </c>
      <c r="AO13" s="233">
        <v>5293</v>
      </c>
      <c r="AP13" s="233">
        <v>10252</v>
      </c>
      <c r="AQ13" s="233">
        <v>1725</v>
      </c>
      <c r="AR13" s="238">
        <v>600</v>
      </c>
      <c r="AS13" s="217">
        <v>0</v>
      </c>
      <c r="AT13" s="203">
        <v>0</v>
      </c>
      <c r="AU13" s="203">
        <v>0</v>
      </c>
      <c r="AV13" s="217" t="s">
        <v>687</v>
      </c>
      <c r="AW13" s="217">
        <v>0</v>
      </c>
      <c r="AX13" s="203">
        <v>0</v>
      </c>
      <c r="AY13" s="203">
        <v>0</v>
      </c>
      <c r="AZ13" s="217" t="s">
        <v>687</v>
      </c>
      <c r="BA13" s="217">
        <v>0</v>
      </c>
      <c r="BB13" s="203">
        <v>0</v>
      </c>
      <c r="BC13" s="203">
        <v>0</v>
      </c>
      <c r="BD13" s="307" t="s">
        <v>687</v>
      </c>
      <c r="BE13" s="208"/>
    </row>
    <row r="14" spans="1:57" s="208" customFormat="1" x14ac:dyDescent="0.45">
      <c r="A14" s="208">
        <v>837</v>
      </c>
      <c r="B14" s="208" t="s">
        <v>722</v>
      </c>
      <c r="C14" s="316" t="s">
        <v>566</v>
      </c>
      <c r="D14" s="290" t="s">
        <v>687</v>
      </c>
      <c r="E14" s="227">
        <v>8542</v>
      </c>
      <c r="F14" s="291" t="s">
        <v>687</v>
      </c>
      <c r="G14" s="292" t="s">
        <v>687</v>
      </c>
      <c r="H14" s="293">
        <v>10287</v>
      </c>
      <c r="I14" s="294" t="s">
        <v>687</v>
      </c>
      <c r="J14" s="294" t="s">
        <v>687</v>
      </c>
      <c r="K14" s="294" t="s">
        <v>687</v>
      </c>
      <c r="L14" s="294" t="s">
        <v>687</v>
      </c>
      <c r="M14" s="295" t="s">
        <v>687</v>
      </c>
      <c r="N14" s="296" t="s">
        <v>687</v>
      </c>
      <c r="O14" s="297">
        <v>8315</v>
      </c>
      <c r="P14" s="298" t="s">
        <v>687</v>
      </c>
      <c r="Q14" s="297">
        <v>8281</v>
      </c>
      <c r="R14" s="299" t="s">
        <v>687</v>
      </c>
      <c r="S14" s="300">
        <v>70.900000000000006</v>
      </c>
      <c r="T14" s="300">
        <v>13.1</v>
      </c>
      <c r="U14" s="300">
        <v>6</v>
      </c>
      <c r="V14" s="300">
        <v>90</v>
      </c>
      <c r="W14" s="293" t="s">
        <v>687</v>
      </c>
      <c r="X14" s="294" t="s">
        <v>687</v>
      </c>
      <c r="Y14" s="294" t="s">
        <v>687</v>
      </c>
      <c r="Z14" s="294" t="s">
        <v>687</v>
      </c>
      <c r="AA14" s="294" t="s">
        <v>687</v>
      </c>
      <c r="AB14" s="294" t="s">
        <v>687</v>
      </c>
      <c r="AC14" s="294" t="s">
        <v>687</v>
      </c>
      <c r="AD14" s="294" t="s">
        <v>687</v>
      </c>
      <c r="AE14" s="294" t="s">
        <v>687</v>
      </c>
      <c r="AF14" s="301" t="s">
        <v>687</v>
      </c>
      <c r="AG14" s="227" t="s">
        <v>687</v>
      </c>
      <c r="AH14" s="227" t="s">
        <v>687</v>
      </c>
      <c r="AI14" s="227" t="s">
        <v>687</v>
      </c>
      <c r="AJ14" s="227" t="s">
        <v>687</v>
      </c>
      <c r="AK14" s="227" t="s">
        <v>687</v>
      </c>
      <c r="AL14" s="227" t="s">
        <v>687</v>
      </c>
      <c r="AM14" s="227" t="s">
        <v>687</v>
      </c>
      <c r="AN14" s="227" t="s">
        <v>687</v>
      </c>
      <c r="AO14" s="227" t="s">
        <v>687</v>
      </c>
      <c r="AP14" s="227" t="s">
        <v>687</v>
      </c>
      <c r="AQ14" s="227" t="s">
        <v>687</v>
      </c>
      <c r="AR14" s="227" t="s">
        <v>687</v>
      </c>
      <c r="AS14" s="293">
        <v>0</v>
      </c>
      <c r="AT14" s="227">
        <v>0</v>
      </c>
      <c r="AU14" s="227">
        <v>0</v>
      </c>
      <c r="AV14" s="305" t="s">
        <v>687</v>
      </c>
      <c r="AW14" s="227">
        <v>0</v>
      </c>
      <c r="AX14" s="227">
        <v>0</v>
      </c>
      <c r="AY14" s="227">
        <v>0</v>
      </c>
      <c r="AZ14" s="305" t="s">
        <v>687</v>
      </c>
      <c r="BA14" s="227">
        <v>0</v>
      </c>
      <c r="BB14" s="227">
        <v>0</v>
      </c>
      <c r="BC14" s="227">
        <v>0</v>
      </c>
      <c r="BD14" s="305" t="s">
        <v>687</v>
      </c>
      <c r="BE14" s="249"/>
    </row>
    <row r="15" spans="1:57" s="208" customFormat="1" x14ac:dyDescent="0.45">
      <c r="A15" s="208">
        <v>839</v>
      </c>
      <c r="B15" s="208" t="s">
        <v>723</v>
      </c>
      <c r="C15" s="316" t="s">
        <v>566</v>
      </c>
      <c r="D15" s="302">
        <v>45177107.129999995</v>
      </c>
      <c r="E15" s="227" t="s">
        <v>687</v>
      </c>
      <c r="F15" s="303">
        <v>20005</v>
      </c>
      <c r="G15" s="292" t="s">
        <v>687</v>
      </c>
      <c r="H15" s="293" t="s">
        <v>687</v>
      </c>
      <c r="I15" s="294">
        <v>28447</v>
      </c>
      <c r="J15" s="294">
        <v>626</v>
      </c>
      <c r="K15" s="294">
        <v>20</v>
      </c>
      <c r="L15" s="294">
        <v>3760</v>
      </c>
      <c r="M15" s="295">
        <v>0.158243724241525</v>
      </c>
      <c r="N15" s="296">
        <v>18070</v>
      </c>
      <c r="O15" s="297" t="s">
        <v>687</v>
      </c>
      <c r="P15" s="298" t="s">
        <v>687</v>
      </c>
      <c r="Q15" s="297" t="s">
        <v>687</v>
      </c>
      <c r="R15" s="299" t="s">
        <v>687</v>
      </c>
      <c r="S15" s="300" t="s">
        <v>687</v>
      </c>
      <c r="T15" s="300" t="s">
        <v>687</v>
      </c>
      <c r="U15" s="300" t="s">
        <v>687</v>
      </c>
      <c r="V15" s="300" t="s">
        <v>687</v>
      </c>
      <c r="W15" s="293">
        <v>150</v>
      </c>
      <c r="X15" s="294">
        <v>482</v>
      </c>
      <c r="Y15" s="294">
        <v>112</v>
      </c>
      <c r="Z15" s="294">
        <v>27</v>
      </c>
      <c r="AA15" s="294">
        <v>0</v>
      </c>
      <c r="AB15" s="294">
        <v>8150</v>
      </c>
      <c r="AC15" s="294">
        <v>12349</v>
      </c>
      <c r="AD15" s="294">
        <v>3827</v>
      </c>
      <c r="AE15" s="294">
        <v>1792</v>
      </c>
      <c r="AF15" s="301">
        <v>0</v>
      </c>
      <c r="AG15" s="227">
        <v>0</v>
      </c>
      <c r="AH15" s="227">
        <v>550</v>
      </c>
      <c r="AI15" s="227">
        <v>221</v>
      </c>
      <c r="AJ15" s="227">
        <v>0</v>
      </c>
      <c r="AK15" s="227">
        <v>0</v>
      </c>
      <c r="AL15" s="227">
        <v>0</v>
      </c>
      <c r="AM15" s="227">
        <v>6606</v>
      </c>
      <c r="AN15" s="227">
        <v>6992</v>
      </c>
      <c r="AO15" s="227">
        <v>7423</v>
      </c>
      <c r="AP15" s="227">
        <v>0</v>
      </c>
      <c r="AQ15" s="227">
        <v>2555</v>
      </c>
      <c r="AR15" s="227">
        <v>2542</v>
      </c>
      <c r="AS15" s="293" t="s">
        <v>687</v>
      </c>
      <c r="AT15" s="227" t="s">
        <v>687</v>
      </c>
      <c r="AU15" s="227" t="s">
        <v>687</v>
      </c>
      <c r="AV15" s="305" t="s">
        <v>687</v>
      </c>
      <c r="AW15" s="227" t="s">
        <v>687</v>
      </c>
      <c r="AX15" s="227" t="s">
        <v>687</v>
      </c>
      <c r="AY15" s="227" t="s">
        <v>687</v>
      </c>
      <c r="AZ15" s="305" t="s">
        <v>687</v>
      </c>
      <c r="BA15" s="227" t="s">
        <v>687</v>
      </c>
      <c r="BB15" s="227" t="s">
        <v>687</v>
      </c>
      <c r="BC15" s="227" t="s">
        <v>687</v>
      </c>
      <c r="BD15" s="305" t="s">
        <v>687</v>
      </c>
      <c r="BE15" s="249"/>
    </row>
    <row r="16" spans="1:57" x14ac:dyDescent="0.45">
      <c r="A16">
        <v>867</v>
      </c>
      <c r="B16" t="s">
        <v>14</v>
      </c>
      <c r="C16" s="238" t="s">
        <v>570</v>
      </c>
      <c r="D16" s="280">
        <v>51466907.520000003</v>
      </c>
      <c r="E16" s="203">
        <v>5532</v>
      </c>
      <c r="F16" s="282">
        <v>6790</v>
      </c>
      <c r="G16" s="286">
        <v>0.22740419378163412</v>
      </c>
      <c r="H16" s="160">
        <v>7494</v>
      </c>
      <c r="I16" s="159">
        <v>9660</v>
      </c>
      <c r="J16" s="159">
        <v>120</v>
      </c>
      <c r="K16" s="159">
        <v>0</v>
      </c>
      <c r="L16" s="159">
        <v>1970</v>
      </c>
      <c r="M16" s="170">
        <v>0.22490488085493399</v>
      </c>
      <c r="N16" s="270">
        <v>6144</v>
      </c>
      <c r="O16" s="273">
        <v>6198</v>
      </c>
      <c r="P16" s="274">
        <v>8.7890625E-3</v>
      </c>
      <c r="Q16" s="273">
        <v>6616</v>
      </c>
      <c r="R16" s="272">
        <v>7.6822916666666699E-2</v>
      </c>
      <c r="S16" s="255">
        <v>82.3</v>
      </c>
      <c r="T16" s="256">
        <v>8</v>
      </c>
      <c r="U16" s="256">
        <v>5.2</v>
      </c>
      <c r="V16" s="257">
        <v>95.5</v>
      </c>
      <c r="W16" s="160">
        <v>30</v>
      </c>
      <c r="X16" s="159">
        <v>0</v>
      </c>
      <c r="Y16" s="159">
        <v>0</v>
      </c>
      <c r="Z16" s="159">
        <v>0</v>
      </c>
      <c r="AA16" s="159">
        <v>1365</v>
      </c>
      <c r="AB16" s="159">
        <v>2480</v>
      </c>
      <c r="AC16" s="159">
        <v>5785</v>
      </c>
      <c r="AD16" s="159">
        <v>0</v>
      </c>
      <c r="AE16" s="159">
        <v>0</v>
      </c>
      <c r="AF16" s="203">
        <v>0</v>
      </c>
      <c r="AG16" s="237">
        <v>0</v>
      </c>
      <c r="AH16" s="233">
        <v>30</v>
      </c>
      <c r="AI16" s="233">
        <v>0</v>
      </c>
      <c r="AJ16" s="233">
        <v>0</v>
      </c>
      <c r="AK16" s="233">
        <v>0</v>
      </c>
      <c r="AL16" s="233">
        <v>1365</v>
      </c>
      <c r="AM16" s="233">
        <v>1010</v>
      </c>
      <c r="AN16" s="233">
        <v>1470</v>
      </c>
      <c r="AO16" s="233">
        <v>2451</v>
      </c>
      <c r="AP16" s="233">
        <v>1972</v>
      </c>
      <c r="AQ16" s="233">
        <v>1362</v>
      </c>
      <c r="AR16" s="238">
        <v>0</v>
      </c>
      <c r="AS16" s="217">
        <v>10262175.201500837</v>
      </c>
      <c r="AT16" s="203">
        <v>1</v>
      </c>
      <c r="AU16" s="203">
        <v>352</v>
      </c>
      <c r="AV16" s="217">
        <v>29153.906822445559</v>
      </c>
      <c r="AW16" s="217">
        <v>0</v>
      </c>
      <c r="AX16" s="203">
        <v>0</v>
      </c>
      <c r="AY16" s="203">
        <v>0</v>
      </c>
      <c r="AZ16" s="217" t="s">
        <v>687</v>
      </c>
      <c r="BA16" s="217">
        <v>0</v>
      </c>
      <c r="BB16" s="203">
        <v>0</v>
      </c>
      <c r="BC16" s="203">
        <v>0</v>
      </c>
      <c r="BD16" s="307" t="s">
        <v>687</v>
      </c>
      <c r="BE16" s="208"/>
    </row>
    <row r="17" spans="1:57" x14ac:dyDescent="0.45">
      <c r="A17">
        <v>380</v>
      </c>
      <c r="B17" t="s">
        <v>15</v>
      </c>
      <c r="C17" s="238" t="s">
        <v>565</v>
      </c>
      <c r="D17" s="280">
        <v>116676746.45999999</v>
      </c>
      <c r="E17" s="203">
        <v>25485</v>
      </c>
      <c r="F17" s="282">
        <v>35289</v>
      </c>
      <c r="G17" s="286">
        <v>0.38469688051795176</v>
      </c>
      <c r="H17" s="160">
        <v>38791</v>
      </c>
      <c r="I17" s="159">
        <v>42996</v>
      </c>
      <c r="J17" s="159">
        <v>1200</v>
      </c>
      <c r="K17" s="159">
        <v>120</v>
      </c>
      <c r="L17" s="159">
        <v>2380</v>
      </c>
      <c r="M17" s="170">
        <v>6.3269956820348999E-2</v>
      </c>
      <c r="N17" s="270">
        <v>32525</v>
      </c>
      <c r="O17" s="273">
        <v>32759</v>
      </c>
      <c r="P17" s="274">
        <v>7.1944657955418899E-3</v>
      </c>
      <c r="Q17" s="273">
        <v>33935</v>
      </c>
      <c r="R17" s="272">
        <v>4.3351268255188299E-2</v>
      </c>
      <c r="S17" s="255">
        <v>72</v>
      </c>
      <c r="T17" s="256">
        <v>10.8</v>
      </c>
      <c r="U17" s="256">
        <v>4.5</v>
      </c>
      <c r="V17" s="257">
        <v>87.4</v>
      </c>
      <c r="W17" s="160">
        <v>0</v>
      </c>
      <c r="X17" s="159">
        <v>79</v>
      </c>
      <c r="Y17" s="159">
        <v>0</v>
      </c>
      <c r="Z17" s="159">
        <v>0</v>
      </c>
      <c r="AA17" s="159">
        <v>0</v>
      </c>
      <c r="AB17" s="159">
        <v>8847</v>
      </c>
      <c r="AC17" s="159">
        <v>13180</v>
      </c>
      <c r="AD17" s="159">
        <v>12192</v>
      </c>
      <c r="AE17" s="159">
        <v>1858</v>
      </c>
      <c r="AF17" s="203">
        <v>0</v>
      </c>
      <c r="AG17" s="237">
        <v>0</v>
      </c>
      <c r="AH17" s="233">
        <v>60</v>
      </c>
      <c r="AI17" s="233">
        <v>19</v>
      </c>
      <c r="AJ17" s="233">
        <v>0</v>
      </c>
      <c r="AK17" s="233">
        <v>0</v>
      </c>
      <c r="AL17" s="233">
        <v>0</v>
      </c>
      <c r="AM17" s="233">
        <v>7643</v>
      </c>
      <c r="AN17" s="233">
        <v>6916</v>
      </c>
      <c r="AO17" s="233">
        <v>8357</v>
      </c>
      <c r="AP17" s="233">
        <v>5308</v>
      </c>
      <c r="AQ17" s="233">
        <v>6803</v>
      </c>
      <c r="AR17" s="238">
        <v>1050</v>
      </c>
      <c r="AS17" s="217">
        <v>1214848.7535953992</v>
      </c>
      <c r="AT17" s="203">
        <v>1</v>
      </c>
      <c r="AU17" s="203">
        <v>150</v>
      </c>
      <c r="AV17" s="217">
        <v>8098.9916906359949</v>
      </c>
      <c r="AW17" s="217">
        <v>0</v>
      </c>
      <c r="AX17" s="203">
        <v>0</v>
      </c>
      <c r="AY17" s="203">
        <v>0</v>
      </c>
      <c r="AZ17" s="217" t="s">
        <v>687</v>
      </c>
      <c r="BA17" s="217">
        <v>19084442.148585029</v>
      </c>
      <c r="BB17" s="203">
        <v>1</v>
      </c>
      <c r="BC17" s="203">
        <v>1050</v>
      </c>
      <c r="BD17" s="307">
        <v>18175.659189128601</v>
      </c>
      <c r="BE17" s="208"/>
    </row>
    <row r="18" spans="1:57" x14ac:dyDescent="0.45">
      <c r="A18">
        <v>304</v>
      </c>
      <c r="B18" t="s">
        <v>16</v>
      </c>
      <c r="C18" s="238" t="s">
        <v>564</v>
      </c>
      <c r="D18" s="280">
        <v>173322185.12</v>
      </c>
      <c r="E18" s="203">
        <v>11993</v>
      </c>
      <c r="F18" s="282">
        <v>17060</v>
      </c>
      <c r="G18" s="286">
        <v>0.42249645626615528</v>
      </c>
      <c r="H18" s="160">
        <v>18290</v>
      </c>
      <c r="I18" s="159">
        <v>23154</v>
      </c>
      <c r="J18" s="159">
        <v>240</v>
      </c>
      <c r="K18" s="159">
        <v>130</v>
      </c>
      <c r="L18" s="159">
        <v>1840</v>
      </c>
      <c r="M18" s="170">
        <v>9.8153396189631703E-2</v>
      </c>
      <c r="N18" s="270">
        <v>15633</v>
      </c>
      <c r="O18" s="273">
        <v>15721</v>
      </c>
      <c r="P18" s="274">
        <v>5.6291178916394796E-3</v>
      </c>
      <c r="Q18" s="273">
        <v>16327</v>
      </c>
      <c r="R18" s="272">
        <v>4.43932706454295E-2</v>
      </c>
      <c r="S18" s="255">
        <v>62.4</v>
      </c>
      <c r="T18" s="256">
        <v>13.8</v>
      </c>
      <c r="U18" s="256">
        <v>6.2</v>
      </c>
      <c r="V18" s="257">
        <v>82.4</v>
      </c>
      <c r="W18" s="160">
        <v>0</v>
      </c>
      <c r="X18" s="159">
        <v>270</v>
      </c>
      <c r="Y18" s="159">
        <v>0</v>
      </c>
      <c r="Z18" s="159">
        <v>0</v>
      </c>
      <c r="AA18" s="159">
        <v>0</v>
      </c>
      <c r="AB18" s="159">
        <v>6231</v>
      </c>
      <c r="AC18" s="159">
        <v>14063</v>
      </c>
      <c r="AD18" s="159">
        <v>1750</v>
      </c>
      <c r="AE18" s="159">
        <v>0</v>
      </c>
      <c r="AF18" s="203">
        <v>0</v>
      </c>
      <c r="AG18" s="237">
        <v>0</v>
      </c>
      <c r="AH18" s="233">
        <v>270</v>
      </c>
      <c r="AI18" s="233">
        <v>0</v>
      </c>
      <c r="AJ18" s="233">
        <v>0</v>
      </c>
      <c r="AK18" s="233">
        <v>0</v>
      </c>
      <c r="AL18" s="233">
        <v>0</v>
      </c>
      <c r="AM18" s="233">
        <v>6029</v>
      </c>
      <c r="AN18" s="233">
        <v>11003</v>
      </c>
      <c r="AO18" s="233">
        <v>2350</v>
      </c>
      <c r="AP18" s="233">
        <v>0</v>
      </c>
      <c r="AQ18" s="233">
        <v>0</v>
      </c>
      <c r="AR18" s="238">
        <v>2662</v>
      </c>
      <c r="AS18" s="217">
        <v>0</v>
      </c>
      <c r="AT18" s="203">
        <v>0</v>
      </c>
      <c r="AU18" s="203">
        <v>0</v>
      </c>
      <c r="AV18" s="217" t="s">
        <v>687</v>
      </c>
      <c r="AW18" s="217">
        <v>0</v>
      </c>
      <c r="AX18" s="203">
        <v>0</v>
      </c>
      <c r="AY18" s="203">
        <v>0</v>
      </c>
      <c r="AZ18" s="217" t="s">
        <v>687</v>
      </c>
      <c r="BA18" s="217">
        <v>0</v>
      </c>
      <c r="BB18" s="203">
        <v>0</v>
      </c>
      <c r="BC18" s="203">
        <v>0</v>
      </c>
      <c r="BD18" s="307" t="s">
        <v>687</v>
      </c>
    </row>
    <row r="19" spans="1:57" x14ac:dyDescent="0.45">
      <c r="A19">
        <v>846</v>
      </c>
      <c r="B19" t="s">
        <v>17</v>
      </c>
      <c r="C19" s="238" t="s">
        <v>570</v>
      </c>
      <c r="D19" s="280">
        <v>62215954</v>
      </c>
      <c r="E19" s="203">
        <v>11417</v>
      </c>
      <c r="F19" s="282">
        <v>12284</v>
      </c>
      <c r="G19" s="286">
        <v>7.5939388630988883E-2</v>
      </c>
      <c r="H19" s="160">
        <v>12622</v>
      </c>
      <c r="I19" s="159">
        <v>14773</v>
      </c>
      <c r="J19" s="159">
        <v>240</v>
      </c>
      <c r="K19" s="159">
        <v>40</v>
      </c>
      <c r="L19" s="159">
        <v>1720</v>
      </c>
      <c r="M19" s="170">
        <v>0.123054700491771</v>
      </c>
      <c r="N19" s="270">
        <v>11436</v>
      </c>
      <c r="O19" s="273">
        <v>11607</v>
      </c>
      <c r="P19" s="274">
        <v>1.4952780692549799E-2</v>
      </c>
      <c r="Q19" s="273">
        <v>11734</v>
      </c>
      <c r="R19" s="272">
        <v>2.6058062259531299E-2</v>
      </c>
      <c r="S19" s="255">
        <v>82.3</v>
      </c>
      <c r="T19" s="256">
        <v>9.8000000000000007</v>
      </c>
      <c r="U19" s="256">
        <v>3.7</v>
      </c>
      <c r="V19" s="257">
        <v>95.8</v>
      </c>
      <c r="W19" s="160">
        <v>0</v>
      </c>
      <c r="X19" s="159">
        <v>117</v>
      </c>
      <c r="Y19" s="159">
        <v>0</v>
      </c>
      <c r="Z19" s="159">
        <v>0</v>
      </c>
      <c r="AA19" s="159">
        <v>0</v>
      </c>
      <c r="AB19" s="159">
        <v>0</v>
      </c>
      <c r="AC19" s="159">
        <v>14656</v>
      </c>
      <c r="AD19" s="159">
        <v>0</v>
      </c>
      <c r="AE19" s="159">
        <v>0</v>
      </c>
      <c r="AF19" s="203">
        <v>0</v>
      </c>
      <c r="AG19" s="237">
        <v>0</v>
      </c>
      <c r="AH19" s="233">
        <v>40</v>
      </c>
      <c r="AI19" s="233">
        <v>77</v>
      </c>
      <c r="AJ19" s="233">
        <v>0</v>
      </c>
      <c r="AK19" s="233">
        <v>0</v>
      </c>
      <c r="AL19" s="233">
        <v>0</v>
      </c>
      <c r="AM19" s="233">
        <v>0</v>
      </c>
      <c r="AN19" s="233">
        <v>3000</v>
      </c>
      <c r="AO19" s="233">
        <v>8632</v>
      </c>
      <c r="AP19" s="233">
        <v>1661</v>
      </c>
      <c r="AQ19" s="233">
        <v>1363</v>
      </c>
      <c r="AR19" s="238">
        <v>0</v>
      </c>
      <c r="AS19" s="217">
        <v>0</v>
      </c>
      <c r="AT19" s="203">
        <v>0</v>
      </c>
      <c r="AU19" s="203">
        <v>0</v>
      </c>
      <c r="AV19" s="217" t="s">
        <v>687</v>
      </c>
      <c r="AW19" s="217">
        <v>0</v>
      </c>
      <c r="AX19" s="203">
        <v>0</v>
      </c>
      <c r="AY19" s="203">
        <v>0</v>
      </c>
      <c r="AZ19" s="217" t="s">
        <v>687</v>
      </c>
      <c r="BA19" s="217">
        <v>0</v>
      </c>
      <c r="BB19" s="203">
        <v>0</v>
      </c>
      <c r="BC19" s="203">
        <v>0</v>
      </c>
      <c r="BD19" s="307" t="s">
        <v>687</v>
      </c>
    </row>
    <row r="20" spans="1:57" x14ac:dyDescent="0.45">
      <c r="A20">
        <v>801</v>
      </c>
      <c r="B20" t="s">
        <v>2</v>
      </c>
      <c r="C20" s="238" t="s">
        <v>566</v>
      </c>
      <c r="D20" s="280">
        <v>168545416.07999998</v>
      </c>
      <c r="E20" s="203">
        <v>10680</v>
      </c>
      <c r="F20" s="282">
        <v>20942</v>
      </c>
      <c r="G20" s="286">
        <v>0.96086142322097379</v>
      </c>
      <c r="H20" s="160">
        <v>20878</v>
      </c>
      <c r="I20" s="159">
        <v>24618</v>
      </c>
      <c r="J20" s="159">
        <v>600</v>
      </c>
      <c r="K20" s="159">
        <v>690</v>
      </c>
      <c r="L20" s="159">
        <v>1200</v>
      </c>
      <c r="M20" s="170">
        <v>5.6136366703342502E-2</v>
      </c>
      <c r="N20" s="270">
        <v>18303</v>
      </c>
      <c r="O20" s="273">
        <v>18347</v>
      </c>
      <c r="P20" s="274">
        <v>2.40397749002896E-3</v>
      </c>
      <c r="Q20" s="273">
        <v>18564</v>
      </c>
      <c r="R20" s="272">
        <v>1.4259957384035399E-2</v>
      </c>
      <c r="S20" s="255">
        <v>71.3</v>
      </c>
      <c r="T20" s="256">
        <v>13</v>
      </c>
      <c r="U20" s="256">
        <v>6.2</v>
      </c>
      <c r="V20" s="257">
        <v>90.5</v>
      </c>
      <c r="W20" s="160">
        <v>130</v>
      </c>
      <c r="X20" s="159">
        <v>212</v>
      </c>
      <c r="Y20" s="159">
        <v>0</v>
      </c>
      <c r="Z20" s="159">
        <v>0</v>
      </c>
      <c r="AA20" s="159">
        <v>0</v>
      </c>
      <c r="AB20" s="159">
        <v>4764</v>
      </c>
      <c r="AC20" s="159">
        <v>11135</v>
      </c>
      <c r="AD20" s="159">
        <v>2503</v>
      </c>
      <c r="AE20" s="159">
        <v>3340</v>
      </c>
      <c r="AF20" s="203">
        <v>0</v>
      </c>
      <c r="AG20" s="237">
        <v>80</v>
      </c>
      <c r="AH20" s="233">
        <v>50</v>
      </c>
      <c r="AI20" s="233">
        <v>212</v>
      </c>
      <c r="AJ20" s="233">
        <v>0</v>
      </c>
      <c r="AK20" s="233">
        <v>0</v>
      </c>
      <c r="AL20" s="233">
        <v>0</v>
      </c>
      <c r="AM20" s="233">
        <v>3179</v>
      </c>
      <c r="AN20" s="233">
        <v>5990</v>
      </c>
      <c r="AO20" s="233">
        <v>7828</v>
      </c>
      <c r="AP20" s="233">
        <v>2640</v>
      </c>
      <c r="AQ20" s="233">
        <v>2105</v>
      </c>
      <c r="AR20" s="238">
        <v>0</v>
      </c>
      <c r="AS20" s="217">
        <v>3482311.7722681356</v>
      </c>
      <c r="AT20" s="203">
        <v>1</v>
      </c>
      <c r="AU20" s="203">
        <v>255</v>
      </c>
      <c r="AV20" s="217">
        <v>13656.124597129943</v>
      </c>
      <c r="AW20" s="217">
        <v>0</v>
      </c>
      <c r="AX20" s="203">
        <v>0</v>
      </c>
      <c r="AY20" s="203">
        <v>0</v>
      </c>
      <c r="AZ20" s="217" t="s">
        <v>687</v>
      </c>
      <c r="BA20" s="217">
        <v>0</v>
      </c>
      <c r="BB20" s="203">
        <v>0</v>
      </c>
      <c r="BC20" s="203">
        <v>0</v>
      </c>
      <c r="BD20" s="307" t="s">
        <v>687</v>
      </c>
    </row>
    <row r="21" spans="1:57" x14ac:dyDescent="0.45">
      <c r="A21">
        <v>305</v>
      </c>
      <c r="B21" t="s">
        <v>18</v>
      </c>
      <c r="C21" s="238" t="s">
        <v>564</v>
      </c>
      <c r="D21" s="280">
        <v>80010688.320000008</v>
      </c>
      <c r="E21" s="203">
        <v>17353</v>
      </c>
      <c r="F21" s="282">
        <v>19711</v>
      </c>
      <c r="G21" s="286">
        <v>0.13588428513801648</v>
      </c>
      <c r="H21" s="160">
        <v>22681</v>
      </c>
      <c r="I21" s="159">
        <v>27129</v>
      </c>
      <c r="J21" s="159">
        <v>240</v>
      </c>
      <c r="K21" s="159">
        <v>0</v>
      </c>
      <c r="L21" s="159">
        <v>1230</v>
      </c>
      <c r="M21" s="170">
        <v>5.8626241146790402E-2</v>
      </c>
      <c r="N21" s="270">
        <v>17380</v>
      </c>
      <c r="O21" s="273">
        <v>17621</v>
      </c>
      <c r="P21" s="274">
        <v>1.38665132336018E-2</v>
      </c>
      <c r="Q21" s="273">
        <v>18062</v>
      </c>
      <c r="R21" s="272">
        <v>3.9240506329113897E-2</v>
      </c>
      <c r="S21" s="255">
        <v>73</v>
      </c>
      <c r="T21" s="256">
        <v>12.7</v>
      </c>
      <c r="U21" s="256">
        <v>5.3</v>
      </c>
      <c r="V21" s="257">
        <v>91</v>
      </c>
      <c r="W21" s="160">
        <v>259</v>
      </c>
      <c r="X21" s="159">
        <v>0</v>
      </c>
      <c r="Y21" s="159">
        <v>0</v>
      </c>
      <c r="Z21" s="159">
        <v>0</v>
      </c>
      <c r="AA21" s="159">
        <v>1380</v>
      </c>
      <c r="AB21" s="159">
        <v>7514</v>
      </c>
      <c r="AC21" s="159">
        <v>13775</v>
      </c>
      <c r="AD21" s="159">
        <v>1601</v>
      </c>
      <c r="AE21" s="159">
        <v>1400</v>
      </c>
      <c r="AF21" s="203">
        <v>1200</v>
      </c>
      <c r="AG21" s="237">
        <v>259</v>
      </c>
      <c r="AH21" s="233">
        <v>0</v>
      </c>
      <c r="AI21" s="233">
        <v>0</v>
      </c>
      <c r="AJ21" s="233">
        <v>0</v>
      </c>
      <c r="AK21" s="233">
        <v>0</v>
      </c>
      <c r="AL21" s="233">
        <v>1380</v>
      </c>
      <c r="AM21" s="233">
        <v>6234</v>
      </c>
      <c r="AN21" s="233">
        <v>1602</v>
      </c>
      <c r="AO21" s="233">
        <v>10403</v>
      </c>
      <c r="AP21" s="233">
        <v>3022</v>
      </c>
      <c r="AQ21" s="233">
        <v>3029</v>
      </c>
      <c r="AR21" s="238">
        <v>1200</v>
      </c>
      <c r="AS21" s="217">
        <v>0</v>
      </c>
      <c r="AT21" s="203">
        <v>0</v>
      </c>
      <c r="AU21" s="203">
        <v>0</v>
      </c>
      <c r="AV21" s="217" t="s">
        <v>687</v>
      </c>
      <c r="AW21" s="217">
        <v>1032009.8726308732</v>
      </c>
      <c r="AX21" s="203">
        <v>3</v>
      </c>
      <c r="AY21" s="203">
        <v>90</v>
      </c>
      <c r="AZ21" s="217">
        <v>11466.776362565259</v>
      </c>
      <c r="BA21" s="217">
        <v>0</v>
      </c>
      <c r="BB21" s="203">
        <v>0</v>
      </c>
      <c r="BC21" s="203">
        <v>0</v>
      </c>
      <c r="BD21" s="307" t="s">
        <v>687</v>
      </c>
    </row>
    <row r="22" spans="1:57" x14ac:dyDescent="0.45">
      <c r="A22">
        <v>825</v>
      </c>
      <c r="B22" t="s">
        <v>19</v>
      </c>
      <c r="C22" s="238" t="s">
        <v>570</v>
      </c>
      <c r="D22" s="280">
        <v>109090131.73999999</v>
      </c>
      <c r="E22" s="203">
        <v>27109</v>
      </c>
      <c r="F22" s="282">
        <v>31725</v>
      </c>
      <c r="G22" s="286">
        <v>0.17027555424397803</v>
      </c>
      <c r="H22" s="160">
        <v>35521</v>
      </c>
      <c r="I22" s="159">
        <v>41204</v>
      </c>
      <c r="J22" s="159">
        <v>1337</v>
      </c>
      <c r="K22" s="159">
        <v>830</v>
      </c>
      <c r="L22" s="159">
        <v>3560</v>
      </c>
      <c r="M22" s="170">
        <v>0.103404427303082</v>
      </c>
      <c r="N22" s="270">
        <v>29979</v>
      </c>
      <c r="O22" s="273">
        <v>29935</v>
      </c>
      <c r="P22" s="274">
        <v>-1.4676940525034201E-3</v>
      </c>
      <c r="Q22" s="273">
        <v>30511</v>
      </c>
      <c r="R22" s="272">
        <v>1.77457553620868E-2</v>
      </c>
      <c r="S22" s="255">
        <v>74.7</v>
      </c>
      <c r="T22" s="256">
        <v>11.2</v>
      </c>
      <c r="U22" s="256">
        <v>5.5</v>
      </c>
      <c r="V22" s="257">
        <v>91.5</v>
      </c>
      <c r="W22" s="160">
        <v>105</v>
      </c>
      <c r="X22" s="159">
        <v>357</v>
      </c>
      <c r="Y22" s="159">
        <v>0</v>
      </c>
      <c r="Z22" s="159">
        <v>0</v>
      </c>
      <c r="AA22" s="159">
        <v>0</v>
      </c>
      <c r="AB22" s="159">
        <v>15801</v>
      </c>
      <c r="AC22" s="159">
        <v>17183</v>
      </c>
      <c r="AD22" s="159">
        <v>4287</v>
      </c>
      <c r="AE22" s="159">
        <v>1771</v>
      </c>
      <c r="AF22" s="203">
        <v>0</v>
      </c>
      <c r="AG22" s="237">
        <v>135</v>
      </c>
      <c r="AH22" s="233">
        <v>116</v>
      </c>
      <c r="AI22" s="233">
        <v>178</v>
      </c>
      <c r="AJ22" s="233">
        <v>33</v>
      </c>
      <c r="AK22" s="233">
        <v>0</v>
      </c>
      <c r="AL22" s="233">
        <v>0</v>
      </c>
      <c r="AM22" s="233">
        <v>14381</v>
      </c>
      <c r="AN22" s="233">
        <v>7613</v>
      </c>
      <c r="AO22" s="233">
        <v>10262</v>
      </c>
      <c r="AP22" s="233">
        <v>3265</v>
      </c>
      <c r="AQ22" s="233">
        <v>2921</v>
      </c>
      <c r="AR22" s="238">
        <v>600</v>
      </c>
      <c r="AS22" s="217">
        <v>14960729.219699996</v>
      </c>
      <c r="AT22" s="203">
        <v>4</v>
      </c>
      <c r="AU22" s="203">
        <v>535</v>
      </c>
      <c r="AV22" s="217">
        <v>27963.979849906533</v>
      </c>
      <c r="AW22" s="217">
        <v>1239793.5475305365</v>
      </c>
      <c r="AX22" s="203">
        <v>3</v>
      </c>
      <c r="AY22" s="203">
        <v>85</v>
      </c>
      <c r="AZ22" s="217">
        <v>14585.806441535724</v>
      </c>
      <c r="BA22" s="217">
        <v>0</v>
      </c>
      <c r="BB22" s="203">
        <v>0</v>
      </c>
      <c r="BC22" s="203">
        <v>0</v>
      </c>
      <c r="BD22" s="307" t="s">
        <v>687</v>
      </c>
    </row>
    <row r="23" spans="1:57" x14ac:dyDescent="0.45">
      <c r="A23">
        <v>351</v>
      </c>
      <c r="B23" t="s">
        <v>20</v>
      </c>
      <c r="C23" s="238" t="s">
        <v>569</v>
      </c>
      <c r="D23" s="280">
        <v>24028737.100000001</v>
      </c>
      <c r="E23" s="203">
        <v>11116</v>
      </c>
      <c r="F23" s="282">
        <v>11649</v>
      </c>
      <c r="G23" s="286">
        <v>4.7948902482907521E-2</v>
      </c>
      <c r="H23" s="160">
        <v>11780</v>
      </c>
      <c r="I23" s="159">
        <v>11758</v>
      </c>
      <c r="J23" s="159">
        <v>0</v>
      </c>
      <c r="K23" s="159">
        <v>310</v>
      </c>
      <c r="L23" s="159">
        <v>410</v>
      </c>
      <c r="M23" s="170">
        <v>3.4555014313183197E-2</v>
      </c>
      <c r="N23" s="270">
        <v>11153</v>
      </c>
      <c r="O23" s="273">
        <v>11384</v>
      </c>
      <c r="P23" s="274">
        <v>2.0711916076392001E-2</v>
      </c>
      <c r="Q23" s="273">
        <v>11507</v>
      </c>
      <c r="R23" s="272">
        <v>3.1740338922263099E-2</v>
      </c>
      <c r="S23" s="255">
        <v>79</v>
      </c>
      <c r="T23" s="256">
        <v>10</v>
      </c>
      <c r="U23" s="256">
        <v>2.8</v>
      </c>
      <c r="V23" s="257">
        <v>91.8</v>
      </c>
      <c r="W23" s="160">
        <v>0</v>
      </c>
      <c r="X23" s="159">
        <v>0</v>
      </c>
      <c r="Y23" s="159">
        <v>186</v>
      </c>
      <c r="Z23" s="159">
        <v>0</v>
      </c>
      <c r="AA23" s="159">
        <v>0</v>
      </c>
      <c r="AB23" s="159">
        <v>0</v>
      </c>
      <c r="AC23" s="159">
        <v>4914</v>
      </c>
      <c r="AD23" s="159">
        <v>1964</v>
      </c>
      <c r="AE23" s="159">
        <v>3060</v>
      </c>
      <c r="AF23" s="203">
        <v>0</v>
      </c>
      <c r="AG23" s="237">
        <v>0</v>
      </c>
      <c r="AH23" s="233">
        <v>0</v>
      </c>
      <c r="AI23" s="233">
        <v>0</v>
      </c>
      <c r="AJ23" s="233">
        <v>186</v>
      </c>
      <c r="AK23" s="233">
        <v>0</v>
      </c>
      <c r="AL23" s="233">
        <v>0</v>
      </c>
      <c r="AM23" s="233">
        <v>0</v>
      </c>
      <c r="AN23" s="233">
        <v>900</v>
      </c>
      <c r="AO23" s="233">
        <v>3641</v>
      </c>
      <c r="AP23" s="233">
        <v>4409</v>
      </c>
      <c r="AQ23" s="233">
        <v>0</v>
      </c>
      <c r="AR23" s="238">
        <v>988</v>
      </c>
      <c r="AS23" s="217">
        <v>0</v>
      </c>
      <c r="AT23" s="203">
        <v>0</v>
      </c>
      <c r="AU23" s="203">
        <v>0</v>
      </c>
      <c r="AV23" s="217" t="s">
        <v>687</v>
      </c>
      <c r="AW23" s="217">
        <v>0</v>
      </c>
      <c r="AX23" s="203">
        <v>0</v>
      </c>
      <c r="AY23" s="203">
        <v>0</v>
      </c>
      <c r="AZ23" s="217" t="s">
        <v>687</v>
      </c>
      <c r="BA23" s="217">
        <v>0</v>
      </c>
      <c r="BB23" s="203">
        <v>0</v>
      </c>
      <c r="BC23" s="203">
        <v>0</v>
      </c>
      <c r="BD23" s="307" t="s">
        <v>687</v>
      </c>
    </row>
    <row r="24" spans="1:57" x14ac:dyDescent="0.45">
      <c r="A24">
        <v>381</v>
      </c>
      <c r="B24" t="s">
        <v>21</v>
      </c>
      <c r="C24" s="238" t="s">
        <v>565</v>
      </c>
      <c r="D24" s="280">
        <v>30583047.249999996</v>
      </c>
      <c r="E24" s="203">
        <v>13167</v>
      </c>
      <c r="F24" s="282">
        <v>15131</v>
      </c>
      <c r="G24" s="286">
        <v>0.1491607807397281</v>
      </c>
      <c r="H24" s="160">
        <v>15914</v>
      </c>
      <c r="I24" s="159">
        <v>17393</v>
      </c>
      <c r="J24" s="159">
        <v>1090</v>
      </c>
      <c r="K24" s="159">
        <v>0</v>
      </c>
      <c r="L24" s="159">
        <v>870</v>
      </c>
      <c r="M24" s="170">
        <v>5.4263624284994497E-2</v>
      </c>
      <c r="N24" s="270">
        <v>13686</v>
      </c>
      <c r="O24" s="273">
        <v>13855</v>
      </c>
      <c r="P24" s="274">
        <v>1.23483852111647E-2</v>
      </c>
      <c r="Q24" s="273">
        <v>13797</v>
      </c>
      <c r="R24" s="272">
        <v>8.1104778605874603E-3</v>
      </c>
      <c r="S24" s="255">
        <v>86.9</v>
      </c>
      <c r="T24" s="256">
        <v>5.2</v>
      </c>
      <c r="U24" s="256">
        <v>3.9</v>
      </c>
      <c r="V24" s="257">
        <v>96</v>
      </c>
      <c r="W24" s="160">
        <v>0</v>
      </c>
      <c r="X24" s="159">
        <v>0</v>
      </c>
      <c r="Y24" s="159">
        <v>0</v>
      </c>
      <c r="Z24" s="159">
        <v>0</v>
      </c>
      <c r="AA24" s="159">
        <v>0</v>
      </c>
      <c r="AB24" s="159">
        <v>4305</v>
      </c>
      <c r="AC24" s="159">
        <v>9556</v>
      </c>
      <c r="AD24" s="159">
        <v>0</v>
      </c>
      <c r="AE24" s="159">
        <v>1392</v>
      </c>
      <c r="AF24" s="203">
        <v>0</v>
      </c>
      <c r="AG24" s="237">
        <v>0</v>
      </c>
      <c r="AH24" s="233">
        <v>0</v>
      </c>
      <c r="AI24" s="233">
        <v>0</v>
      </c>
      <c r="AJ24" s="233">
        <v>0</v>
      </c>
      <c r="AK24" s="233">
        <v>0</v>
      </c>
      <c r="AL24" s="233">
        <v>0</v>
      </c>
      <c r="AM24" s="233">
        <v>1900</v>
      </c>
      <c r="AN24" s="233">
        <v>4909</v>
      </c>
      <c r="AO24" s="233">
        <v>5349</v>
      </c>
      <c r="AP24" s="233">
        <v>3095</v>
      </c>
      <c r="AQ24" s="233">
        <v>0</v>
      </c>
      <c r="AR24" s="238">
        <v>0</v>
      </c>
      <c r="AS24" s="217">
        <v>0</v>
      </c>
      <c r="AT24" s="203">
        <v>0</v>
      </c>
      <c r="AU24" s="203">
        <v>0</v>
      </c>
      <c r="AV24" s="217" t="s">
        <v>687</v>
      </c>
      <c r="AW24" s="217">
        <v>0</v>
      </c>
      <c r="AX24" s="203">
        <v>0</v>
      </c>
      <c r="AY24" s="203">
        <v>0</v>
      </c>
      <c r="AZ24" s="217" t="s">
        <v>687</v>
      </c>
      <c r="BA24" s="217">
        <v>0</v>
      </c>
      <c r="BB24" s="203">
        <v>0</v>
      </c>
      <c r="BC24" s="203">
        <v>0</v>
      </c>
      <c r="BD24" s="307" t="s">
        <v>687</v>
      </c>
    </row>
    <row r="25" spans="1:57" x14ac:dyDescent="0.45">
      <c r="A25">
        <v>873</v>
      </c>
      <c r="B25" t="s">
        <v>22</v>
      </c>
      <c r="C25" s="238" t="s">
        <v>567</v>
      </c>
      <c r="D25" s="280">
        <v>165282562.58000001</v>
      </c>
      <c r="E25" s="203">
        <v>29796</v>
      </c>
      <c r="F25" s="282">
        <v>33578</v>
      </c>
      <c r="G25" s="286">
        <v>0.12692978923345416</v>
      </c>
      <c r="H25" s="160">
        <v>36376</v>
      </c>
      <c r="I25" s="159">
        <v>40198</v>
      </c>
      <c r="J25" s="159">
        <v>1500</v>
      </c>
      <c r="K25" s="159">
        <v>940</v>
      </c>
      <c r="L25" s="159">
        <v>5270</v>
      </c>
      <c r="M25" s="170">
        <v>0.13900106535059301</v>
      </c>
      <c r="N25" s="270">
        <v>29571</v>
      </c>
      <c r="O25" s="273">
        <v>29963</v>
      </c>
      <c r="P25" s="274">
        <v>1.32562307666295E-2</v>
      </c>
      <c r="Q25" s="273">
        <v>30721</v>
      </c>
      <c r="R25" s="272">
        <v>3.8889452504142601E-2</v>
      </c>
      <c r="S25" s="255">
        <v>89.5</v>
      </c>
      <c r="T25" s="256">
        <v>5.3</v>
      </c>
      <c r="U25" s="256">
        <v>1.5</v>
      </c>
      <c r="V25" s="257">
        <v>96.3</v>
      </c>
      <c r="W25" s="160">
        <v>390</v>
      </c>
      <c r="X25" s="159">
        <v>0</v>
      </c>
      <c r="Y25" s="159">
        <v>0</v>
      </c>
      <c r="Z25" s="159">
        <v>0</v>
      </c>
      <c r="AA25" s="159">
        <v>0</v>
      </c>
      <c r="AB25" s="159">
        <v>8570</v>
      </c>
      <c r="AC25" s="159">
        <v>26665</v>
      </c>
      <c r="AD25" s="159">
        <v>1949</v>
      </c>
      <c r="AE25" s="159">
        <v>0</v>
      </c>
      <c r="AF25" s="203">
        <v>750</v>
      </c>
      <c r="AG25" s="237">
        <v>240</v>
      </c>
      <c r="AH25" s="233">
        <v>150</v>
      </c>
      <c r="AI25" s="233">
        <v>0</v>
      </c>
      <c r="AJ25" s="233">
        <v>0</v>
      </c>
      <c r="AK25" s="233">
        <v>0</v>
      </c>
      <c r="AL25" s="233">
        <v>0</v>
      </c>
      <c r="AM25" s="233">
        <v>8072</v>
      </c>
      <c r="AN25" s="233">
        <v>6793</v>
      </c>
      <c r="AO25" s="233">
        <v>17201</v>
      </c>
      <c r="AP25" s="233">
        <v>4448</v>
      </c>
      <c r="AQ25" s="233">
        <v>0</v>
      </c>
      <c r="AR25" s="238">
        <v>1420</v>
      </c>
      <c r="AS25" s="217">
        <v>8221452.1190375667</v>
      </c>
      <c r="AT25" s="203">
        <v>2</v>
      </c>
      <c r="AU25" s="203">
        <v>300</v>
      </c>
      <c r="AV25" s="217">
        <v>27404.840396791889</v>
      </c>
      <c r="AW25" s="217">
        <v>0</v>
      </c>
      <c r="AX25" s="203">
        <v>0</v>
      </c>
      <c r="AY25" s="203">
        <v>0</v>
      </c>
      <c r="AZ25" s="217" t="s">
        <v>687</v>
      </c>
      <c r="BA25" s="217">
        <v>31183766.88942815</v>
      </c>
      <c r="BB25" s="203">
        <v>1</v>
      </c>
      <c r="BC25" s="203">
        <v>600</v>
      </c>
      <c r="BD25" s="307">
        <v>51972.944815713585</v>
      </c>
    </row>
    <row r="26" spans="1:57" x14ac:dyDescent="0.45">
      <c r="A26">
        <v>202</v>
      </c>
      <c r="B26" t="s">
        <v>23</v>
      </c>
      <c r="C26" s="238" t="s">
        <v>571</v>
      </c>
      <c r="D26" s="280">
        <v>18217771.499999996</v>
      </c>
      <c r="E26" s="203">
        <v>7414</v>
      </c>
      <c r="F26" s="282">
        <v>7980</v>
      </c>
      <c r="G26" s="286">
        <v>7.6342055570542217E-2</v>
      </c>
      <c r="H26" s="160">
        <v>10137</v>
      </c>
      <c r="I26" s="159">
        <v>12096</v>
      </c>
      <c r="J26" s="159">
        <v>0</v>
      </c>
      <c r="K26" s="159">
        <v>0</v>
      </c>
      <c r="L26" s="159">
        <v>1330</v>
      </c>
      <c r="M26" s="170">
        <v>0.14314552859593099</v>
      </c>
      <c r="N26" s="270">
        <v>7953</v>
      </c>
      <c r="O26" s="273">
        <v>8110</v>
      </c>
      <c r="P26" s="274">
        <v>1.97409782472023E-2</v>
      </c>
      <c r="Q26" s="273">
        <v>8130</v>
      </c>
      <c r="R26" s="272">
        <v>2.2255752546208998E-2</v>
      </c>
      <c r="S26" s="255">
        <v>64.2</v>
      </c>
      <c r="T26" s="256">
        <v>15.7</v>
      </c>
      <c r="U26" s="256">
        <v>8</v>
      </c>
      <c r="V26" s="257">
        <v>88</v>
      </c>
      <c r="W26" s="160">
        <v>0</v>
      </c>
      <c r="X26" s="159">
        <v>216</v>
      </c>
      <c r="Y26" s="159">
        <v>0</v>
      </c>
      <c r="Z26" s="159">
        <v>0</v>
      </c>
      <c r="AA26" s="159">
        <v>0</v>
      </c>
      <c r="AB26" s="159">
        <v>1134</v>
      </c>
      <c r="AC26" s="159">
        <v>10746</v>
      </c>
      <c r="AD26" s="159">
        <v>0</v>
      </c>
      <c r="AE26" s="159">
        <v>0</v>
      </c>
      <c r="AF26" s="203">
        <v>0</v>
      </c>
      <c r="AG26" s="237">
        <v>0</v>
      </c>
      <c r="AH26" s="233">
        <v>0</v>
      </c>
      <c r="AI26" s="233">
        <v>172</v>
      </c>
      <c r="AJ26" s="233">
        <v>44</v>
      </c>
      <c r="AK26" s="233">
        <v>0</v>
      </c>
      <c r="AL26" s="233">
        <v>0</v>
      </c>
      <c r="AM26" s="233">
        <v>3579</v>
      </c>
      <c r="AN26" s="233">
        <v>0</v>
      </c>
      <c r="AO26" s="233">
        <v>7462</v>
      </c>
      <c r="AP26" s="233">
        <v>839</v>
      </c>
      <c r="AQ26" s="233">
        <v>0</v>
      </c>
      <c r="AR26" s="238">
        <v>0</v>
      </c>
      <c r="AS26" s="217">
        <v>0</v>
      </c>
      <c r="AT26" s="203">
        <v>0</v>
      </c>
      <c r="AU26" s="203">
        <v>0</v>
      </c>
      <c r="AV26" s="217" t="s">
        <v>687</v>
      </c>
      <c r="AW26" s="217">
        <v>0</v>
      </c>
      <c r="AX26" s="203">
        <v>0</v>
      </c>
      <c r="AY26" s="203">
        <v>0</v>
      </c>
      <c r="AZ26" s="217" t="s">
        <v>687</v>
      </c>
      <c r="BA26" s="217">
        <v>0</v>
      </c>
      <c r="BB26" s="203">
        <v>0</v>
      </c>
      <c r="BC26" s="203">
        <v>0</v>
      </c>
      <c r="BD26" s="307" t="s">
        <v>687</v>
      </c>
    </row>
    <row r="27" spans="1:57" x14ac:dyDescent="0.45">
      <c r="A27">
        <v>823</v>
      </c>
      <c r="B27" t="s">
        <v>24</v>
      </c>
      <c r="C27" s="238" t="s">
        <v>567</v>
      </c>
      <c r="D27" s="280">
        <v>92628771.25999999</v>
      </c>
      <c r="E27" s="203">
        <v>13842</v>
      </c>
      <c r="F27" s="282">
        <v>16627</v>
      </c>
      <c r="G27" s="286">
        <v>0.20119924866348793</v>
      </c>
      <c r="H27" s="160">
        <v>24276</v>
      </c>
      <c r="I27" s="159">
        <v>24886</v>
      </c>
      <c r="J27" s="159">
        <v>300</v>
      </c>
      <c r="K27" s="159">
        <v>610</v>
      </c>
      <c r="L27" s="159">
        <v>1830</v>
      </c>
      <c r="M27" s="170">
        <v>0.10253517472679</v>
      </c>
      <c r="N27" s="270">
        <v>14243</v>
      </c>
      <c r="O27" s="273">
        <v>14418</v>
      </c>
      <c r="P27" s="274">
        <v>1.22867373446605E-2</v>
      </c>
      <c r="Q27" s="273">
        <v>15292</v>
      </c>
      <c r="R27" s="272">
        <v>7.3650214140279405E-2</v>
      </c>
      <c r="S27" s="255">
        <v>96.7</v>
      </c>
      <c r="T27" s="256">
        <v>2.2999999999999998</v>
      </c>
      <c r="U27" s="256">
        <v>0</v>
      </c>
      <c r="V27" s="257">
        <v>99</v>
      </c>
      <c r="W27" s="160">
        <v>0</v>
      </c>
      <c r="X27" s="159">
        <v>240</v>
      </c>
      <c r="Y27" s="159">
        <v>0</v>
      </c>
      <c r="Z27" s="159">
        <v>0</v>
      </c>
      <c r="AA27" s="159">
        <v>0</v>
      </c>
      <c r="AB27" s="159">
        <v>649</v>
      </c>
      <c r="AC27" s="159">
        <v>13637</v>
      </c>
      <c r="AD27" s="159">
        <v>3280</v>
      </c>
      <c r="AE27" s="159">
        <v>750</v>
      </c>
      <c r="AF27" s="203">
        <v>0</v>
      </c>
      <c r="AG27" s="237">
        <v>0</v>
      </c>
      <c r="AH27" s="233">
        <v>0</v>
      </c>
      <c r="AI27" s="233">
        <v>0</v>
      </c>
      <c r="AJ27" s="233">
        <v>50</v>
      </c>
      <c r="AK27" s="233">
        <v>0</v>
      </c>
      <c r="AL27" s="233">
        <v>190</v>
      </c>
      <c r="AM27" s="233">
        <v>0</v>
      </c>
      <c r="AN27" s="233">
        <v>0</v>
      </c>
      <c r="AO27" s="233">
        <v>2341</v>
      </c>
      <c r="AP27" s="233">
        <v>1200</v>
      </c>
      <c r="AQ27" s="233">
        <v>1340</v>
      </c>
      <c r="AR27" s="238">
        <v>13435</v>
      </c>
      <c r="AS27" s="217">
        <v>36251370.938434288</v>
      </c>
      <c r="AT27" s="203">
        <v>6</v>
      </c>
      <c r="AU27" s="203">
        <v>1330</v>
      </c>
      <c r="AV27" s="217">
        <v>27256.669878522021</v>
      </c>
      <c r="AW27" s="217">
        <v>0</v>
      </c>
      <c r="AX27" s="203">
        <v>0</v>
      </c>
      <c r="AY27" s="203">
        <v>0</v>
      </c>
      <c r="AZ27" s="217" t="s">
        <v>687</v>
      </c>
      <c r="BA27" s="217">
        <v>0</v>
      </c>
      <c r="BB27" s="203">
        <v>0</v>
      </c>
      <c r="BC27" s="203">
        <v>0</v>
      </c>
      <c r="BD27" s="307" t="s">
        <v>687</v>
      </c>
    </row>
    <row r="28" spans="1:57" x14ac:dyDescent="0.45">
      <c r="A28">
        <v>895</v>
      </c>
      <c r="B28" t="s">
        <v>25</v>
      </c>
      <c r="C28" s="238" t="s">
        <v>569</v>
      </c>
      <c r="D28" s="280">
        <v>52593024.719999999</v>
      </c>
      <c r="E28" s="203">
        <v>19022</v>
      </c>
      <c r="F28" s="282">
        <v>21963</v>
      </c>
      <c r="G28" s="286">
        <v>0.15461045105667123</v>
      </c>
      <c r="H28" s="160">
        <v>22920</v>
      </c>
      <c r="I28" s="159">
        <v>25656</v>
      </c>
      <c r="J28" s="159">
        <v>350</v>
      </c>
      <c r="K28" s="159">
        <v>1190</v>
      </c>
      <c r="L28" s="159">
        <v>1420</v>
      </c>
      <c r="M28" s="170">
        <v>6.3878572139738493E-2</v>
      </c>
      <c r="N28" s="270">
        <v>19454</v>
      </c>
      <c r="O28" s="273">
        <v>19818</v>
      </c>
      <c r="P28" s="274">
        <v>1.8710804975840399E-2</v>
      </c>
      <c r="Q28" s="273">
        <v>19991</v>
      </c>
      <c r="R28" s="272">
        <v>2.7603577670401998E-2</v>
      </c>
      <c r="S28" s="255">
        <v>90.3</v>
      </c>
      <c r="T28" s="256">
        <v>5.2</v>
      </c>
      <c r="U28" s="256">
        <v>0.9</v>
      </c>
      <c r="V28" s="257">
        <v>96.4</v>
      </c>
      <c r="W28" s="160">
        <v>0</v>
      </c>
      <c r="X28" s="159">
        <v>86</v>
      </c>
      <c r="Y28" s="159">
        <v>0</v>
      </c>
      <c r="Z28" s="159">
        <v>0</v>
      </c>
      <c r="AA28" s="159">
        <v>0</v>
      </c>
      <c r="AB28" s="159">
        <v>6659</v>
      </c>
      <c r="AC28" s="159">
        <v>15155</v>
      </c>
      <c r="AD28" s="159">
        <v>2976</v>
      </c>
      <c r="AE28" s="159">
        <v>780</v>
      </c>
      <c r="AF28" s="203">
        <v>0</v>
      </c>
      <c r="AG28" s="237">
        <v>0</v>
      </c>
      <c r="AH28" s="233">
        <v>86</v>
      </c>
      <c r="AI28" s="233">
        <v>0</v>
      </c>
      <c r="AJ28" s="233">
        <v>0</v>
      </c>
      <c r="AK28" s="233">
        <v>0</v>
      </c>
      <c r="AL28" s="233">
        <v>0</v>
      </c>
      <c r="AM28" s="233">
        <v>0</v>
      </c>
      <c r="AN28" s="233">
        <v>10665</v>
      </c>
      <c r="AO28" s="233">
        <v>8509</v>
      </c>
      <c r="AP28" s="233">
        <v>1914</v>
      </c>
      <c r="AQ28" s="233">
        <v>1830</v>
      </c>
      <c r="AR28" s="238">
        <v>2652</v>
      </c>
      <c r="AS28" s="217">
        <v>0</v>
      </c>
      <c r="AT28" s="203">
        <v>0</v>
      </c>
      <c r="AU28" s="203">
        <v>0</v>
      </c>
      <c r="AV28" s="217" t="s">
        <v>687</v>
      </c>
      <c r="AW28" s="217">
        <v>0</v>
      </c>
      <c r="AX28" s="203">
        <v>0</v>
      </c>
      <c r="AY28" s="203">
        <v>0</v>
      </c>
      <c r="AZ28" s="217" t="s">
        <v>687</v>
      </c>
      <c r="BA28" s="217">
        <v>0</v>
      </c>
      <c r="BB28" s="203">
        <v>0</v>
      </c>
      <c r="BC28" s="203">
        <v>0</v>
      </c>
      <c r="BD28" s="307" t="s">
        <v>687</v>
      </c>
    </row>
    <row r="29" spans="1:57" x14ac:dyDescent="0.45">
      <c r="A29">
        <v>896</v>
      </c>
      <c r="B29" t="s">
        <v>26</v>
      </c>
      <c r="C29" s="238" t="s">
        <v>569</v>
      </c>
      <c r="D29" s="280">
        <v>78659194.219999999</v>
      </c>
      <c r="E29" s="203">
        <v>17764</v>
      </c>
      <c r="F29" s="282">
        <v>19405</v>
      </c>
      <c r="G29" s="286">
        <v>9.237784282819185E-2</v>
      </c>
      <c r="H29" s="160">
        <v>22998</v>
      </c>
      <c r="I29" s="159">
        <v>23964</v>
      </c>
      <c r="J29" s="159">
        <v>625</v>
      </c>
      <c r="K29" s="159">
        <v>220</v>
      </c>
      <c r="L29" s="159">
        <v>2810</v>
      </c>
      <c r="M29" s="170">
        <v>0.127885537599395</v>
      </c>
      <c r="N29" s="270">
        <v>17805</v>
      </c>
      <c r="O29" s="273">
        <v>18311</v>
      </c>
      <c r="P29" s="274">
        <v>2.84189834316203E-2</v>
      </c>
      <c r="Q29" s="273">
        <v>18433</v>
      </c>
      <c r="R29" s="272">
        <v>3.5270991294580202E-2</v>
      </c>
      <c r="S29" s="255">
        <v>90.3</v>
      </c>
      <c r="T29" s="256">
        <v>6.2</v>
      </c>
      <c r="U29" s="256">
        <v>1.1000000000000001</v>
      </c>
      <c r="V29" s="257">
        <v>97.6</v>
      </c>
      <c r="W29" s="160">
        <v>0</v>
      </c>
      <c r="X29" s="159">
        <v>0</v>
      </c>
      <c r="Y29" s="159">
        <v>150</v>
      </c>
      <c r="Z29" s="159">
        <v>0</v>
      </c>
      <c r="AA29" s="159">
        <v>155</v>
      </c>
      <c r="AB29" s="159">
        <v>4794</v>
      </c>
      <c r="AC29" s="159">
        <v>13514</v>
      </c>
      <c r="AD29" s="159">
        <v>1674</v>
      </c>
      <c r="AE29" s="159">
        <v>1055</v>
      </c>
      <c r="AF29" s="203">
        <v>165</v>
      </c>
      <c r="AG29" s="237">
        <v>0</v>
      </c>
      <c r="AH29" s="233">
        <v>0</v>
      </c>
      <c r="AI29" s="233">
        <v>0</v>
      </c>
      <c r="AJ29" s="233">
        <v>150</v>
      </c>
      <c r="AK29" s="233">
        <v>0</v>
      </c>
      <c r="AL29" s="233">
        <v>155</v>
      </c>
      <c r="AM29" s="233">
        <v>975</v>
      </c>
      <c r="AN29" s="233">
        <v>3819</v>
      </c>
      <c r="AO29" s="233">
        <v>7605</v>
      </c>
      <c r="AP29" s="233">
        <v>8038</v>
      </c>
      <c r="AQ29" s="233">
        <v>600</v>
      </c>
      <c r="AR29" s="238">
        <v>165</v>
      </c>
      <c r="AS29" s="217">
        <v>5738091.0241905041</v>
      </c>
      <c r="AT29" s="203">
        <v>2</v>
      </c>
      <c r="AU29" s="203">
        <v>300</v>
      </c>
      <c r="AV29" s="217">
        <v>19126.970080635012</v>
      </c>
      <c r="AW29" s="217">
        <v>0</v>
      </c>
      <c r="AX29" s="203">
        <v>0</v>
      </c>
      <c r="AY29" s="203">
        <v>0</v>
      </c>
      <c r="AZ29" s="217" t="s">
        <v>687</v>
      </c>
      <c r="BA29" s="217">
        <v>0</v>
      </c>
      <c r="BB29" s="203">
        <v>0</v>
      </c>
      <c r="BC29" s="203">
        <v>0</v>
      </c>
      <c r="BD29" s="307" t="s">
        <v>687</v>
      </c>
    </row>
    <row r="30" spans="1:57" x14ac:dyDescent="0.45">
      <c r="A30">
        <v>201</v>
      </c>
      <c r="B30" t="s">
        <v>720</v>
      </c>
      <c r="C30" s="238" t="s">
        <v>571</v>
      </c>
      <c r="D30" s="280">
        <v>3300942.14</v>
      </c>
      <c r="E30" s="203">
        <v>0</v>
      </c>
      <c r="F30" s="203">
        <v>0</v>
      </c>
      <c r="G30" s="203" t="s">
        <v>687</v>
      </c>
      <c r="H30" s="160">
        <v>0</v>
      </c>
      <c r="I30" s="159">
        <v>0</v>
      </c>
      <c r="J30" s="159">
        <v>0</v>
      </c>
      <c r="K30" s="159">
        <v>0</v>
      </c>
      <c r="L30" s="159">
        <v>0</v>
      </c>
      <c r="M30" s="170" t="s">
        <v>687</v>
      </c>
      <c r="N30" s="270">
        <v>0</v>
      </c>
      <c r="O30" s="273">
        <v>0</v>
      </c>
      <c r="P30" s="273">
        <v>0</v>
      </c>
      <c r="Q30" s="273">
        <v>0</v>
      </c>
      <c r="R30" s="273">
        <v>0</v>
      </c>
      <c r="S30" s="255">
        <v>54.2</v>
      </c>
      <c r="T30" s="256">
        <v>20.8</v>
      </c>
      <c r="U30" s="256">
        <v>4.2</v>
      </c>
      <c r="V30" s="257">
        <v>79.2</v>
      </c>
      <c r="W30" s="160">
        <v>0</v>
      </c>
      <c r="X30" s="159">
        <v>0</v>
      </c>
      <c r="Y30" s="159">
        <v>0</v>
      </c>
      <c r="Z30" s="159">
        <v>0</v>
      </c>
      <c r="AA30" s="159">
        <v>0</v>
      </c>
      <c r="AB30" s="159">
        <v>0</v>
      </c>
      <c r="AC30" s="159">
        <v>0</v>
      </c>
      <c r="AD30" s="159">
        <v>0</v>
      </c>
      <c r="AE30" s="159">
        <v>0</v>
      </c>
      <c r="AF30" s="203">
        <v>0</v>
      </c>
      <c r="AG30" s="237">
        <v>0</v>
      </c>
      <c r="AH30" s="233">
        <v>0</v>
      </c>
      <c r="AI30" s="233">
        <v>0</v>
      </c>
      <c r="AJ30" s="233">
        <v>0</v>
      </c>
      <c r="AK30" s="233">
        <v>0</v>
      </c>
      <c r="AL30" s="233">
        <v>0</v>
      </c>
      <c r="AM30" s="233">
        <v>0</v>
      </c>
      <c r="AN30" s="233">
        <v>0</v>
      </c>
      <c r="AO30" s="233">
        <v>0</v>
      </c>
      <c r="AP30" s="233">
        <v>0</v>
      </c>
      <c r="AQ30" s="233">
        <v>0</v>
      </c>
      <c r="AR30" s="238">
        <v>0</v>
      </c>
      <c r="AS30" s="217">
        <v>0</v>
      </c>
      <c r="AT30" s="203">
        <v>0</v>
      </c>
      <c r="AU30" s="203">
        <v>0</v>
      </c>
      <c r="AV30" s="217" t="s">
        <v>687</v>
      </c>
      <c r="AW30" s="217">
        <v>0</v>
      </c>
      <c r="AX30" s="203">
        <v>0</v>
      </c>
      <c r="AY30" s="203">
        <v>0</v>
      </c>
      <c r="AZ30" s="217" t="s">
        <v>687</v>
      </c>
      <c r="BA30" s="217">
        <v>0</v>
      </c>
      <c r="BB30" s="203">
        <v>0</v>
      </c>
      <c r="BC30" s="203">
        <v>0</v>
      </c>
      <c r="BD30" s="307" t="s">
        <v>687</v>
      </c>
    </row>
    <row r="31" spans="1:57" x14ac:dyDescent="0.45">
      <c r="A31">
        <v>908</v>
      </c>
      <c r="B31" t="s">
        <v>28</v>
      </c>
      <c r="C31" s="238" t="s">
        <v>566</v>
      </c>
      <c r="D31" s="280">
        <v>73509190.739999995</v>
      </c>
      <c r="E31" s="203">
        <v>28768</v>
      </c>
      <c r="F31" s="282">
        <v>29391</v>
      </c>
      <c r="G31" s="286">
        <v>2.1656006674082313E-2</v>
      </c>
      <c r="H31" s="160">
        <v>34812</v>
      </c>
      <c r="I31" s="159">
        <v>35022</v>
      </c>
      <c r="J31" s="159">
        <v>0</v>
      </c>
      <c r="K31" s="159">
        <v>320</v>
      </c>
      <c r="L31" s="159">
        <v>3740</v>
      </c>
      <c r="M31" s="170">
        <v>0.114077462948023</v>
      </c>
      <c r="N31" s="270">
        <v>27041</v>
      </c>
      <c r="O31" s="273">
        <v>27407</v>
      </c>
      <c r="P31" s="274">
        <v>1.3535002403757299E-2</v>
      </c>
      <c r="Q31" s="273">
        <v>27483</v>
      </c>
      <c r="R31" s="272">
        <v>1.6345549350985498E-2</v>
      </c>
      <c r="S31" s="255">
        <v>96</v>
      </c>
      <c r="T31" s="256">
        <v>2.7</v>
      </c>
      <c r="U31" s="256">
        <v>0.2</v>
      </c>
      <c r="V31" s="257">
        <v>98.9</v>
      </c>
      <c r="W31" s="160">
        <v>75</v>
      </c>
      <c r="X31" s="159">
        <v>0</v>
      </c>
      <c r="Y31" s="159">
        <v>0</v>
      </c>
      <c r="Z31" s="159">
        <v>0</v>
      </c>
      <c r="AA31" s="159">
        <v>0</v>
      </c>
      <c r="AB31" s="159">
        <v>3505</v>
      </c>
      <c r="AC31" s="159">
        <v>21224</v>
      </c>
      <c r="AD31" s="159">
        <v>4874</v>
      </c>
      <c r="AE31" s="159">
        <v>2789</v>
      </c>
      <c r="AF31" s="203">
        <v>0</v>
      </c>
      <c r="AG31" s="237">
        <v>0</v>
      </c>
      <c r="AH31" s="233">
        <v>0</v>
      </c>
      <c r="AI31" s="233">
        <v>75</v>
      </c>
      <c r="AJ31" s="233">
        <v>0</v>
      </c>
      <c r="AK31" s="233">
        <v>0</v>
      </c>
      <c r="AL31" s="233">
        <v>0</v>
      </c>
      <c r="AM31" s="233">
        <v>1705</v>
      </c>
      <c r="AN31" s="233">
        <v>7435</v>
      </c>
      <c r="AO31" s="233">
        <v>9602</v>
      </c>
      <c r="AP31" s="233">
        <v>12954</v>
      </c>
      <c r="AQ31" s="233">
        <v>0</v>
      </c>
      <c r="AR31" s="238">
        <v>696</v>
      </c>
      <c r="AS31" s="217">
        <v>0</v>
      </c>
      <c r="AT31" s="203">
        <v>0</v>
      </c>
      <c r="AU31" s="203">
        <v>0</v>
      </c>
      <c r="AV31" s="217" t="s">
        <v>687</v>
      </c>
      <c r="AW31" s="217">
        <v>0</v>
      </c>
      <c r="AX31" s="203">
        <v>0</v>
      </c>
      <c r="AY31" s="203">
        <v>0</v>
      </c>
      <c r="AZ31" s="217" t="s">
        <v>687</v>
      </c>
      <c r="BA31" s="217">
        <v>0</v>
      </c>
      <c r="BB31" s="203">
        <v>0</v>
      </c>
      <c r="BC31" s="203">
        <v>0</v>
      </c>
      <c r="BD31" s="307" t="s">
        <v>687</v>
      </c>
    </row>
    <row r="32" spans="1:57" x14ac:dyDescent="0.45">
      <c r="A32">
        <v>331</v>
      </c>
      <c r="B32" t="s">
        <v>29</v>
      </c>
      <c r="C32" s="238" t="s">
        <v>568</v>
      </c>
      <c r="D32" s="280">
        <v>84472943.099999994</v>
      </c>
      <c r="E32" s="203">
        <v>16915</v>
      </c>
      <c r="F32" s="282">
        <v>20574</v>
      </c>
      <c r="G32" s="286">
        <v>0.21631687851019804</v>
      </c>
      <c r="H32" s="160">
        <v>22524</v>
      </c>
      <c r="I32" s="159">
        <v>24557</v>
      </c>
      <c r="J32" s="159">
        <v>1145</v>
      </c>
      <c r="K32" s="159">
        <v>830</v>
      </c>
      <c r="L32" s="159">
        <v>2120</v>
      </c>
      <c r="M32" s="170">
        <v>9.6867746523034495E-2</v>
      </c>
      <c r="N32" s="270">
        <v>18537</v>
      </c>
      <c r="O32" s="273">
        <v>19151</v>
      </c>
      <c r="P32" s="274">
        <v>3.3122943302584001E-2</v>
      </c>
      <c r="Q32" s="273">
        <v>18873</v>
      </c>
      <c r="R32" s="272">
        <v>1.8125910341479201E-2</v>
      </c>
      <c r="S32" s="255">
        <v>77.2</v>
      </c>
      <c r="T32" s="256">
        <v>11.5</v>
      </c>
      <c r="U32" s="256">
        <v>3.7</v>
      </c>
      <c r="V32" s="257">
        <v>92.5</v>
      </c>
      <c r="W32" s="160">
        <v>0</v>
      </c>
      <c r="X32" s="159">
        <v>0</v>
      </c>
      <c r="Y32" s="159">
        <v>0</v>
      </c>
      <c r="Z32" s="159">
        <v>0</v>
      </c>
      <c r="AA32" s="159">
        <v>0</v>
      </c>
      <c r="AB32" s="159">
        <v>5064</v>
      </c>
      <c r="AC32" s="159">
        <v>13203</v>
      </c>
      <c r="AD32" s="159">
        <v>2808</v>
      </c>
      <c r="AE32" s="159">
        <v>1083</v>
      </c>
      <c r="AF32" s="203">
        <v>0</v>
      </c>
      <c r="AG32" s="237">
        <v>0</v>
      </c>
      <c r="AH32" s="233">
        <v>0</v>
      </c>
      <c r="AI32" s="233">
        <v>0</v>
      </c>
      <c r="AJ32" s="233">
        <v>0</v>
      </c>
      <c r="AK32" s="233">
        <v>0</v>
      </c>
      <c r="AL32" s="233">
        <v>0</v>
      </c>
      <c r="AM32" s="233">
        <v>1419</v>
      </c>
      <c r="AN32" s="233">
        <v>4122</v>
      </c>
      <c r="AO32" s="233">
        <v>6697</v>
      </c>
      <c r="AP32" s="233">
        <v>4869</v>
      </c>
      <c r="AQ32" s="233">
        <v>3111</v>
      </c>
      <c r="AR32" s="238">
        <v>1940</v>
      </c>
      <c r="AS32" s="217">
        <v>0</v>
      </c>
      <c r="AT32" s="203">
        <v>0</v>
      </c>
      <c r="AU32" s="203">
        <v>0</v>
      </c>
      <c r="AV32" s="217" t="s">
        <v>687</v>
      </c>
      <c r="AW32" s="217">
        <v>0</v>
      </c>
      <c r="AX32" s="203">
        <v>0</v>
      </c>
      <c r="AY32" s="203">
        <v>0</v>
      </c>
      <c r="AZ32" s="217" t="s">
        <v>687</v>
      </c>
      <c r="BA32" s="217">
        <v>0</v>
      </c>
      <c r="BB32" s="203">
        <v>0</v>
      </c>
      <c r="BC32" s="203">
        <v>0</v>
      </c>
      <c r="BD32" s="307" t="s">
        <v>687</v>
      </c>
    </row>
    <row r="33" spans="1:59" x14ac:dyDescent="0.45">
      <c r="A33">
        <v>306</v>
      </c>
      <c r="B33" t="s">
        <v>30</v>
      </c>
      <c r="C33" s="238" t="s">
        <v>564</v>
      </c>
      <c r="D33" s="280">
        <v>214034544.25</v>
      </c>
      <c r="E33" s="203">
        <v>13704</v>
      </c>
      <c r="F33" s="282">
        <v>20111</v>
      </c>
      <c r="G33" s="286">
        <v>0.46752772913018098</v>
      </c>
      <c r="H33" s="160">
        <v>22711</v>
      </c>
      <c r="I33" s="159">
        <v>29160</v>
      </c>
      <c r="J33" s="159">
        <v>360</v>
      </c>
      <c r="K33" s="159">
        <v>10</v>
      </c>
      <c r="L33" s="159">
        <v>3450</v>
      </c>
      <c r="M33" s="170">
        <v>0.14652193921649001</v>
      </c>
      <c r="N33" s="270">
        <v>18182</v>
      </c>
      <c r="O33" s="273">
        <v>18114</v>
      </c>
      <c r="P33" s="274">
        <v>-3.739962600374E-3</v>
      </c>
      <c r="Q33" s="273">
        <v>19102</v>
      </c>
      <c r="R33" s="272">
        <v>5.0599494005059899E-2</v>
      </c>
      <c r="S33" s="255">
        <v>62.9</v>
      </c>
      <c r="T33" s="256">
        <v>14.9</v>
      </c>
      <c r="U33" s="256">
        <v>7.3</v>
      </c>
      <c r="V33" s="257">
        <v>85.1</v>
      </c>
      <c r="W33" s="160">
        <v>0</v>
      </c>
      <c r="X33" s="159">
        <v>0</v>
      </c>
      <c r="Y33" s="159">
        <v>0</v>
      </c>
      <c r="Z33" s="159">
        <v>0</v>
      </c>
      <c r="AA33" s="159">
        <v>1680</v>
      </c>
      <c r="AB33" s="159">
        <v>9029</v>
      </c>
      <c r="AC33" s="159">
        <v>14326</v>
      </c>
      <c r="AD33" s="159">
        <v>2085</v>
      </c>
      <c r="AE33" s="159">
        <v>1200</v>
      </c>
      <c r="AF33" s="203">
        <v>0</v>
      </c>
      <c r="AG33" s="237">
        <v>0</v>
      </c>
      <c r="AH33" s="233">
        <v>0</v>
      </c>
      <c r="AI33" s="233">
        <v>0</v>
      </c>
      <c r="AJ33" s="233">
        <v>0</v>
      </c>
      <c r="AK33" s="233">
        <v>0</v>
      </c>
      <c r="AL33" s="233">
        <v>1680</v>
      </c>
      <c r="AM33" s="233">
        <v>5312</v>
      </c>
      <c r="AN33" s="233">
        <v>5170</v>
      </c>
      <c r="AO33" s="233">
        <v>11375</v>
      </c>
      <c r="AP33" s="233">
        <v>1744</v>
      </c>
      <c r="AQ33" s="233">
        <v>0</v>
      </c>
      <c r="AR33" s="238">
        <v>3039</v>
      </c>
      <c r="AS33" s="217">
        <v>0</v>
      </c>
      <c r="AT33" s="203">
        <v>0</v>
      </c>
      <c r="AU33" s="203">
        <v>0</v>
      </c>
      <c r="AV33" s="217" t="s">
        <v>687</v>
      </c>
      <c r="AW33" s="217">
        <v>0</v>
      </c>
      <c r="AX33" s="203">
        <v>0</v>
      </c>
      <c r="AY33" s="203">
        <v>0</v>
      </c>
      <c r="AZ33" s="217" t="s">
        <v>687</v>
      </c>
      <c r="BA33" s="217">
        <v>21757878.381509587</v>
      </c>
      <c r="BB33" s="203">
        <v>1</v>
      </c>
      <c r="BC33" s="203">
        <v>900</v>
      </c>
      <c r="BD33" s="307">
        <v>24175.420423899541</v>
      </c>
    </row>
    <row r="34" spans="1:59" x14ac:dyDescent="0.45">
      <c r="A34">
        <v>909</v>
      </c>
      <c r="B34" t="s">
        <v>31</v>
      </c>
      <c r="C34" s="238" t="s">
        <v>569</v>
      </c>
      <c r="D34" s="280">
        <v>24488209.920000002</v>
      </c>
      <c r="E34" s="203">
        <v>24428</v>
      </c>
      <c r="F34" s="282">
        <v>26574</v>
      </c>
      <c r="G34" s="286">
        <v>8.7850008187326023E-2</v>
      </c>
      <c r="H34" s="160">
        <v>35343</v>
      </c>
      <c r="I34" s="159">
        <v>37440</v>
      </c>
      <c r="J34" s="159">
        <v>0</v>
      </c>
      <c r="K34" s="159">
        <v>140</v>
      </c>
      <c r="L34" s="159">
        <v>6780</v>
      </c>
      <c r="M34" s="170">
        <v>0.20419764867228701</v>
      </c>
      <c r="N34" s="270">
        <v>25679</v>
      </c>
      <c r="O34" s="273">
        <v>25936</v>
      </c>
      <c r="P34" s="274">
        <v>1.0008177888547101E-2</v>
      </c>
      <c r="Q34" s="273">
        <v>25849</v>
      </c>
      <c r="R34" s="272">
        <v>6.6201954904786002E-3</v>
      </c>
      <c r="S34" s="255">
        <v>94.3</v>
      </c>
      <c r="T34" s="256">
        <v>4.0999999999999996</v>
      </c>
      <c r="U34" s="256">
        <v>0.4</v>
      </c>
      <c r="V34" s="257">
        <v>98.7</v>
      </c>
      <c r="W34" s="160">
        <v>0</v>
      </c>
      <c r="X34" s="159">
        <v>250</v>
      </c>
      <c r="Y34" s="159">
        <v>0</v>
      </c>
      <c r="Z34" s="159">
        <v>0</v>
      </c>
      <c r="AA34" s="159">
        <v>0</v>
      </c>
      <c r="AB34" s="159">
        <v>6656</v>
      </c>
      <c r="AC34" s="159">
        <v>18671</v>
      </c>
      <c r="AD34" s="159">
        <v>9923</v>
      </c>
      <c r="AE34" s="159">
        <v>0</v>
      </c>
      <c r="AF34" s="203">
        <v>300</v>
      </c>
      <c r="AG34" s="237">
        <v>0</v>
      </c>
      <c r="AH34" s="233">
        <v>0</v>
      </c>
      <c r="AI34" s="233">
        <v>0</v>
      </c>
      <c r="AJ34" s="233">
        <v>200</v>
      </c>
      <c r="AK34" s="233">
        <v>50</v>
      </c>
      <c r="AL34" s="233">
        <v>0</v>
      </c>
      <c r="AM34" s="233">
        <v>1803</v>
      </c>
      <c r="AN34" s="233">
        <v>4715</v>
      </c>
      <c r="AO34" s="233">
        <v>12644</v>
      </c>
      <c r="AP34" s="233">
        <v>9191</v>
      </c>
      <c r="AQ34" s="233">
        <v>6337</v>
      </c>
      <c r="AR34" s="238">
        <v>860</v>
      </c>
      <c r="AS34" s="217">
        <v>0</v>
      </c>
      <c r="AT34" s="203">
        <v>0</v>
      </c>
      <c r="AU34" s="203">
        <v>0</v>
      </c>
      <c r="AV34" s="217" t="s">
        <v>687</v>
      </c>
      <c r="AW34" s="217">
        <v>0</v>
      </c>
      <c r="AX34" s="203">
        <v>0</v>
      </c>
      <c r="AY34" s="203">
        <v>0</v>
      </c>
      <c r="AZ34" s="217" t="s">
        <v>687</v>
      </c>
      <c r="BA34" s="217">
        <v>0</v>
      </c>
      <c r="BB34" s="203">
        <v>0</v>
      </c>
      <c r="BC34" s="203">
        <v>0</v>
      </c>
      <c r="BD34" s="307" t="s">
        <v>687</v>
      </c>
    </row>
    <row r="35" spans="1:59" x14ac:dyDescent="0.45">
      <c r="A35">
        <v>841</v>
      </c>
      <c r="B35" t="s">
        <v>32</v>
      </c>
      <c r="C35" s="238" t="s">
        <v>572</v>
      </c>
      <c r="D35" s="280">
        <v>13343101.989999998</v>
      </c>
      <c r="E35" s="203">
        <v>5109</v>
      </c>
      <c r="F35" s="282">
        <v>6093</v>
      </c>
      <c r="G35" s="286">
        <v>0.19260129183793306</v>
      </c>
      <c r="H35" s="160">
        <v>6433</v>
      </c>
      <c r="I35" s="159">
        <v>7217</v>
      </c>
      <c r="J35" s="159">
        <v>0</v>
      </c>
      <c r="K35" s="159">
        <v>0</v>
      </c>
      <c r="L35" s="159">
        <v>480</v>
      </c>
      <c r="M35" s="170">
        <v>7.3584878212606494E-2</v>
      </c>
      <c r="N35" s="270">
        <v>5898</v>
      </c>
      <c r="O35" s="273">
        <v>6091</v>
      </c>
      <c r="P35" s="274">
        <v>3.2722956934554098E-2</v>
      </c>
      <c r="Q35" s="273">
        <v>6272</v>
      </c>
      <c r="R35" s="272">
        <v>6.3411325873177396E-2</v>
      </c>
      <c r="S35" s="255">
        <v>83.6</v>
      </c>
      <c r="T35" s="256">
        <v>7.6</v>
      </c>
      <c r="U35" s="256">
        <v>2.8</v>
      </c>
      <c r="V35" s="257">
        <v>94</v>
      </c>
      <c r="W35" s="160">
        <v>0</v>
      </c>
      <c r="X35" s="159">
        <v>0</v>
      </c>
      <c r="Y35" s="159">
        <v>0</v>
      </c>
      <c r="Z35" s="159">
        <v>0</v>
      </c>
      <c r="AA35" s="159">
        <v>0</v>
      </c>
      <c r="AB35" s="159">
        <v>1835</v>
      </c>
      <c r="AC35" s="159">
        <v>0</v>
      </c>
      <c r="AD35" s="159">
        <v>3346</v>
      </c>
      <c r="AE35" s="159">
        <v>0</v>
      </c>
      <c r="AF35" s="203">
        <v>0</v>
      </c>
      <c r="AG35" s="237">
        <v>0</v>
      </c>
      <c r="AH35" s="233">
        <v>0</v>
      </c>
      <c r="AI35" s="233">
        <v>0</v>
      </c>
      <c r="AJ35" s="233">
        <v>0</v>
      </c>
      <c r="AK35" s="233">
        <v>0</v>
      </c>
      <c r="AL35" s="233">
        <v>0</v>
      </c>
      <c r="AM35" s="233">
        <v>0</v>
      </c>
      <c r="AN35" s="233">
        <v>1200</v>
      </c>
      <c r="AO35" s="233">
        <v>2446</v>
      </c>
      <c r="AP35" s="233">
        <v>1535</v>
      </c>
      <c r="AQ35" s="233">
        <v>0</v>
      </c>
      <c r="AR35" s="238">
        <v>0</v>
      </c>
      <c r="AS35" s="217">
        <v>0</v>
      </c>
      <c r="AT35" s="203">
        <v>0</v>
      </c>
      <c r="AU35" s="203">
        <v>0</v>
      </c>
      <c r="AV35" s="217" t="s">
        <v>687</v>
      </c>
      <c r="AW35" s="217">
        <v>0</v>
      </c>
      <c r="AX35" s="203">
        <v>0</v>
      </c>
      <c r="AY35" s="203">
        <v>0</v>
      </c>
      <c r="AZ35" s="217" t="s">
        <v>687</v>
      </c>
      <c r="BA35" s="217">
        <v>0</v>
      </c>
      <c r="BB35" s="203">
        <v>0</v>
      </c>
      <c r="BC35" s="203">
        <v>0</v>
      </c>
      <c r="BD35" s="307" t="s">
        <v>687</v>
      </c>
    </row>
    <row r="36" spans="1:59" x14ac:dyDescent="0.45">
      <c r="A36">
        <v>831</v>
      </c>
      <c r="B36" t="s">
        <v>33</v>
      </c>
      <c r="C36" s="238" t="s">
        <v>573</v>
      </c>
      <c r="D36" s="280">
        <v>56315597.079999998</v>
      </c>
      <c r="E36" s="203">
        <v>13675</v>
      </c>
      <c r="F36" s="282">
        <v>16588</v>
      </c>
      <c r="G36" s="286">
        <v>0.21301645338208411</v>
      </c>
      <c r="H36" s="160">
        <v>17340</v>
      </c>
      <c r="I36" s="159">
        <v>20519</v>
      </c>
      <c r="J36" s="159">
        <v>870</v>
      </c>
      <c r="K36" s="159">
        <v>0</v>
      </c>
      <c r="L36" s="159">
        <v>1910</v>
      </c>
      <c r="M36" s="170">
        <v>0.103353034963547</v>
      </c>
      <c r="N36" s="270">
        <v>14909</v>
      </c>
      <c r="O36" s="273">
        <v>15182</v>
      </c>
      <c r="P36" s="274">
        <v>1.8311087262727201E-2</v>
      </c>
      <c r="Q36" s="273">
        <v>15741</v>
      </c>
      <c r="R36" s="272">
        <v>5.5805218324501998E-2</v>
      </c>
      <c r="S36" s="255">
        <v>81.5</v>
      </c>
      <c r="T36" s="256">
        <v>9.5</v>
      </c>
      <c r="U36" s="256">
        <v>3.2</v>
      </c>
      <c r="V36" s="257">
        <v>94.3</v>
      </c>
      <c r="W36" s="160">
        <v>0</v>
      </c>
      <c r="X36" s="159">
        <v>201</v>
      </c>
      <c r="Y36" s="159">
        <v>90</v>
      </c>
      <c r="Z36" s="159">
        <v>0</v>
      </c>
      <c r="AA36" s="159">
        <v>1260</v>
      </c>
      <c r="AB36" s="159">
        <v>2887</v>
      </c>
      <c r="AC36" s="159">
        <v>5223</v>
      </c>
      <c r="AD36" s="159">
        <v>3507</v>
      </c>
      <c r="AE36" s="159">
        <v>5070</v>
      </c>
      <c r="AF36" s="203">
        <v>0</v>
      </c>
      <c r="AG36" s="237">
        <v>0</v>
      </c>
      <c r="AH36" s="233">
        <v>0</v>
      </c>
      <c r="AI36" s="233">
        <v>0</v>
      </c>
      <c r="AJ36" s="233">
        <v>291</v>
      </c>
      <c r="AK36" s="233">
        <v>0</v>
      </c>
      <c r="AL36" s="233">
        <v>1260</v>
      </c>
      <c r="AM36" s="233">
        <v>1125</v>
      </c>
      <c r="AN36" s="233">
        <v>4636</v>
      </c>
      <c r="AO36" s="233">
        <v>3034</v>
      </c>
      <c r="AP36" s="233">
        <v>3372</v>
      </c>
      <c r="AQ36" s="233">
        <v>3920</v>
      </c>
      <c r="AR36" s="238">
        <v>600</v>
      </c>
      <c r="AS36" s="217">
        <v>0</v>
      </c>
      <c r="AT36" s="203">
        <v>0</v>
      </c>
      <c r="AU36" s="203">
        <v>0</v>
      </c>
      <c r="AV36" s="217" t="s">
        <v>687</v>
      </c>
      <c r="AW36" s="217">
        <v>0</v>
      </c>
      <c r="AX36" s="203">
        <v>0</v>
      </c>
      <c r="AY36" s="203">
        <v>0</v>
      </c>
      <c r="AZ36" s="217" t="s">
        <v>687</v>
      </c>
      <c r="BA36" s="217">
        <v>0</v>
      </c>
      <c r="BB36" s="203">
        <v>0</v>
      </c>
      <c r="BC36" s="203">
        <v>0</v>
      </c>
      <c r="BD36" s="307" t="s">
        <v>687</v>
      </c>
    </row>
    <row r="37" spans="1:59" x14ac:dyDescent="0.45">
      <c r="A37">
        <v>830</v>
      </c>
      <c r="B37" t="s">
        <v>34</v>
      </c>
      <c r="C37" s="238" t="s">
        <v>573</v>
      </c>
      <c r="D37" s="280">
        <v>50259585.910000004</v>
      </c>
      <c r="E37" s="203">
        <v>42802</v>
      </c>
      <c r="F37" s="282">
        <v>40047</v>
      </c>
      <c r="G37" s="286">
        <v>-6.4366151114433903E-2</v>
      </c>
      <c r="H37" s="160">
        <v>51882</v>
      </c>
      <c r="I37" s="159">
        <v>49887</v>
      </c>
      <c r="J37" s="159">
        <v>0</v>
      </c>
      <c r="K37" s="159">
        <v>150</v>
      </c>
      <c r="L37" s="159">
        <v>5250</v>
      </c>
      <c r="M37" s="170">
        <v>0.116288466393644</v>
      </c>
      <c r="N37" s="270">
        <v>38076</v>
      </c>
      <c r="O37" s="273">
        <v>38170</v>
      </c>
      <c r="P37" s="274">
        <v>2.46874671709213E-3</v>
      </c>
      <c r="Q37" s="273">
        <v>38029</v>
      </c>
      <c r="R37" s="272">
        <v>-1.23437335854607E-3</v>
      </c>
      <c r="S37" s="255">
        <v>83.2</v>
      </c>
      <c r="T37" s="256">
        <v>6.4</v>
      </c>
      <c r="U37" s="256">
        <v>1.5</v>
      </c>
      <c r="V37" s="257">
        <v>91.1</v>
      </c>
      <c r="W37" s="160">
        <v>0</v>
      </c>
      <c r="X37" s="159">
        <v>282</v>
      </c>
      <c r="Y37" s="159">
        <v>0</v>
      </c>
      <c r="Z37" s="159">
        <v>0</v>
      </c>
      <c r="AA37" s="159">
        <v>0</v>
      </c>
      <c r="AB37" s="159">
        <v>4597</v>
      </c>
      <c r="AC37" s="159">
        <v>22850</v>
      </c>
      <c r="AD37" s="159">
        <v>13043</v>
      </c>
      <c r="AE37" s="159">
        <v>5057</v>
      </c>
      <c r="AF37" s="203">
        <v>0</v>
      </c>
      <c r="AG37" s="237">
        <v>0</v>
      </c>
      <c r="AH37" s="233">
        <v>0</v>
      </c>
      <c r="AI37" s="233">
        <v>0</v>
      </c>
      <c r="AJ37" s="233">
        <v>16</v>
      </c>
      <c r="AK37" s="233">
        <v>0</v>
      </c>
      <c r="AL37" s="233">
        <v>266</v>
      </c>
      <c r="AM37" s="233">
        <v>2203</v>
      </c>
      <c r="AN37" s="233">
        <v>3849</v>
      </c>
      <c r="AO37" s="233">
        <v>16083</v>
      </c>
      <c r="AP37" s="233">
        <v>14385</v>
      </c>
      <c r="AQ37" s="233">
        <v>8043</v>
      </c>
      <c r="AR37" s="238">
        <v>984</v>
      </c>
      <c r="AS37" s="217">
        <v>0</v>
      </c>
      <c r="AT37" s="203">
        <v>0</v>
      </c>
      <c r="AU37" s="203">
        <v>0</v>
      </c>
      <c r="AV37" s="217" t="s">
        <v>687</v>
      </c>
      <c r="AW37" s="217">
        <v>0</v>
      </c>
      <c r="AX37" s="203">
        <v>0</v>
      </c>
      <c r="AY37" s="203">
        <v>0</v>
      </c>
      <c r="AZ37" s="217" t="s">
        <v>687</v>
      </c>
      <c r="BA37" s="217">
        <v>0</v>
      </c>
      <c r="BB37" s="203">
        <v>0</v>
      </c>
      <c r="BC37" s="203">
        <v>0</v>
      </c>
      <c r="BD37" s="307" t="s">
        <v>687</v>
      </c>
      <c r="BE37" s="208"/>
      <c r="BF37" s="208"/>
      <c r="BG37" s="208"/>
    </row>
    <row r="38" spans="1:59" x14ac:dyDescent="0.45">
      <c r="A38">
        <v>878</v>
      </c>
      <c r="B38" t="s">
        <v>35</v>
      </c>
      <c r="C38" s="238" t="s">
        <v>566</v>
      </c>
      <c r="D38" s="280">
        <v>94608028.480000004</v>
      </c>
      <c r="E38" s="203">
        <v>37748</v>
      </c>
      <c r="F38" s="282">
        <v>39399</v>
      </c>
      <c r="G38" s="286">
        <v>4.3737416551870301E-2</v>
      </c>
      <c r="H38" s="160">
        <v>44311</v>
      </c>
      <c r="I38" s="159">
        <v>50349</v>
      </c>
      <c r="J38" s="159">
        <v>290</v>
      </c>
      <c r="K38" s="159">
        <v>780</v>
      </c>
      <c r="L38" s="159">
        <v>6710</v>
      </c>
      <c r="M38" s="170">
        <v>0.14795885298153</v>
      </c>
      <c r="N38" s="270">
        <v>35068</v>
      </c>
      <c r="O38" s="273">
        <v>36456</v>
      </c>
      <c r="P38" s="274">
        <v>3.9580244097182603E-2</v>
      </c>
      <c r="Q38" s="273">
        <v>38200</v>
      </c>
      <c r="R38" s="272">
        <v>8.9312193452720401E-2</v>
      </c>
      <c r="S38" s="255">
        <v>93.5</v>
      </c>
      <c r="T38" s="256">
        <v>3.6</v>
      </c>
      <c r="U38" s="256">
        <v>0.4</v>
      </c>
      <c r="V38" s="257">
        <v>97.5</v>
      </c>
      <c r="W38" s="160">
        <v>0</v>
      </c>
      <c r="X38" s="159">
        <v>50</v>
      </c>
      <c r="Y38" s="159">
        <v>0</v>
      </c>
      <c r="Z38" s="159">
        <v>0</v>
      </c>
      <c r="AA38" s="159">
        <v>0</v>
      </c>
      <c r="AB38" s="159">
        <v>8605</v>
      </c>
      <c r="AC38" s="159">
        <v>22002</v>
      </c>
      <c r="AD38" s="159">
        <v>14673</v>
      </c>
      <c r="AE38" s="159">
        <v>1825</v>
      </c>
      <c r="AF38" s="203">
        <v>0</v>
      </c>
      <c r="AG38" s="237">
        <v>0</v>
      </c>
      <c r="AH38" s="233">
        <v>0</v>
      </c>
      <c r="AI38" s="233">
        <v>50</v>
      </c>
      <c r="AJ38" s="233">
        <v>0</v>
      </c>
      <c r="AK38" s="233">
        <v>0</v>
      </c>
      <c r="AL38" s="233">
        <v>0</v>
      </c>
      <c r="AM38" s="233">
        <v>2025</v>
      </c>
      <c r="AN38" s="233">
        <v>3003</v>
      </c>
      <c r="AO38" s="233">
        <v>18636</v>
      </c>
      <c r="AP38" s="233">
        <v>18256</v>
      </c>
      <c r="AQ38" s="233">
        <v>1610</v>
      </c>
      <c r="AR38" s="238">
        <v>3575</v>
      </c>
      <c r="AS38" s="217">
        <v>1813852.9869859656</v>
      </c>
      <c r="AT38" s="203">
        <v>3</v>
      </c>
      <c r="AU38" s="203">
        <v>110</v>
      </c>
      <c r="AV38" s="217">
        <v>16489.572608963324</v>
      </c>
      <c r="AW38" s="217">
        <v>0</v>
      </c>
      <c r="AX38" s="203">
        <v>0</v>
      </c>
      <c r="AY38" s="203">
        <v>0</v>
      </c>
      <c r="AZ38" s="217" t="s">
        <v>687</v>
      </c>
      <c r="BA38" s="217">
        <v>20027477.891758043</v>
      </c>
      <c r="BB38" s="203">
        <v>1</v>
      </c>
      <c r="BC38" s="203">
        <v>959</v>
      </c>
      <c r="BD38" s="307">
        <v>20883.710001833206</v>
      </c>
      <c r="BE38" s="208"/>
      <c r="BF38" s="208"/>
      <c r="BG38" s="208"/>
    </row>
    <row r="39" spans="1:59" x14ac:dyDescent="0.45">
      <c r="A39">
        <v>371</v>
      </c>
      <c r="B39" t="s">
        <v>36</v>
      </c>
      <c r="C39" s="238" t="s">
        <v>565</v>
      </c>
      <c r="D39" s="280">
        <v>36128888.25</v>
      </c>
      <c r="E39" s="203">
        <v>14688</v>
      </c>
      <c r="F39" s="282">
        <v>17768</v>
      </c>
      <c r="G39" s="286">
        <v>0.20969498910675383</v>
      </c>
      <c r="H39" s="160">
        <v>23265</v>
      </c>
      <c r="I39" s="159">
        <v>22981</v>
      </c>
      <c r="J39" s="159">
        <v>690</v>
      </c>
      <c r="K39" s="159">
        <v>90</v>
      </c>
      <c r="L39" s="159">
        <v>3910</v>
      </c>
      <c r="M39" s="170">
        <v>0.181164991259645</v>
      </c>
      <c r="N39" s="270">
        <v>15761</v>
      </c>
      <c r="O39" s="273">
        <v>16190</v>
      </c>
      <c r="P39" s="274">
        <v>2.7219085083433799E-2</v>
      </c>
      <c r="Q39" s="273">
        <v>17038</v>
      </c>
      <c r="R39" s="272">
        <v>8.1022777742529001E-2</v>
      </c>
      <c r="S39" s="255">
        <v>86.7</v>
      </c>
      <c r="T39" s="256">
        <v>4</v>
      </c>
      <c r="U39" s="256">
        <v>4.8</v>
      </c>
      <c r="V39" s="257">
        <v>95.6</v>
      </c>
      <c r="W39" s="160">
        <v>0</v>
      </c>
      <c r="X39" s="159">
        <v>0</v>
      </c>
      <c r="Y39" s="159">
        <v>0</v>
      </c>
      <c r="Z39" s="159">
        <v>0</v>
      </c>
      <c r="AA39" s="159">
        <v>0</v>
      </c>
      <c r="AB39" s="159">
        <v>1503</v>
      </c>
      <c r="AC39" s="159">
        <v>9223</v>
      </c>
      <c r="AD39" s="159">
        <v>7927</v>
      </c>
      <c r="AE39" s="159">
        <v>1166</v>
      </c>
      <c r="AF39" s="203">
        <v>329</v>
      </c>
      <c r="AG39" s="237">
        <v>0</v>
      </c>
      <c r="AH39" s="233">
        <v>0</v>
      </c>
      <c r="AI39" s="233">
        <v>0</v>
      </c>
      <c r="AJ39" s="233">
        <v>0</v>
      </c>
      <c r="AK39" s="233">
        <v>0</v>
      </c>
      <c r="AL39" s="233">
        <v>0</v>
      </c>
      <c r="AM39" s="233">
        <v>845</v>
      </c>
      <c r="AN39" s="233">
        <v>5927</v>
      </c>
      <c r="AO39" s="233">
        <v>7924</v>
      </c>
      <c r="AP39" s="233">
        <v>3957</v>
      </c>
      <c r="AQ39" s="233">
        <v>1166</v>
      </c>
      <c r="AR39" s="238">
        <v>329</v>
      </c>
      <c r="AS39" s="217">
        <v>0</v>
      </c>
      <c r="AT39" s="203">
        <v>0</v>
      </c>
      <c r="AU39" s="203">
        <v>0</v>
      </c>
      <c r="AV39" s="217" t="s">
        <v>687</v>
      </c>
      <c r="AW39" s="217">
        <v>0</v>
      </c>
      <c r="AX39" s="203">
        <v>0</v>
      </c>
      <c r="AY39" s="203">
        <v>0</v>
      </c>
      <c r="AZ39" s="217" t="s">
        <v>687</v>
      </c>
      <c r="BA39" s="217">
        <v>0</v>
      </c>
      <c r="BB39" s="203">
        <v>0</v>
      </c>
      <c r="BC39" s="203">
        <v>0</v>
      </c>
      <c r="BD39" s="307" t="s">
        <v>687</v>
      </c>
      <c r="BE39" s="208"/>
      <c r="BF39" s="208"/>
      <c r="BG39" s="208"/>
    </row>
    <row r="40" spans="1:59" s="208" customFormat="1" x14ac:dyDescent="0.45">
      <c r="A40" s="208">
        <v>835</v>
      </c>
      <c r="B40" s="208" t="s">
        <v>724</v>
      </c>
      <c r="C40" s="316" t="s">
        <v>566</v>
      </c>
      <c r="D40" s="290" t="s">
        <v>687</v>
      </c>
      <c r="E40" s="227">
        <v>22247</v>
      </c>
      <c r="F40" s="291" t="s">
        <v>687</v>
      </c>
      <c r="G40" s="292" t="s">
        <v>687</v>
      </c>
      <c r="H40" s="293">
        <v>33218</v>
      </c>
      <c r="I40" s="294" t="s">
        <v>687</v>
      </c>
      <c r="J40" s="294" t="s">
        <v>687</v>
      </c>
      <c r="K40" s="294" t="s">
        <v>687</v>
      </c>
      <c r="L40" s="294" t="s">
        <v>687</v>
      </c>
      <c r="M40" s="295" t="s">
        <v>687</v>
      </c>
      <c r="N40" s="296" t="s">
        <v>687</v>
      </c>
      <c r="O40" s="297">
        <v>21621</v>
      </c>
      <c r="P40" s="298" t="s">
        <v>687</v>
      </c>
      <c r="Q40" s="297">
        <v>21702</v>
      </c>
      <c r="R40" s="299" t="s">
        <v>687</v>
      </c>
      <c r="S40" s="300">
        <v>94.7</v>
      </c>
      <c r="T40" s="300">
        <v>3.2</v>
      </c>
      <c r="U40" s="300">
        <v>0.1</v>
      </c>
      <c r="V40" s="300">
        <v>98</v>
      </c>
      <c r="W40" s="293" t="s">
        <v>687</v>
      </c>
      <c r="X40" s="294" t="s">
        <v>687</v>
      </c>
      <c r="Y40" s="294" t="s">
        <v>687</v>
      </c>
      <c r="Z40" s="294" t="s">
        <v>687</v>
      </c>
      <c r="AA40" s="294" t="s">
        <v>687</v>
      </c>
      <c r="AB40" s="294" t="s">
        <v>687</v>
      </c>
      <c r="AC40" s="294" t="s">
        <v>687</v>
      </c>
      <c r="AD40" s="294" t="s">
        <v>687</v>
      </c>
      <c r="AE40" s="294" t="s">
        <v>687</v>
      </c>
      <c r="AF40" s="301" t="s">
        <v>687</v>
      </c>
      <c r="AG40" s="227" t="s">
        <v>687</v>
      </c>
      <c r="AH40" s="227" t="s">
        <v>687</v>
      </c>
      <c r="AI40" s="227" t="s">
        <v>687</v>
      </c>
      <c r="AJ40" s="227" t="s">
        <v>687</v>
      </c>
      <c r="AK40" s="227" t="s">
        <v>687</v>
      </c>
      <c r="AL40" s="227" t="s">
        <v>687</v>
      </c>
      <c r="AM40" s="227" t="s">
        <v>687</v>
      </c>
      <c r="AN40" s="227" t="s">
        <v>687</v>
      </c>
      <c r="AO40" s="227" t="s">
        <v>687</v>
      </c>
      <c r="AP40" s="227" t="s">
        <v>687</v>
      </c>
      <c r="AQ40" s="227" t="s">
        <v>687</v>
      </c>
      <c r="AR40" s="227" t="s">
        <v>687</v>
      </c>
      <c r="AS40" s="293">
        <v>6123350.6778836343</v>
      </c>
      <c r="AT40" s="227">
        <v>4</v>
      </c>
      <c r="AU40" s="227">
        <v>430</v>
      </c>
      <c r="AV40" s="305">
        <v>14240.350413682871</v>
      </c>
      <c r="AW40" s="227">
        <v>0</v>
      </c>
      <c r="AX40" s="227">
        <v>0</v>
      </c>
      <c r="AY40" s="227">
        <v>0</v>
      </c>
      <c r="AZ40" s="305" t="s">
        <v>687</v>
      </c>
      <c r="BA40" s="227">
        <v>0</v>
      </c>
      <c r="BB40" s="227">
        <v>0</v>
      </c>
      <c r="BC40" s="227">
        <v>0</v>
      </c>
      <c r="BD40" s="305" t="s">
        <v>687</v>
      </c>
      <c r="BE40" s="249"/>
      <c r="BF40" s="227"/>
      <c r="BG40" s="227"/>
    </row>
    <row r="41" spans="1:59" s="208" customFormat="1" x14ac:dyDescent="0.45">
      <c r="A41" s="208">
        <v>838</v>
      </c>
      <c r="B41" s="208" t="s">
        <v>727</v>
      </c>
      <c r="C41" s="316" t="s">
        <v>566</v>
      </c>
      <c r="D41" s="302">
        <v>34139395.759999998</v>
      </c>
      <c r="E41" s="227" t="s">
        <v>687</v>
      </c>
      <c r="F41" s="303">
        <v>19357</v>
      </c>
      <c r="G41" s="292" t="s">
        <v>687</v>
      </c>
      <c r="H41" s="293" t="s">
        <v>687</v>
      </c>
      <c r="I41" s="294">
        <v>29691</v>
      </c>
      <c r="J41" s="294">
        <v>210</v>
      </c>
      <c r="K41" s="294">
        <v>20</v>
      </c>
      <c r="L41" s="294">
        <v>3440</v>
      </c>
      <c r="M41" s="295">
        <v>0.15098360533614999</v>
      </c>
      <c r="N41" s="296">
        <v>18269</v>
      </c>
      <c r="O41" s="297" t="s">
        <v>687</v>
      </c>
      <c r="P41" s="298" t="s">
        <v>687</v>
      </c>
      <c r="Q41" s="297" t="s">
        <v>687</v>
      </c>
      <c r="R41" s="299" t="s">
        <v>687</v>
      </c>
      <c r="S41" s="300" t="s">
        <v>687</v>
      </c>
      <c r="T41" s="300" t="s">
        <v>687</v>
      </c>
      <c r="U41" s="300" t="s">
        <v>687</v>
      </c>
      <c r="V41" s="300" t="s">
        <v>687</v>
      </c>
      <c r="W41" s="293">
        <v>262</v>
      </c>
      <c r="X41" s="294">
        <v>139</v>
      </c>
      <c r="Y41" s="294">
        <v>0</v>
      </c>
      <c r="Z41" s="294">
        <v>0</v>
      </c>
      <c r="AA41" s="294">
        <v>0</v>
      </c>
      <c r="AB41" s="294">
        <v>3504</v>
      </c>
      <c r="AC41" s="294">
        <v>15333</v>
      </c>
      <c r="AD41" s="294">
        <v>2029</v>
      </c>
      <c r="AE41" s="294">
        <v>4252</v>
      </c>
      <c r="AF41" s="301">
        <v>0</v>
      </c>
      <c r="AG41" s="227">
        <v>0</v>
      </c>
      <c r="AH41" s="227">
        <v>69</v>
      </c>
      <c r="AI41" s="227">
        <v>20</v>
      </c>
      <c r="AJ41" s="227">
        <v>70</v>
      </c>
      <c r="AK41" s="227">
        <v>0</v>
      </c>
      <c r="AL41" s="227">
        <v>242</v>
      </c>
      <c r="AM41" s="227">
        <v>0</v>
      </c>
      <c r="AN41" s="227">
        <v>4484</v>
      </c>
      <c r="AO41" s="227">
        <v>4891</v>
      </c>
      <c r="AP41" s="227">
        <v>6776</v>
      </c>
      <c r="AQ41" s="227">
        <v>1151</v>
      </c>
      <c r="AR41" s="227">
        <v>7816</v>
      </c>
      <c r="AS41" s="293" t="s">
        <v>687</v>
      </c>
      <c r="AT41" s="227" t="s">
        <v>687</v>
      </c>
      <c r="AU41" s="227" t="s">
        <v>687</v>
      </c>
      <c r="AV41" s="305" t="s">
        <v>687</v>
      </c>
      <c r="AW41" s="227" t="s">
        <v>687</v>
      </c>
      <c r="AX41" s="227" t="s">
        <v>687</v>
      </c>
      <c r="AY41" s="227" t="s">
        <v>687</v>
      </c>
      <c r="AZ41" s="305" t="s">
        <v>687</v>
      </c>
      <c r="BA41" s="227" t="s">
        <v>687</v>
      </c>
      <c r="BB41" s="227" t="s">
        <v>687</v>
      </c>
      <c r="BC41" s="227" t="s">
        <v>687</v>
      </c>
      <c r="BD41" s="305" t="s">
        <v>687</v>
      </c>
      <c r="BE41" s="249"/>
      <c r="BF41" s="227"/>
      <c r="BG41" s="227"/>
    </row>
    <row r="42" spans="1:59" x14ac:dyDescent="0.45">
      <c r="A42">
        <v>332</v>
      </c>
      <c r="B42" t="s">
        <v>37</v>
      </c>
      <c r="C42" s="238" t="s">
        <v>568</v>
      </c>
      <c r="D42" s="280">
        <v>30664155.280000001</v>
      </c>
      <c r="E42" s="203">
        <v>19265</v>
      </c>
      <c r="F42" s="282">
        <v>17730</v>
      </c>
      <c r="G42" s="286">
        <v>-7.9678172852322871E-2</v>
      </c>
      <c r="H42" s="160">
        <v>20684</v>
      </c>
      <c r="I42" s="159">
        <v>19762</v>
      </c>
      <c r="J42" s="159">
        <v>645</v>
      </c>
      <c r="K42" s="159">
        <v>90</v>
      </c>
      <c r="L42" s="159">
        <v>1990</v>
      </c>
      <c r="M42" s="170">
        <v>0.101501066866493</v>
      </c>
      <c r="N42" s="270">
        <v>16915</v>
      </c>
      <c r="O42" s="273">
        <v>16971</v>
      </c>
      <c r="P42" s="274">
        <v>3.3106710020691702E-3</v>
      </c>
      <c r="Q42" s="273">
        <v>17493</v>
      </c>
      <c r="R42" s="272">
        <v>3.4170854271356799E-2</v>
      </c>
      <c r="S42" s="255">
        <v>82</v>
      </c>
      <c r="T42" s="256">
        <v>9.6</v>
      </c>
      <c r="U42" s="256">
        <v>2.6</v>
      </c>
      <c r="V42" s="257">
        <v>94.3</v>
      </c>
      <c r="W42" s="160">
        <v>0</v>
      </c>
      <c r="X42" s="159">
        <v>0</v>
      </c>
      <c r="Y42" s="159">
        <v>0</v>
      </c>
      <c r="Z42" s="159">
        <v>0</v>
      </c>
      <c r="AA42" s="159">
        <v>0</v>
      </c>
      <c r="AB42" s="159">
        <v>3475</v>
      </c>
      <c r="AC42" s="159">
        <v>11357</v>
      </c>
      <c r="AD42" s="159">
        <v>1630</v>
      </c>
      <c r="AE42" s="159">
        <v>900</v>
      </c>
      <c r="AF42" s="203">
        <v>0</v>
      </c>
      <c r="AG42" s="237">
        <v>0</v>
      </c>
      <c r="AH42" s="233">
        <v>0</v>
      </c>
      <c r="AI42" s="233">
        <v>0</v>
      </c>
      <c r="AJ42" s="233">
        <v>0</v>
      </c>
      <c r="AK42" s="233">
        <v>0</v>
      </c>
      <c r="AL42" s="233">
        <v>0</v>
      </c>
      <c r="AM42" s="233">
        <v>0</v>
      </c>
      <c r="AN42" s="233">
        <v>2755</v>
      </c>
      <c r="AO42" s="233">
        <v>5866</v>
      </c>
      <c r="AP42" s="233">
        <v>8741</v>
      </c>
      <c r="AQ42" s="233">
        <v>0</v>
      </c>
      <c r="AR42" s="238">
        <v>0</v>
      </c>
      <c r="AS42" s="217">
        <v>0</v>
      </c>
      <c r="AT42" s="203">
        <v>0</v>
      </c>
      <c r="AU42" s="203">
        <v>0</v>
      </c>
      <c r="AV42" s="217" t="s">
        <v>687</v>
      </c>
      <c r="AW42" s="217">
        <v>0</v>
      </c>
      <c r="AX42" s="203">
        <v>0</v>
      </c>
      <c r="AY42" s="203">
        <v>0</v>
      </c>
      <c r="AZ42" s="217" t="s">
        <v>687</v>
      </c>
      <c r="BA42" s="217">
        <v>0</v>
      </c>
      <c r="BB42" s="203">
        <v>0</v>
      </c>
      <c r="BC42" s="203">
        <v>0</v>
      </c>
      <c r="BD42" s="307" t="s">
        <v>687</v>
      </c>
      <c r="BE42" s="208"/>
      <c r="BF42" s="208"/>
      <c r="BG42" s="208"/>
    </row>
    <row r="43" spans="1:59" x14ac:dyDescent="0.45">
      <c r="A43">
        <v>840</v>
      </c>
      <c r="B43" t="s">
        <v>38</v>
      </c>
      <c r="C43" s="238" t="s">
        <v>572</v>
      </c>
      <c r="D43" s="280">
        <v>21179499.390000001</v>
      </c>
      <c r="E43" s="203">
        <v>26745</v>
      </c>
      <c r="F43" s="282">
        <v>27713</v>
      </c>
      <c r="G43" s="286">
        <v>3.6193681061880728E-2</v>
      </c>
      <c r="H43" s="160">
        <v>35964</v>
      </c>
      <c r="I43" s="159">
        <v>35435</v>
      </c>
      <c r="J43" s="159">
        <v>60</v>
      </c>
      <c r="K43" s="159">
        <v>160</v>
      </c>
      <c r="L43" s="159">
        <v>5790</v>
      </c>
      <c r="M43" s="170">
        <v>0.17362026108038101</v>
      </c>
      <c r="N43" s="270">
        <v>25072</v>
      </c>
      <c r="O43" s="273">
        <v>24758</v>
      </c>
      <c r="P43" s="274">
        <v>-1.2523931078493899E-2</v>
      </c>
      <c r="Q43" s="273">
        <v>25593</v>
      </c>
      <c r="R43" s="272">
        <v>2.0780153158902401E-2</v>
      </c>
      <c r="S43" s="255">
        <v>94</v>
      </c>
      <c r="T43" s="256">
        <v>3.7</v>
      </c>
      <c r="U43" s="256">
        <v>0.8</v>
      </c>
      <c r="V43" s="257">
        <v>98.5</v>
      </c>
      <c r="W43" s="160">
        <v>0</v>
      </c>
      <c r="X43" s="159">
        <v>27</v>
      </c>
      <c r="Y43" s="159">
        <v>0</v>
      </c>
      <c r="Z43" s="159">
        <v>0</v>
      </c>
      <c r="AA43" s="159">
        <v>0</v>
      </c>
      <c r="AB43" s="159">
        <v>7251</v>
      </c>
      <c r="AC43" s="159">
        <v>15772</v>
      </c>
      <c r="AD43" s="159">
        <v>8023</v>
      </c>
      <c r="AE43" s="159">
        <v>2103</v>
      </c>
      <c r="AF43" s="203">
        <v>0</v>
      </c>
      <c r="AG43" s="237">
        <v>0</v>
      </c>
      <c r="AH43" s="233">
        <v>0</v>
      </c>
      <c r="AI43" s="233">
        <v>27</v>
      </c>
      <c r="AJ43" s="233">
        <v>0</v>
      </c>
      <c r="AK43" s="233">
        <v>0</v>
      </c>
      <c r="AL43" s="233">
        <v>0</v>
      </c>
      <c r="AM43" s="233">
        <v>975</v>
      </c>
      <c r="AN43" s="233">
        <v>8807</v>
      </c>
      <c r="AO43" s="233">
        <v>10637</v>
      </c>
      <c r="AP43" s="233">
        <v>7417</v>
      </c>
      <c r="AQ43" s="233">
        <v>4713</v>
      </c>
      <c r="AR43" s="238">
        <v>600</v>
      </c>
      <c r="AS43" s="217">
        <v>0</v>
      </c>
      <c r="AT43" s="203">
        <v>0</v>
      </c>
      <c r="AU43" s="203">
        <v>0</v>
      </c>
      <c r="AV43" s="217" t="s">
        <v>687</v>
      </c>
      <c r="AW43" s="217">
        <v>0</v>
      </c>
      <c r="AX43" s="203">
        <v>0</v>
      </c>
      <c r="AY43" s="203">
        <v>0</v>
      </c>
      <c r="AZ43" s="217" t="s">
        <v>687</v>
      </c>
      <c r="BA43" s="217">
        <v>0</v>
      </c>
      <c r="BB43" s="203">
        <v>0</v>
      </c>
      <c r="BC43" s="203">
        <v>0</v>
      </c>
      <c r="BD43" s="307" t="s">
        <v>687</v>
      </c>
      <c r="BE43" s="208"/>
      <c r="BF43" s="208"/>
      <c r="BG43" s="208"/>
    </row>
    <row r="44" spans="1:59" x14ac:dyDescent="0.45">
      <c r="A44">
        <v>307</v>
      </c>
      <c r="B44" t="s">
        <v>39</v>
      </c>
      <c r="C44" s="238" t="s">
        <v>564</v>
      </c>
      <c r="D44" s="280">
        <v>131777790</v>
      </c>
      <c r="E44" s="203">
        <v>13535</v>
      </c>
      <c r="F44" s="282">
        <v>17438</v>
      </c>
      <c r="G44" s="286">
        <v>0.28836350203176947</v>
      </c>
      <c r="H44" s="160">
        <v>17489</v>
      </c>
      <c r="I44" s="159">
        <v>24541</v>
      </c>
      <c r="J44" s="159">
        <v>390</v>
      </c>
      <c r="K44" s="159">
        <v>120</v>
      </c>
      <c r="L44" s="159">
        <v>2130</v>
      </c>
      <c r="M44" s="170">
        <v>0.109643071673436</v>
      </c>
      <c r="N44" s="270">
        <v>15751</v>
      </c>
      <c r="O44" s="273">
        <v>15772</v>
      </c>
      <c r="P44" s="274">
        <v>1.33324868262333E-3</v>
      </c>
      <c r="Q44" s="273">
        <v>16435</v>
      </c>
      <c r="R44" s="272">
        <v>4.3425814234016903E-2</v>
      </c>
      <c r="S44" s="255">
        <v>63.8</v>
      </c>
      <c r="T44" s="256">
        <v>12.5</v>
      </c>
      <c r="U44" s="256">
        <v>6.2</v>
      </c>
      <c r="V44" s="257">
        <v>82.5</v>
      </c>
      <c r="W44" s="160">
        <v>473</v>
      </c>
      <c r="X44" s="159">
        <v>322</v>
      </c>
      <c r="Y44" s="159">
        <v>0</v>
      </c>
      <c r="Z44" s="159">
        <v>0</v>
      </c>
      <c r="AA44" s="159">
        <v>1330</v>
      </c>
      <c r="AB44" s="159">
        <v>14241</v>
      </c>
      <c r="AC44" s="159">
        <v>6123</v>
      </c>
      <c r="AD44" s="159">
        <v>0</v>
      </c>
      <c r="AE44" s="159">
        <v>0</v>
      </c>
      <c r="AF44" s="203">
        <v>0</v>
      </c>
      <c r="AG44" s="237">
        <v>473</v>
      </c>
      <c r="AH44" s="233">
        <v>172</v>
      </c>
      <c r="AI44" s="233">
        <v>150</v>
      </c>
      <c r="AJ44" s="233">
        <v>0</v>
      </c>
      <c r="AK44" s="233">
        <v>0</v>
      </c>
      <c r="AL44" s="233">
        <v>1330</v>
      </c>
      <c r="AM44" s="233">
        <v>14154</v>
      </c>
      <c r="AN44" s="233">
        <v>3040</v>
      </c>
      <c r="AO44" s="233">
        <v>2330</v>
      </c>
      <c r="AP44" s="233">
        <v>0</v>
      </c>
      <c r="AQ44" s="233">
        <v>0</v>
      </c>
      <c r="AR44" s="238">
        <v>840</v>
      </c>
      <c r="AS44" s="217">
        <v>20297514.034254096</v>
      </c>
      <c r="AT44" s="203">
        <v>2</v>
      </c>
      <c r="AU44" s="203">
        <v>690</v>
      </c>
      <c r="AV44" s="217">
        <v>29416.687006165357</v>
      </c>
      <c r="AW44" s="217">
        <v>669495.45270231133</v>
      </c>
      <c r="AX44" s="203">
        <v>1</v>
      </c>
      <c r="AY44" s="203">
        <v>30</v>
      </c>
      <c r="AZ44" s="217">
        <v>22316.515090077046</v>
      </c>
      <c r="BA44" s="217">
        <v>0</v>
      </c>
      <c r="BB44" s="203">
        <v>0</v>
      </c>
      <c r="BC44" s="203">
        <v>0</v>
      </c>
      <c r="BD44" s="307" t="s">
        <v>687</v>
      </c>
      <c r="BE44" s="208"/>
      <c r="BF44" s="208"/>
      <c r="BG44" s="208"/>
    </row>
    <row r="45" spans="1:59" x14ac:dyDescent="0.45">
      <c r="A45">
        <v>811</v>
      </c>
      <c r="B45" t="s">
        <v>40</v>
      </c>
      <c r="C45" s="238" t="s">
        <v>565</v>
      </c>
      <c r="D45" s="280">
        <v>17296644.670000002</v>
      </c>
      <c r="E45" s="203">
        <v>19437</v>
      </c>
      <c r="F45" s="282">
        <v>17070</v>
      </c>
      <c r="G45" s="286">
        <v>-0.12177805216854452</v>
      </c>
      <c r="H45" s="160">
        <v>24640</v>
      </c>
      <c r="I45" s="159">
        <v>25531</v>
      </c>
      <c r="J45" s="159">
        <v>0</v>
      </c>
      <c r="K45" s="159">
        <v>30</v>
      </c>
      <c r="L45" s="159">
        <v>5840</v>
      </c>
      <c r="M45" s="170">
        <v>0.25527530517789798</v>
      </c>
      <c r="N45" s="270">
        <v>16560</v>
      </c>
      <c r="O45" s="273">
        <v>16628</v>
      </c>
      <c r="P45" s="274">
        <v>4.1062801932367204E-3</v>
      </c>
      <c r="Q45" s="273">
        <v>16702</v>
      </c>
      <c r="R45" s="272">
        <v>8.5748792270531407E-3</v>
      </c>
      <c r="S45" s="255">
        <v>94.1</v>
      </c>
      <c r="T45" s="256">
        <v>3.2</v>
      </c>
      <c r="U45" s="256">
        <v>0.4</v>
      </c>
      <c r="V45" s="257">
        <v>97.7</v>
      </c>
      <c r="W45" s="160">
        <v>0</v>
      </c>
      <c r="X45" s="159">
        <v>123</v>
      </c>
      <c r="Y45" s="159">
        <v>0</v>
      </c>
      <c r="Z45" s="159">
        <v>0</v>
      </c>
      <c r="AA45" s="159">
        <v>0</v>
      </c>
      <c r="AB45" s="159">
        <v>2232</v>
      </c>
      <c r="AC45" s="159">
        <v>13692</v>
      </c>
      <c r="AD45" s="159">
        <v>5131</v>
      </c>
      <c r="AE45" s="159">
        <v>0</v>
      </c>
      <c r="AF45" s="203">
        <v>0</v>
      </c>
      <c r="AG45" s="237">
        <v>0</v>
      </c>
      <c r="AH45" s="233">
        <v>0</v>
      </c>
      <c r="AI45" s="233">
        <v>123</v>
      </c>
      <c r="AJ45" s="233">
        <v>0</v>
      </c>
      <c r="AK45" s="233">
        <v>0</v>
      </c>
      <c r="AL45" s="233">
        <v>0</v>
      </c>
      <c r="AM45" s="233">
        <v>940</v>
      </c>
      <c r="AN45" s="233">
        <v>3446</v>
      </c>
      <c r="AO45" s="233">
        <v>12405</v>
      </c>
      <c r="AP45" s="233">
        <v>4264</v>
      </c>
      <c r="AQ45" s="233">
        <v>0</v>
      </c>
      <c r="AR45" s="238">
        <v>0</v>
      </c>
      <c r="AS45" s="217">
        <v>0</v>
      </c>
      <c r="AT45" s="203">
        <v>0</v>
      </c>
      <c r="AU45" s="203">
        <v>0</v>
      </c>
      <c r="AV45" s="217" t="s">
        <v>687</v>
      </c>
      <c r="AW45" s="217">
        <v>0</v>
      </c>
      <c r="AX45" s="203">
        <v>0</v>
      </c>
      <c r="AY45" s="203">
        <v>0</v>
      </c>
      <c r="AZ45" s="217" t="s">
        <v>687</v>
      </c>
      <c r="BA45" s="217">
        <v>0</v>
      </c>
      <c r="BB45" s="203">
        <v>0</v>
      </c>
      <c r="BC45" s="203">
        <v>0</v>
      </c>
      <c r="BD45" s="307" t="s">
        <v>687</v>
      </c>
      <c r="BE45" s="208"/>
      <c r="BF45" s="208"/>
      <c r="BG45" s="208"/>
    </row>
    <row r="46" spans="1:59" x14ac:dyDescent="0.45">
      <c r="A46">
        <v>845</v>
      </c>
      <c r="B46" t="s">
        <v>41</v>
      </c>
      <c r="C46" s="238" t="s">
        <v>570</v>
      </c>
      <c r="D46" s="280">
        <v>91141945.679999992</v>
      </c>
      <c r="E46" s="203">
        <v>25890</v>
      </c>
      <c r="F46" s="282">
        <v>26263</v>
      </c>
      <c r="G46" s="286">
        <v>1.4407106991116261E-2</v>
      </c>
      <c r="H46" s="160">
        <v>30088</v>
      </c>
      <c r="I46" s="159">
        <v>32092</v>
      </c>
      <c r="J46" s="159">
        <v>0</v>
      </c>
      <c r="K46" s="159">
        <v>120</v>
      </c>
      <c r="L46" s="159">
        <v>3150</v>
      </c>
      <c r="M46" s="170">
        <v>0.107518128628455</v>
      </c>
      <c r="N46" s="270">
        <v>24376</v>
      </c>
      <c r="O46" s="273">
        <v>24554</v>
      </c>
      <c r="P46" s="274">
        <v>7.3022645224811297E-3</v>
      </c>
      <c r="Q46" s="273">
        <v>25425</v>
      </c>
      <c r="R46" s="272">
        <v>4.3034131933048898E-2</v>
      </c>
      <c r="S46" s="255">
        <v>88.6</v>
      </c>
      <c r="T46" s="256">
        <v>5.9</v>
      </c>
      <c r="U46" s="256">
        <v>1</v>
      </c>
      <c r="V46" s="257">
        <v>95.4</v>
      </c>
      <c r="W46" s="160">
        <v>0</v>
      </c>
      <c r="X46" s="159">
        <v>340</v>
      </c>
      <c r="Y46" s="159">
        <v>0</v>
      </c>
      <c r="Z46" s="159">
        <v>0</v>
      </c>
      <c r="AA46" s="159">
        <v>0</v>
      </c>
      <c r="AB46" s="159">
        <v>2400</v>
      </c>
      <c r="AC46" s="159">
        <v>24895</v>
      </c>
      <c r="AD46" s="159">
        <v>2295</v>
      </c>
      <c r="AE46" s="159">
        <v>1350</v>
      </c>
      <c r="AF46" s="203">
        <v>0</v>
      </c>
      <c r="AG46" s="237">
        <v>300</v>
      </c>
      <c r="AH46" s="233">
        <v>0</v>
      </c>
      <c r="AI46" s="233">
        <v>0</v>
      </c>
      <c r="AJ46" s="233">
        <v>40</v>
      </c>
      <c r="AK46" s="233">
        <v>0</v>
      </c>
      <c r="AL46" s="233">
        <v>0</v>
      </c>
      <c r="AM46" s="233">
        <v>1500</v>
      </c>
      <c r="AN46" s="233">
        <v>6010</v>
      </c>
      <c r="AO46" s="233">
        <v>14245</v>
      </c>
      <c r="AP46" s="233">
        <v>4490</v>
      </c>
      <c r="AQ46" s="233">
        <v>3345</v>
      </c>
      <c r="AR46" s="238">
        <v>1350</v>
      </c>
      <c r="AS46" s="217">
        <v>0</v>
      </c>
      <c r="AT46" s="203">
        <v>0</v>
      </c>
      <c r="AU46" s="203">
        <v>0</v>
      </c>
      <c r="AV46" s="217" t="s">
        <v>687</v>
      </c>
      <c r="AW46" s="217">
        <v>0</v>
      </c>
      <c r="AX46" s="203">
        <v>0</v>
      </c>
      <c r="AY46" s="203">
        <v>0</v>
      </c>
      <c r="AZ46" s="217" t="s">
        <v>687</v>
      </c>
      <c r="BA46" s="217">
        <v>0</v>
      </c>
      <c r="BB46" s="203">
        <v>0</v>
      </c>
      <c r="BC46" s="203">
        <v>0</v>
      </c>
      <c r="BD46" s="307" t="s">
        <v>687</v>
      </c>
      <c r="BE46" s="208"/>
      <c r="BF46" s="208"/>
      <c r="BG46" s="208"/>
    </row>
    <row r="47" spans="1:59" x14ac:dyDescent="0.45">
      <c r="A47">
        <v>308</v>
      </c>
      <c r="B47" t="s">
        <v>42</v>
      </c>
      <c r="C47" s="238" t="s">
        <v>564</v>
      </c>
      <c r="D47" s="280">
        <v>122655077.05</v>
      </c>
      <c r="E47" s="203">
        <v>17004</v>
      </c>
      <c r="F47" s="282">
        <v>20869</v>
      </c>
      <c r="G47" s="286">
        <v>0.22729945895083509</v>
      </c>
      <c r="H47" s="160">
        <v>23914</v>
      </c>
      <c r="I47" s="159">
        <v>29368</v>
      </c>
      <c r="J47" s="159">
        <v>368</v>
      </c>
      <c r="K47" s="159">
        <v>220</v>
      </c>
      <c r="L47" s="159">
        <v>2760</v>
      </c>
      <c r="M47" s="170">
        <v>0.117928686391571</v>
      </c>
      <c r="N47" s="270">
        <v>18858</v>
      </c>
      <c r="O47" s="273">
        <v>19559</v>
      </c>
      <c r="P47" s="274">
        <v>3.7172552762753198E-2</v>
      </c>
      <c r="Q47" s="273">
        <v>19262</v>
      </c>
      <c r="R47" s="272">
        <v>2.1423268639304299E-2</v>
      </c>
      <c r="S47" s="255">
        <v>65.5</v>
      </c>
      <c r="T47" s="256">
        <v>13.6</v>
      </c>
      <c r="U47" s="256">
        <v>6.4</v>
      </c>
      <c r="V47" s="257">
        <v>85.5</v>
      </c>
      <c r="W47" s="160">
        <v>30</v>
      </c>
      <c r="X47" s="159">
        <v>83</v>
      </c>
      <c r="Y47" s="159">
        <v>0</v>
      </c>
      <c r="Z47" s="159">
        <v>0</v>
      </c>
      <c r="AA47" s="159">
        <v>0</v>
      </c>
      <c r="AB47" s="159">
        <v>8528</v>
      </c>
      <c r="AC47" s="159">
        <v>16147</v>
      </c>
      <c r="AD47" s="159">
        <v>1365</v>
      </c>
      <c r="AE47" s="159">
        <v>1115</v>
      </c>
      <c r="AF47" s="203">
        <v>0</v>
      </c>
      <c r="AG47" s="237">
        <v>30</v>
      </c>
      <c r="AH47" s="233">
        <v>83</v>
      </c>
      <c r="AI47" s="233">
        <v>0</v>
      </c>
      <c r="AJ47" s="233">
        <v>0</v>
      </c>
      <c r="AK47" s="233">
        <v>0</v>
      </c>
      <c r="AL47" s="233">
        <v>0</v>
      </c>
      <c r="AM47" s="233">
        <v>3907</v>
      </c>
      <c r="AN47" s="233">
        <v>6782</v>
      </c>
      <c r="AO47" s="233">
        <v>11188</v>
      </c>
      <c r="AP47" s="233">
        <v>3713</v>
      </c>
      <c r="AQ47" s="233">
        <v>1115</v>
      </c>
      <c r="AR47" s="238">
        <v>450</v>
      </c>
      <c r="AS47" s="217">
        <v>0</v>
      </c>
      <c r="AT47" s="203">
        <v>0</v>
      </c>
      <c r="AU47" s="203">
        <v>0</v>
      </c>
      <c r="AV47" s="217" t="s">
        <v>687</v>
      </c>
      <c r="AW47" s="217">
        <v>0</v>
      </c>
      <c r="AX47" s="203">
        <v>0</v>
      </c>
      <c r="AY47" s="203">
        <v>0</v>
      </c>
      <c r="AZ47" s="217" t="s">
        <v>687</v>
      </c>
      <c r="BA47" s="217">
        <v>0</v>
      </c>
      <c r="BB47" s="203">
        <v>0</v>
      </c>
      <c r="BC47" s="203">
        <v>0</v>
      </c>
      <c r="BD47" s="307" t="s">
        <v>687</v>
      </c>
      <c r="BE47" s="208"/>
      <c r="BF47" s="208"/>
      <c r="BG47" s="208"/>
    </row>
    <row r="48" spans="1:59" x14ac:dyDescent="0.45">
      <c r="A48">
        <v>881</v>
      </c>
      <c r="B48" t="s">
        <v>43</v>
      </c>
      <c r="C48" s="238" t="s">
        <v>567</v>
      </c>
      <c r="D48" s="280">
        <v>284669714.81999999</v>
      </c>
      <c r="E48" s="203">
        <v>72331</v>
      </c>
      <c r="F48" s="282">
        <v>83503</v>
      </c>
      <c r="G48" s="286">
        <v>0.15445659537404433</v>
      </c>
      <c r="H48" s="160">
        <v>94766</v>
      </c>
      <c r="I48" s="159">
        <v>98102</v>
      </c>
      <c r="J48" s="159">
        <v>4390</v>
      </c>
      <c r="K48" s="159">
        <v>360</v>
      </c>
      <c r="L48" s="159">
        <v>7810</v>
      </c>
      <c r="M48" s="170">
        <v>8.5850615546626999E-2</v>
      </c>
      <c r="N48" s="270">
        <v>76120</v>
      </c>
      <c r="O48" s="273">
        <v>77202</v>
      </c>
      <c r="P48" s="274">
        <v>1.42143983184446E-2</v>
      </c>
      <c r="Q48" s="273">
        <v>78519</v>
      </c>
      <c r="R48" s="272">
        <v>3.1516027325275899E-2</v>
      </c>
      <c r="S48" s="255">
        <v>82.5</v>
      </c>
      <c r="T48" s="256">
        <v>8.4</v>
      </c>
      <c r="U48" s="256">
        <v>2.7</v>
      </c>
      <c r="V48" s="257">
        <v>93.5</v>
      </c>
      <c r="W48" s="160">
        <v>373</v>
      </c>
      <c r="X48" s="159">
        <v>483</v>
      </c>
      <c r="Y48" s="159">
        <v>0</v>
      </c>
      <c r="Z48" s="159">
        <v>200</v>
      </c>
      <c r="AA48" s="159">
        <v>0</v>
      </c>
      <c r="AB48" s="159">
        <v>17488</v>
      </c>
      <c r="AC48" s="159">
        <v>62910</v>
      </c>
      <c r="AD48" s="159">
        <v>6680</v>
      </c>
      <c r="AE48" s="159">
        <v>5090</v>
      </c>
      <c r="AF48" s="203">
        <v>0</v>
      </c>
      <c r="AG48" s="237">
        <v>191</v>
      </c>
      <c r="AH48" s="233">
        <v>78</v>
      </c>
      <c r="AI48" s="233">
        <v>504</v>
      </c>
      <c r="AJ48" s="233">
        <v>283</v>
      </c>
      <c r="AK48" s="233">
        <v>0</v>
      </c>
      <c r="AL48" s="233">
        <v>0</v>
      </c>
      <c r="AM48" s="233">
        <v>6669</v>
      </c>
      <c r="AN48" s="233">
        <v>11756</v>
      </c>
      <c r="AO48" s="233">
        <v>31371</v>
      </c>
      <c r="AP48" s="233">
        <v>24616</v>
      </c>
      <c r="AQ48" s="233">
        <v>10616</v>
      </c>
      <c r="AR48" s="238">
        <v>7140</v>
      </c>
      <c r="AS48" s="217">
        <v>10606194.833946485</v>
      </c>
      <c r="AT48" s="203">
        <v>4</v>
      </c>
      <c r="AU48" s="203">
        <v>595</v>
      </c>
      <c r="AV48" s="217">
        <v>17825.537536044514</v>
      </c>
      <c r="AW48" s="217">
        <v>319308.2788671024</v>
      </c>
      <c r="AX48" s="203">
        <v>2</v>
      </c>
      <c r="AY48" s="203">
        <v>60</v>
      </c>
      <c r="AZ48" s="217">
        <v>5321.8046477850403</v>
      </c>
      <c r="BA48" s="217">
        <v>0</v>
      </c>
      <c r="BB48" s="203">
        <v>0</v>
      </c>
      <c r="BC48" s="203">
        <v>0</v>
      </c>
      <c r="BD48" s="307" t="s">
        <v>687</v>
      </c>
      <c r="BE48" s="208"/>
      <c r="BF48" s="208"/>
      <c r="BG48" s="208"/>
    </row>
    <row r="49" spans="1:71" x14ac:dyDescent="0.45">
      <c r="A49">
        <v>390</v>
      </c>
      <c r="B49" t="s">
        <v>44</v>
      </c>
      <c r="C49" s="238" t="s">
        <v>572</v>
      </c>
      <c r="D49" s="280">
        <v>20289947.439999998</v>
      </c>
      <c r="E49" s="203">
        <v>9743</v>
      </c>
      <c r="F49" s="282">
        <v>10698</v>
      </c>
      <c r="G49" s="286">
        <v>9.8019090629169664E-2</v>
      </c>
      <c r="H49" s="160">
        <v>12838</v>
      </c>
      <c r="I49" s="159">
        <v>13006</v>
      </c>
      <c r="J49" s="159">
        <v>0</v>
      </c>
      <c r="K49" s="159">
        <v>270</v>
      </c>
      <c r="L49" s="159">
        <v>230</v>
      </c>
      <c r="M49" s="170">
        <v>2.18534891305378E-2</v>
      </c>
      <c r="N49" s="270">
        <v>9814</v>
      </c>
      <c r="O49" s="273">
        <v>10021</v>
      </c>
      <c r="P49" s="274">
        <v>2.10923170980232E-2</v>
      </c>
      <c r="Q49" s="273">
        <v>9673</v>
      </c>
      <c r="R49" s="272">
        <v>-1.4367230487059301E-2</v>
      </c>
      <c r="S49" s="255">
        <v>87.4</v>
      </c>
      <c r="T49" s="256">
        <v>9.5</v>
      </c>
      <c r="U49" s="256">
        <v>1.2</v>
      </c>
      <c r="V49" s="257">
        <v>98</v>
      </c>
      <c r="W49" s="160">
        <v>0</v>
      </c>
      <c r="X49" s="159">
        <v>61</v>
      </c>
      <c r="Y49" s="159">
        <v>0</v>
      </c>
      <c r="Z49" s="159">
        <v>0</v>
      </c>
      <c r="AA49" s="159">
        <v>0</v>
      </c>
      <c r="AB49" s="159">
        <v>4186</v>
      </c>
      <c r="AC49" s="159">
        <v>4063</v>
      </c>
      <c r="AD49" s="159">
        <v>2246</v>
      </c>
      <c r="AE49" s="159">
        <v>1250</v>
      </c>
      <c r="AF49" s="203">
        <v>0</v>
      </c>
      <c r="AG49" s="237">
        <v>0</v>
      </c>
      <c r="AH49" s="233">
        <v>61</v>
      </c>
      <c r="AI49" s="233">
        <v>0</v>
      </c>
      <c r="AJ49" s="233">
        <v>0</v>
      </c>
      <c r="AK49" s="233">
        <v>0</v>
      </c>
      <c r="AL49" s="233">
        <v>0</v>
      </c>
      <c r="AM49" s="233">
        <v>0</v>
      </c>
      <c r="AN49" s="233">
        <v>4155</v>
      </c>
      <c r="AO49" s="233">
        <v>3194</v>
      </c>
      <c r="AP49" s="233">
        <v>1650</v>
      </c>
      <c r="AQ49" s="233">
        <v>1496</v>
      </c>
      <c r="AR49" s="238">
        <v>1250</v>
      </c>
      <c r="AS49" s="217">
        <v>0</v>
      </c>
      <c r="AT49" s="203">
        <v>0</v>
      </c>
      <c r="AU49" s="203">
        <v>0</v>
      </c>
      <c r="AV49" s="217" t="s">
        <v>687</v>
      </c>
      <c r="AW49" s="217">
        <v>0</v>
      </c>
      <c r="AX49" s="203">
        <v>0</v>
      </c>
      <c r="AY49" s="203">
        <v>0</v>
      </c>
      <c r="AZ49" s="217" t="s">
        <v>687</v>
      </c>
      <c r="BA49" s="217">
        <v>0</v>
      </c>
      <c r="BB49" s="203">
        <v>0</v>
      </c>
      <c r="BC49" s="203">
        <v>0</v>
      </c>
      <c r="BD49" s="307" t="s">
        <v>687</v>
      </c>
      <c r="BE49" s="208"/>
      <c r="BF49" s="208"/>
      <c r="BG49" s="208"/>
      <c r="BH49" s="208"/>
      <c r="BI49" s="208"/>
      <c r="BJ49" s="208"/>
      <c r="BK49" s="208"/>
      <c r="BL49" s="208"/>
      <c r="BM49" s="208"/>
      <c r="BN49" s="208"/>
      <c r="BO49" s="208"/>
      <c r="BP49" s="208"/>
      <c r="BQ49" s="208"/>
      <c r="BR49" s="208"/>
      <c r="BS49" s="208"/>
    </row>
    <row r="50" spans="1:71" x14ac:dyDescent="0.45">
      <c r="A50">
        <v>916</v>
      </c>
      <c r="B50" t="s">
        <v>45</v>
      </c>
      <c r="C50" s="238" t="s">
        <v>566</v>
      </c>
      <c r="D50" s="280">
        <v>120948065.31999999</v>
      </c>
      <c r="E50" s="203">
        <v>27475</v>
      </c>
      <c r="F50" s="282">
        <v>36316</v>
      </c>
      <c r="G50" s="286">
        <v>0.32178343949044586</v>
      </c>
      <c r="H50" s="160">
        <v>41832</v>
      </c>
      <c r="I50" s="159">
        <v>44329</v>
      </c>
      <c r="J50" s="159">
        <v>1665</v>
      </c>
      <c r="K50" s="159">
        <v>410</v>
      </c>
      <c r="L50" s="159">
        <v>3610</v>
      </c>
      <c r="M50" s="170">
        <v>9.1391982836749597E-2</v>
      </c>
      <c r="N50" s="270">
        <v>32444</v>
      </c>
      <c r="O50" s="273">
        <v>32799</v>
      </c>
      <c r="P50" s="274">
        <v>1.09419307113796E-2</v>
      </c>
      <c r="Q50" s="273">
        <v>33134</v>
      </c>
      <c r="R50" s="272">
        <v>2.1267414622118098E-2</v>
      </c>
      <c r="S50" s="255">
        <v>84.2</v>
      </c>
      <c r="T50" s="256">
        <v>8.1</v>
      </c>
      <c r="U50" s="256">
        <v>2</v>
      </c>
      <c r="V50" s="257">
        <v>94.3</v>
      </c>
      <c r="W50" s="160">
        <v>69</v>
      </c>
      <c r="X50" s="159">
        <v>500</v>
      </c>
      <c r="Y50" s="159">
        <v>90</v>
      </c>
      <c r="Z50" s="159">
        <v>150</v>
      </c>
      <c r="AA50" s="159">
        <v>0</v>
      </c>
      <c r="AB50" s="159">
        <v>10415</v>
      </c>
      <c r="AC50" s="159">
        <v>21094</v>
      </c>
      <c r="AD50" s="159">
        <v>7166</v>
      </c>
      <c r="AE50" s="159">
        <v>2458</v>
      </c>
      <c r="AF50" s="203">
        <v>660</v>
      </c>
      <c r="AG50" s="237">
        <v>0</v>
      </c>
      <c r="AH50" s="233">
        <v>69</v>
      </c>
      <c r="AI50" s="233">
        <v>321</v>
      </c>
      <c r="AJ50" s="233">
        <v>269</v>
      </c>
      <c r="AK50" s="233">
        <v>150</v>
      </c>
      <c r="AL50" s="233">
        <v>0</v>
      </c>
      <c r="AM50" s="233">
        <v>6153</v>
      </c>
      <c r="AN50" s="233">
        <v>6242</v>
      </c>
      <c r="AO50" s="233">
        <v>15830</v>
      </c>
      <c r="AP50" s="233">
        <v>10000</v>
      </c>
      <c r="AQ50" s="233">
        <v>2908</v>
      </c>
      <c r="AR50" s="238">
        <v>660</v>
      </c>
      <c r="AS50" s="217">
        <v>0</v>
      </c>
      <c r="AT50" s="203">
        <v>0</v>
      </c>
      <c r="AU50" s="203">
        <v>0</v>
      </c>
      <c r="AV50" s="217" t="s">
        <v>687</v>
      </c>
      <c r="AW50" s="217">
        <v>2866042.8170232093</v>
      </c>
      <c r="AX50" s="203">
        <v>2</v>
      </c>
      <c r="AY50" s="203">
        <v>230</v>
      </c>
      <c r="AZ50" s="217">
        <v>12461.055726187866</v>
      </c>
      <c r="BA50" s="217">
        <v>0</v>
      </c>
      <c r="BB50" s="203">
        <v>0</v>
      </c>
      <c r="BC50" s="203">
        <v>0</v>
      </c>
      <c r="BD50" s="307" t="s">
        <v>687</v>
      </c>
      <c r="BE50" s="208"/>
      <c r="BF50" s="208"/>
      <c r="BG50" s="208"/>
      <c r="BH50" s="208"/>
      <c r="BI50" s="208"/>
      <c r="BJ50" s="208"/>
      <c r="BK50" s="208"/>
      <c r="BL50" s="208"/>
      <c r="BM50" s="208"/>
      <c r="BN50" s="208"/>
      <c r="BO50" s="208"/>
      <c r="BP50" s="208"/>
      <c r="BQ50" s="208"/>
      <c r="BR50" s="208"/>
      <c r="BS50" s="208"/>
    </row>
    <row r="51" spans="1:71" x14ac:dyDescent="0.45">
      <c r="A51">
        <v>203</v>
      </c>
      <c r="B51" t="s">
        <v>46</v>
      </c>
      <c r="C51" s="238" t="s">
        <v>564</v>
      </c>
      <c r="D51" s="280">
        <v>155796069.06</v>
      </c>
      <c r="E51" s="203">
        <v>10496</v>
      </c>
      <c r="F51" s="282">
        <v>14855</v>
      </c>
      <c r="G51" s="286">
        <v>0.41530106707317072</v>
      </c>
      <c r="H51" s="160">
        <v>15792</v>
      </c>
      <c r="I51" s="159">
        <v>19628</v>
      </c>
      <c r="J51" s="159">
        <v>555</v>
      </c>
      <c r="K51" s="159">
        <v>0</v>
      </c>
      <c r="L51" s="159">
        <v>1760</v>
      </c>
      <c r="M51" s="170">
        <v>0.1057269264247</v>
      </c>
      <c r="N51" s="270">
        <v>13273</v>
      </c>
      <c r="O51" s="273">
        <v>13453</v>
      </c>
      <c r="P51" s="274">
        <v>1.3561365177427899E-2</v>
      </c>
      <c r="Q51" s="273">
        <v>13733</v>
      </c>
      <c r="R51" s="272">
        <v>3.4656822120093397E-2</v>
      </c>
      <c r="S51" s="255">
        <v>64.7</v>
      </c>
      <c r="T51" s="256">
        <v>13.4</v>
      </c>
      <c r="U51" s="256">
        <v>6</v>
      </c>
      <c r="V51" s="257">
        <v>84.1</v>
      </c>
      <c r="W51" s="160">
        <v>0</v>
      </c>
      <c r="X51" s="159">
        <v>840</v>
      </c>
      <c r="Y51" s="159">
        <v>0</v>
      </c>
      <c r="Z51" s="159">
        <v>0</v>
      </c>
      <c r="AA51" s="159">
        <v>1150</v>
      </c>
      <c r="AB51" s="159">
        <v>2453</v>
      </c>
      <c r="AC51" s="159">
        <v>10149</v>
      </c>
      <c r="AD51" s="159">
        <v>1365</v>
      </c>
      <c r="AE51" s="159">
        <v>1352</v>
      </c>
      <c r="AF51" s="203">
        <v>0</v>
      </c>
      <c r="AG51" s="237">
        <v>0</v>
      </c>
      <c r="AH51" s="233">
        <v>0</v>
      </c>
      <c r="AI51" s="233">
        <v>0</v>
      </c>
      <c r="AJ51" s="233">
        <v>0</v>
      </c>
      <c r="AK51" s="233">
        <v>0</v>
      </c>
      <c r="AL51" s="233">
        <v>1990</v>
      </c>
      <c r="AM51" s="233">
        <v>2453</v>
      </c>
      <c r="AN51" s="233">
        <v>0</v>
      </c>
      <c r="AO51" s="233">
        <v>4449</v>
      </c>
      <c r="AP51" s="233">
        <v>3540</v>
      </c>
      <c r="AQ51" s="233">
        <v>3152</v>
      </c>
      <c r="AR51" s="238">
        <v>1725</v>
      </c>
      <c r="AS51" s="217">
        <v>0</v>
      </c>
      <c r="AT51" s="203">
        <v>0</v>
      </c>
      <c r="AU51" s="203">
        <v>0</v>
      </c>
      <c r="AV51" s="217" t="s">
        <v>687</v>
      </c>
      <c r="AW51" s="217">
        <v>4031509.0632804027</v>
      </c>
      <c r="AX51" s="203">
        <v>2</v>
      </c>
      <c r="AY51" s="203">
        <v>390</v>
      </c>
      <c r="AZ51" s="217">
        <v>10337.202726360007</v>
      </c>
      <c r="BA51" s="217">
        <v>0</v>
      </c>
      <c r="BB51" s="203">
        <v>0</v>
      </c>
      <c r="BC51" s="203">
        <v>0</v>
      </c>
      <c r="BD51" s="307" t="s">
        <v>687</v>
      </c>
      <c r="BE51" s="208"/>
      <c r="BF51" s="208"/>
      <c r="BG51" s="208"/>
      <c r="BH51" s="208"/>
      <c r="BI51" s="208"/>
      <c r="BJ51" s="208"/>
      <c r="BK51" s="208"/>
      <c r="BL51" s="208"/>
      <c r="BM51" s="208"/>
      <c r="BN51" s="208"/>
      <c r="BO51" s="208"/>
      <c r="BP51" s="208"/>
      <c r="BQ51" s="208"/>
      <c r="BR51" s="208"/>
      <c r="BS51" s="208"/>
    </row>
    <row r="52" spans="1:71" x14ac:dyDescent="0.45">
      <c r="A52">
        <v>204</v>
      </c>
      <c r="B52" t="s">
        <v>47</v>
      </c>
      <c r="C52" s="238" t="s">
        <v>571</v>
      </c>
      <c r="D52" s="280">
        <v>47590725.320000008</v>
      </c>
      <c r="E52" s="203">
        <v>5360</v>
      </c>
      <c r="F52" s="282">
        <v>12518</v>
      </c>
      <c r="G52" s="286">
        <v>1.3354477611940299</v>
      </c>
      <c r="H52" s="160">
        <v>8973</v>
      </c>
      <c r="I52" s="159">
        <v>16083</v>
      </c>
      <c r="J52" s="159">
        <v>0</v>
      </c>
      <c r="K52" s="159">
        <v>0</v>
      </c>
      <c r="L52" s="159">
        <v>1080</v>
      </c>
      <c r="M52" s="170">
        <v>7.9460932998906705E-2</v>
      </c>
      <c r="N52" s="270">
        <v>11815</v>
      </c>
      <c r="O52" s="273">
        <v>11600</v>
      </c>
      <c r="P52" s="274">
        <v>-1.8197206940330099E-2</v>
      </c>
      <c r="Q52" s="273">
        <v>12194</v>
      </c>
      <c r="R52" s="272">
        <v>3.20778671180703E-2</v>
      </c>
      <c r="S52" s="255">
        <v>63.7</v>
      </c>
      <c r="T52" s="256">
        <v>14.6</v>
      </c>
      <c r="U52" s="256">
        <v>8.5</v>
      </c>
      <c r="V52" s="257">
        <v>86.8</v>
      </c>
      <c r="W52" s="160">
        <v>0</v>
      </c>
      <c r="X52" s="159">
        <v>0</v>
      </c>
      <c r="Y52" s="159">
        <v>0</v>
      </c>
      <c r="Z52" s="159">
        <v>0</v>
      </c>
      <c r="AA52" s="159">
        <v>0</v>
      </c>
      <c r="AB52" s="159">
        <v>3755</v>
      </c>
      <c r="AC52" s="159">
        <v>9962</v>
      </c>
      <c r="AD52" s="159">
        <v>0</v>
      </c>
      <c r="AE52" s="159">
        <v>1226</v>
      </c>
      <c r="AF52" s="203">
        <v>1140</v>
      </c>
      <c r="AG52" s="237">
        <v>0</v>
      </c>
      <c r="AH52" s="233">
        <v>0</v>
      </c>
      <c r="AI52" s="233">
        <v>0</v>
      </c>
      <c r="AJ52" s="233">
        <v>0</v>
      </c>
      <c r="AK52" s="233">
        <v>0</v>
      </c>
      <c r="AL52" s="233">
        <v>0</v>
      </c>
      <c r="AM52" s="233">
        <v>3951</v>
      </c>
      <c r="AN52" s="233">
        <v>4644</v>
      </c>
      <c r="AO52" s="233">
        <v>5118</v>
      </c>
      <c r="AP52" s="233">
        <v>1230</v>
      </c>
      <c r="AQ52" s="233">
        <v>0</v>
      </c>
      <c r="AR52" s="238">
        <v>1140</v>
      </c>
      <c r="AS52" s="217">
        <v>0</v>
      </c>
      <c r="AT52" s="203">
        <v>0</v>
      </c>
      <c r="AU52" s="203">
        <v>0</v>
      </c>
      <c r="AV52" s="217" t="s">
        <v>687</v>
      </c>
      <c r="AW52" s="217">
        <v>0</v>
      </c>
      <c r="AX52" s="203">
        <v>0</v>
      </c>
      <c r="AY52" s="203">
        <v>0</v>
      </c>
      <c r="AZ52" s="217" t="s">
        <v>687</v>
      </c>
      <c r="BA52" s="217">
        <v>0</v>
      </c>
      <c r="BB52" s="203">
        <v>0</v>
      </c>
      <c r="BC52" s="203">
        <v>0</v>
      </c>
      <c r="BD52" s="307" t="s">
        <v>687</v>
      </c>
    </row>
    <row r="53" spans="1:71" x14ac:dyDescent="0.45">
      <c r="A53">
        <v>876</v>
      </c>
      <c r="B53" t="s">
        <v>48</v>
      </c>
      <c r="C53" s="238" t="s">
        <v>569</v>
      </c>
      <c r="D53" s="280">
        <v>6475502.8199999994</v>
      </c>
      <c r="E53" s="203">
        <v>7199</v>
      </c>
      <c r="F53" s="282">
        <v>7960</v>
      </c>
      <c r="G53" s="286">
        <v>0.10570912626753716</v>
      </c>
      <c r="H53" s="160">
        <v>7705</v>
      </c>
      <c r="I53" s="159">
        <v>10429</v>
      </c>
      <c r="J53" s="159">
        <v>0</v>
      </c>
      <c r="K53" s="159">
        <v>0</v>
      </c>
      <c r="L53" s="159">
        <v>1180</v>
      </c>
      <c r="M53" s="170">
        <v>0.12953317191528399</v>
      </c>
      <c r="N53" s="270">
        <v>7368</v>
      </c>
      <c r="O53" s="273">
        <v>7474</v>
      </c>
      <c r="P53" s="274">
        <v>1.43865363735071E-2</v>
      </c>
      <c r="Q53" s="273">
        <v>7398</v>
      </c>
      <c r="R53" s="272">
        <v>4.0716612377850198E-3</v>
      </c>
      <c r="S53" s="255">
        <v>84.2</v>
      </c>
      <c r="T53" s="256">
        <v>7.4</v>
      </c>
      <c r="U53" s="256">
        <v>1.3</v>
      </c>
      <c r="V53" s="257">
        <v>92.9</v>
      </c>
      <c r="W53" s="160">
        <v>50</v>
      </c>
      <c r="X53" s="159">
        <v>38</v>
      </c>
      <c r="Y53" s="159">
        <v>43</v>
      </c>
      <c r="Z53" s="159">
        <v>0</v>
      </c>
      <c r="AA53" s="159">
        <v>0</v>
      </c>
      <c r="AB53" s="159">
        <v>2476</v>
      </c>
      <c r="AC53" s="159">
        <v>3018</v>
      </c>
      <c r="AD53" s="159">
        <v>2584</v>
      </c>
      <c r="AE53" s="159">
        <v>900</v>
      </c>
      <c r="AF53" s="203">
        <v>0</v>
      </c>
      <c r="AG53" s="237">
        <v>0</v>
      </c>
      <c r="AH53" s="233">
        <v>50</v>
      </c>
      <c r="AI53" s="233">
        <v>38</v>
      </c>
      <c r="AJ53" s="233">
        <v>0</v>
      </c>
      <c r="AK53" s="233">
        <v>43</v>
      </c>
      <c r="AL53" s="233">
        <v>0</v>
      </c>
      <c r="AM53" s="233">
        <v>976</v>
      </c>
      <c r="AN53" s="233">
        <v>1500</v>
      </c>
      <c r="AO53" s="233">
        <v>5018</v>
      </c>
      <c r="AP53" s="233">
        <v>0</v>
      </c>
      <c r="AQ53" s="233">
        <v>1484</v>
      </c>
      <c r="AR53" s="238">
        <v>0</v>
      </c>
      <c r="AS53" s="217">
        <v>0</v>
      </c>
      <c r="AT53" s="203">
        <v>0</v>
      </c>
      <c r="AU53" s="203">
        <v>0</v>
      </c>
      <c r="AV53" s="217" t="s">
        <v>687</v>
      </c>
      <c r="AW53" s="217">
        <v>0</v>
      </c>
      <c r="AX53" s="203">
        <v>0</v>
      </c>
      <c r="AY53" s="203">
        <v>0</v>
      </c>
      <c r="AZ53" s="217" t="s">
        <v>687</v>
      </c>
      <c r="BA53" s="217">
        <v>0</v>
      </c>
      <c r="BB53" s="203">
        <v>0</v>
      </c>
      <c r="BC53" s="203">
        <v>0</v>
      </c>
      <c r="BD53" s="307" t="s">
        <v>687</v>
      </c>
    </row>
    <row r="54" spans="1:71" x14ac:dyDescent="0.45">
      <c r="A54">
        <v>205</v>
      </c>
      <c r="B54" t="s">
        <v>49</v>
      </c>
      <c r="C54" s="238" t="s">
        <v>571</v>
      </c>
      <c r="D54" s="280">
        <v>65121935.779999986</v>
      </c>
      <c r="E54" s="203">
        <v>4765</v>
      </c>
      <c r="F54" s="282">
        <v>7400</v>
      </c>
      <c r="G54" s="286">
        <v>0.55299055613851</v>
      </c>
      <c r="H54" s="160">
        <v>7613</v>
      </c>
      <c r="I54" s="159">
        <v>10235</v>
      </c>
      <c r="J54" s="159">
        <v>0</v>
      </c>
      <c r="K54" s="159">
        <v>0</v>
      </c>
      <c r="L54" s="159">
        <v>980</v>
      </c>
      <c r="M54" s="170">
        <v>0.117287709105783</v>
      </c>
      <c r="N54" s="270">
        <v>7025</v>
      </c>
      <c r="O54" s="273">
        <v>7046</v>
      </c>
      <c r="P54" s="274">
        <v>2.9893238434163701E-3</v>
      </c>
      <c r="Q54" s="273">
        <v>6481</v>
      </c>
      <c r="R54" s="272">
        <v>-7.7437722419928801E-2</v>
      </c>
      <c r="S54" s="255">
        <v>57.3</v>
      </c>
      <c r="T54" s="256">
        <v>15.4</v>
      </c>
      <c r="U54" s="256">
        <v>8</v>
      </c>
      <c r="V54" s="257">
        <v>80.7</v>
      </c>
      <c r="W54" s="160">
        <v>94</v>
      </c>
      <c r="X54" s="159">
        <v>0</v>
      </c>
      <c r="Y54" s="159">
        <v>0</v>
      </c>
      <c r="Z54" s="159">
        <v>0</v>
      </c>
      <c r="AA54" s="159">
        <v>0</v>
      </c>
      <c r="AB54" s="159">
        <v>3415</v>
      </c>
      <c r="AC54" s="159">
        <v>5025</v>
      </c>
      <c r="AD54" s="159">
        <v>1200</v>
      </c>
      <c r="AE54" s="159">
        <v>0</v>
      </c>
      <c r="AF54" s="203">
        <v>0</v>
      </c>
      <c r="AG54" s="237">
        <v>94</v>
      </c>
      <c r="AH54" s="233">
        <v>0</v>
      </c>
      <c r="AI54" s="233">
        <v>0</v>
      </c>
      <c r="AJ54" s="233">
        <v>0</v>
      </c>
      <c r="AK54" s="233">
        <v>0</v>
      </c>
      <c r="AL54" s="233">
        <v>0</v>
      </c>
      <c r="AM54" s="233">
        <v>5005</v>
      </c>
      <c r="AN54" s="233">
        <v>0</v>
      </c>
      <c r="AO54" s="233">
        <v>3780</v>
      </c>
      <c r="AP54" s="233">
        <v>0</v>
      </c>
      <c r="AQ54" s="233">
        <v>855</v>
      </c>
      <c r="AR54" s="238">
        <v>0</v>
      </c>
      <c r="AS54" s="217">
        <v>0</v>
      </c>
      <c r="AT54" s="203">
        <v>0</v>
      </c>
      <c r="AU54" s="203">
        <v>0</v>
      </c>
      <c r="AV54" s="217" t="s">
        <v>687</v>
      </c>
      <c r="AW54" s="217">
        <v>0</v>
      </c>
      <c r="AX54" s="203">
        <v>0</v>
      </c>
      <c r="AY54" s="203">
        <v>0</v>
      </c>
      <c r="AZ54" s="217" t="s">
        <v>687</v>
      </c>
      <c r="BA54" s="217">
        <v>0</v>
      </c>
      <c r="BB54" s="203">
        <v>0</v>
      </c>
      <c r="BC54" s="203">
        <v>0</v>
      </c>
      <c r="BD54" s="307" t="s">
        <v>687</v>
      </c>
    </row>
    <row r="55" spans="1:71" x14ac:dyDescent="0.45">
      <c r="A55">
        <v>850</v>
      </c>
      <c r="B55" t="s">
        <v>50</v>
      </c>
      <c r="C55" s="238" t="s">
        <v>570</v>
      </c>
      <c r="D55" s="280">
        <v>272060853.66999996</v>
      </c>
      <c r="E55" s="203">
        <v>68525</v>
      </c>
      <c r="F55" s="282">
        <v>69974</v>
      </c>
      <c r="G55" s="286">
        <v>2.1145567311200292E-2</v>
      </c>
      <c r="H55" s="160">
        <v>78487</v>
      </c>
      <c r="I55" s="159">
        <v>79641</v>
      </c>
      <c r="J55" s="159">
        <v>150</v>
      </c>
      <c r="K55" s="159">
        <v>1310</v>
      </c>
      <c r="L55" s="159">
        <v>8320</v>
      </c>
      <c r="M55" s="170">
        <v>0.108064142288846</v>
      </c>
      <c r="N55" s="270">
        <v>66149</v>
      </c>
      <c r="O55" s="273">
        <v>65721</v>
      </c>
      <c r="P55" s="274">
        <v>-6.4702414246625003E-3</v>
      </c>
      <c r="Q55" s="273">
        <v>66462</v>
      </c>
      <c r="R55" s="272">
        <v>4.73174197644711E-3</v>
      </c>
      <c r="S55" s="255">
        <v>92.4</v>
      </c>
      <c r="T55" s="256">
        <v>4.7</v>
      </c>
      <c r="U55" s="256">
        <v>1</v>
      </c>
      <c r="V55" s="257">
        <v>98.1</v>
      </c>
      <c r="W55" s="160">
        <v>30</v>
      </c>
      <c r="X55" s="159">
        <v>165</v>
      </c>
      <c r="Y55" s="159">
        <v>0</v>
      </c>
      <c r="Z55" s="159">
        <v>0</v>
      </c>
      <c r="AA55" s="159">
        <v>0</v>
      </c>
      <c r="AB55" s="159">
        <v>12575</v>
      </c>
      <c r="AC55" s="159">
        <v>58087</v>
      </c>
      <c r="AD55" s="159">
        <v>5298</v>
      </c>
      <c r="AE55" s="159">
        <v>0</v>
      </c>
      <c r="AF55" s="203">
        <v>0</v>
      </c>
      <c r="AG55" s="237">
        <v>0</v>
      </c>
      <c r="AH55" s="233">
        <v>0</v>
      </c>
      <c r="AI55" s="233">
        <v>195</v>
      </c>
      <c r="AJ55" s="233">
        <v>0</v>
      </c>
      <c r="AK55" s="233">
        <v>0</v>
      </c>
      <c r="AL55" s="233">
        <v>0</v>
      </c>
      <c r="AM55" s="233">
        <v>1450</v>
      </c>
      <c r="AN55" s="233">
        <v>17982</v>
      </c>
      <c r="AO55" s="233">
        <v>27283</v>
      </c>
      <c r="AP55" s="233">
        <v>17094</v>
      </c>
      <c r="AQ55" s="233">
        <v>12151</v>
      </c>
      <c r="AR55" s="238">
        <v>0</v>
      </c>
      <c r="AS55" s="217">
        <v>16222833.476971872</v>
      </c>
      <c r="AT55" s="203">
        <v>2</v>
      </c>
      <c r="AU55" s="203">
        <v>345</v>
      </c>
      <c r="AV55" s="217">
        <v>47022.705730353249</v>
      </c>
      <c r="AW55" s="217">
        <v>722749.60169941583</v>
      </c>
      <c r="AX55" s="203">
        <v>1</v>
      </c>
      <c r="AY55" s="203">
        <v>30</v>
      </c>
      <c r="AZ55" s="217">
        <v>24091.653389980529</v>
      </c>
      <c r="BA55" s="217">
        <v>0</v>
      </c>
      <c r="BB55" s="203">
        <v>0</v>
      </c>
      <c r="BC55" s="203">
        <v>0</v>
      </c>
      <c r="BD55" s="307" t="s">
        <v>687</v>
      </c>
    </row>
    <row r="56" spans="1:71" x14ac:dyDescent="0.45">
      <c r="A56">
        <v>309</v>
      </c>
      <c r="B56" t="s">
        <v>51</v>
      </c>
      <c r="C56" s="238" t="s">
        <v>571</v>
      </c>
      <c r="D56" s="280">
        <v>43029994.730000004</v>
      </c>
      <c r="E56" s="203">
        <v>9984</v>
      </c>
      <c r="F56" s="282">
        <v>13193</v>
      </c>
      <c r="G56" s="286">
        <v>0.32141426282051283</v>
      </c>
      <c r="H56" s="160">
        <v>14068</v>
      </c>
      <c r="I56" s="159">
        <v>16464</v>
      </c>
      <c r="J56" s="159">
        <v>405</v>
      </c>
      <c r="K56" s="159">
        <v>0</v>
      </c>
      <c r="L56" s="159">
        <v>1320</v>
      </c>
      <c r="M56" s="170">
        <v>9.1202045254749994E-2</v>
      </c>
      <c r="N56" s="270">
        <v>12485</v>
      </c>
      <c r="O56" s="273">
        <v>12840</v>
      </c>
      <c r="P56" s="274">
        <v>2.84341209451342E-2</v>
      </c>
      <c r="Q56" s="273">
        <v>12171</v>
      </c>
      <c r="R56" s="272">
        <v>-2.5150180216259501E-2</v>
      </c>
      <c r="S56" s="255">
        <v>71.8</v>
      </c>
      <c r="T56" s="256">
        <v>12.1</v>
      </c>
      <c r="U56" s="256">
        <v>5.5</v>
      </c>
      <c r="V56" s="257">
        <v>89.4</v>
      </c>
      <c r="W56" s="160">
        <v>391</v>
      </c>
      <c r="X56" s="159">
        <v>1024</v>
      </c>
      <c r="Y56" s="159">
        <v>0</v>
      </c>
      <c r="Z56" s="159">
        <v>0</v>
      </c>
      <c r="AA56" s="159">
        <v>0</v>
      </c>
      <c r="AB56" s="159">
        <v>7700</v>
      </c>
      <c r="AC56" s="159">
        <v>6929</v>
      </c>
      <c r="AD56" s="159">
        <v>0</v>
      </c>
      <c r="AE56" s="159">
        <v>0</v>
      </c>
      <c r="AF56" s="203">
        <v>0</v>
      </c>
      <c r="AG56" s="237">
        <v>174</v>
      </c>
      <c r="AH56" s="233">
        <v>1002</v>
      </c>
      <c r="AI56" s="233">
        <v>0</v>
      </c>
      <c r="AJ56" s="233">
        <v>239</v>
      </c>
      <c r="AK56" s="233">
        <v>0</v>
      </c>
      <c r="AL56" s="233">
        <v>0</v>
      </c>
      <c r="AM56" s="233">
        <v>4172</v>
      </c>
      <c r="AN56" s="233">
        <v>4712</v>
      </c>
      <c r="AO56" s="233">
        <v>4665</v>
      </c>
      <c r="AP56" s="233">
        <v>1080</v>
      </c>
      <c r="AQ56" s="233">
        <v>0</v>
      </c>
      <c r="AR56" s="238">
        <v>0</v>
      </c>
      <c r="AS56" s="217">
        <v>0</v>
      </c>
      <c r="AT56" s="203">
        <v>0</v>
      </c>
      <c r="AU56" s="203">
        <v>0</v>
      </c>
      <c r="AV56" s="217" t="s">
        <v>687</v>
      </c>
      <c r="AW56" s="217">
        <v>0</v>
      </c>
      <c r="AX56" s="203">
        <v>0</v>
      </c>
      <c r="AY56" s="203">
        <v>0</v>
      </c>
      <c r="AZ56" s="217" t="s">
        <v>687</v>
      </c>
      <c r="BA56" s="217">
        <v>0</v>
      </c>
      <c r="BB56" s="203">
        <v>0</v>
      </c>
      <c r="BC56" s="203">
        <v>0</v>
      </c>
      <c r="BD56" s="307" t="s">
        <v>687</v>
      </c>
    </row>
    <row r="57" spans="1:71" x14ac:dyDescent="0.45">
      <c r="A57">
        <v>310</v>
      </c>
      <c r="B57" t="s">
        <v>52</v>
      </c>
      <c r="C57" s="238" t="s">
        <v>564</v>
      </c>
      <c r="D57" s="280">
        <v>126068117.71000001</v>
      </c>
      <c r="E57" s="203">
        <v>10550</v>
      </c>
      <c r="F57" s="282">
        <v>13709</v>
      </c>
      <c r="G57" s="286">
        <v>0.29943127962085309</v>
      </c>
      <c r="H57" s="160">
        <v>9306</v>
      </c>
      <c r="I57" s="159">
        <v>17145</v>
      </c>
      <c r="J57" s="159">
        <v>213</v>
      </c>
      <c r="K57" s="159">
        <v>500</v>
      </c>
      <c r="L57" s="159">
        <v>1240</v>
      </c>
      <c r="M57" s="170">
        <v>8.5646629553727094E-2</v>
      </c>
      <c r="N57" s="270">
        <v>11959</v>
      </c>
      <c r="O57" s="273">
        <v>12091</v>
      </c>
      <c r="P57" s="274">
        <v>1.10377121832929E-2</v>
      </c>
      <c r="Q57" s="273">
        <v>12102</v>
      </c>
      <c r="R57" s="272">
        <v>1.1957521531900699E-2</v>
      </c>
      <c r="S57" s="255">
        <v>64.7</v>
      </c>
      <c r="T57" s="256">
        <v>13.1</v>
      </c>
      <c r="U57" s="256">
        <v>6.4</v>
      </c>
      <c r="V57" s="257">
        <v>84.2</v>
      </c>
      <c r="W57" s="160">
        <v>0</v>
      </c>
      <c r="X57" s="159">
        <v>0</v>
      </c>
      <c r="Y57" s="159">
        <v>0</v>
      </c>
      <c r="Z57" s="159">
        <v>0</v>
      </c>
      <c r="AA57" s="159">
        <v>0</v>
      </c>
      <c r="AB57" s="159">
        <v>9463</v>
      </c>
      <c r="AC57" s="159">
        <v>5772</v>
      </c>
      <c r="AD57" s="159">
        <v>1280</v>
      </c>
      <c r="AE57" s="159">
        <v>0</v>
      </c>
      <c r="AF57" s="203">
        <v>0</v>
      </c>
      <c r="AG57" s="237">
        <v>0</v>
      </c>
      <c r="AH57" s="233">
        <v>0</v>
      </c>
      <c r="AI57" s="233">
        <v>0</v>
      </c>
      <c r="AJ57" s="233">
        <v>0</v>
      </c>
      <c r="AK57" s="233">
        <v>0</v>
      </c>
      <c r="AL57" s="233">
        <v>0</v>
      </c>
      <c r="AM57" s="233">
        <v>6193</v>
      </c>
      <c r="AN57" s="233">
        <v>2267</v>
      </c>
      <c r="AO57" s="233">
        <v>3855</v>
      </c>
      <c r="AP57" s="233">
        <v>1250</v>
      </c>
      <c r="AQ57" s="233">
        <v>0</v>
      </c>
      <c r="AR57" s="238">
        <v>2950</v>
      </c>
      <c r="AS57" s="217">
        <v>6239457.8044268675</v>
      </c>
      <c r="AT57" s="203">
        <v>1</v>
      </c>
      <c r="AU57" s="203">
        <v>180</v>
      </c>
      <c r="AV57" s="217">
        <v>34663.654469038156</v>
      </c>
      <c r="AW57" s="217">
        <v>0</v>
      </c>
      <c r="AX57" s="203">
        <v>0</v>
      </c>
      <c r="AY57" s="203">
        <v>0</v>
      </c>
      <c r="AZ57" s="217" t="s">
        <v>687</v>
      </c>
      <c r="BA57" s="217">
        <v>17287278.927728523</v>
      </c>
      <c r="BB57" s="203">
        <v>1</v>
      </c>
      <c r="BC57" s="203">
        <v>1035</v>
      </c>
      <c r="BD57" s="307">
        <v>16702.684954327076</v>
      </c>
    </row>
    <row r="58" spans="1:71" x14ac:dyDescent="0.45">
      <c r="A58">
        <v>805</v>
      </c>
      <c r="B58" t="s">
        <v>53</v>
      </c>
      <c r="C58" s="238" t="s">
        <v>572</v>
      </c>
      <c r="D58" s="280">
        <v>8640607.5199999996</v>
      </c>
      <c r="E58" s="203">
        <v>5896</v>
      </c>
      <c r="F58" s="282">
        <v>5641</v>
      </c>
      <c r="G58" s="286">
        <v>-4.3249660786974217E-2</v>
      </c>
      <c r="H58" s="160">
        <v>6416</v>
      </c>
      <c r="I58" s="159">
        <v>6435</v>
      </c>
      <c r="J58" s="159">
        <v>39</v>
      </c>
      <c r="K58" s="159">
        <v>0</v>
      </c>
      <c r="L58" s="159">
        <v>550</v>
      </c>
      <c r="M58" s="170">
        <v>8.8425462148082903E-2</v>
      </c>
      <c r="N58" s="270">
        <v>5289</v>
      </c>
      <c r="O58" s="273">
        <v>5278</v>
      </c>
      <c r="P58" s="274">
        <v>-2.0797882397428601E-3</v>
      </c>
      <c r="Q58" s="273">
        <v>5403</v>
      </c>
      <c r="R58" s="272">
        <v>2.1554169030062399E-2</v>
      </c>
      <c r="S58" s="255">
        <v>93</v>
      </c>
      <c r="T58" s="256">
        <v>5.3</v>
      </c>
      <c r="U58" s="256">
        <v>0.3</v>
      </c>
      <c r="V58" s="257">
        <v>98.6</v>
      </c>
      <c r="W58" s="160">
        <v>0</v>
      </c>
      <c r="X58" s="159">
        <v>0</v>
      </c>
      <c r="Y58" s="159">
        <v>40</v>
      </c>
      <c r="Z58" s="159">
        <v>0</v>
      </c>
      <c r="AA58" s="159">
        <v>0</v>
      </c>
      <c r="AB58" s="159">
        <v>0</v>
      </c>
      <c r="AC58" s="159">
        <v>2565</v>
      </c>
      <c r="AD58" s="159">
        <v>3830</v>
      </c>
      <c r="AE58" s="159">
        <v>0</v>
      </c>
      <c r="AF58" s="203">
        <v>0</v>
      </c>
      <c r="AG58" s="237">
        <v>0</v>
      </c>
      <c r="AH58" s="233">
        <v>0</v>
      </c>
      <c r="AI58" s="233">
        <v>0</v>
      </c>
      <c r="AJ58" s="233">
        <v>0</v>
      </c>
      <c r="AK58" s="233">
        <v>40</v>
      </c>
      <c r="AL58" s="233">
        <v>0</v>
      </c>
      <c r="AM58" s="233">
        <v>0</v>
      </c>
      <c r="AN58" s="233">
        <v>0</v>
      </c>
      <c r="AO58" s="233">
        <v>3030</v>
      </c>
      <c r="AP58" s="233">
        <v>1250</v>
      </c>
      <c r="AQ58" s="233">
        <v>2115</v>
      </c>
      <c r="AR58" s="238">
        <v>0</v>
      </c>
      <c r="AS58" s="217">
        <v>0</v>
      </c>
      <c r="AT58" s="203">
        <v>0</v>
      </c>
      <c r="AU58" s="203">
        <v>0</v>
      </c>
      <c r="AV58" s="217" t="s">
        <v>687</v>
      </c>
      <c r="AW58" s="217">
        <v>0</v>
      </c>
      <c r="AX58" s="203">
        <v>0</v>
      </c>
      <c r="AY58" s="203">
        <v>0</v>
      </c>
      <c r="AZ58" s="217" t="s">
        <v>687</v>
      </c>
      <c r="BA58" s="217">
        <v>0</v>
      </c>
      <c r="BB58" s="203">
        <v>0</v>
      </c>
      <c r="BC58" s="203">
        <v>0</v>
      </c>
      <c r="BD58" s="307" t="s">
        <v>687</v>
      </c>
    </row>
    <row r="59" spans="1:71" x14ac:dyDescent="0.45">
      <c r="A59">
        <v>311</v>
      </c>
      <c r="B59" t="s">
        <v>54</v>
      </c>
      <c r="C59" s="238" t="s">
        <v>564</v>
      </c>
      <c r="D59" s="280">
        <v>103005789.97</v>
      </c>
      <c r="E59" s="203">
        <v>15409</v>
      </c>
      <c r="F59" s="282">
        <v>14916</v>
      </c>
      <c r="G59" s="286">
        <v>-3.1994289051852816E-2</v>
      </c>
      <c r="H59" s="160">
        <v>17343</v>
      </c>
      <c r="I59" s="159">
        <v>18702</v>
      </c>
      <c r="J59" s="159">
        <v>450</v>
      </c>
      <c r="K59" s="159">
        <v>10</v>
      </c>
      <c r="L59" s="159">
        <v>2700</v>
      </c>
      <c r="M59" s="170">
        <v>0.153502709032899</v>
      </c>
      <c r="N59" s="270">
        <v>14374</v>
      </c>
      <c r="O59" s="273">
        <v>14599</v>
      </c>
      <c r="P59" s="274">
        <v>1.5653262835675499E-2</v>
      </c>
      <c r="Q59" s="273">
        <v>15771</v>
      </c>
      <c r="R59" s="272">
        <v>9.7189369695283107E-2</v>
      </c>
      <c r="S59" s="255">
        <v>76.7</v>
      </c>
      <c r="T59" s="256">
        <v>11.2</v>
      </c>
      <c r="U59" s="256">
        <v>4.5</v>
      </c>
      <c r="V59" s="257">
        <v>92.4</v>
      </c>
      <c r="W59" s="160">
        <v>0</v>
      </c>
      <c r="X59" s="159">
        <v>150</v>
      </c>
      <c r="Y59" s="159">
        <v>300</v>
      </c>
      <c r="Z59" s="159">
        <v>0</v>
      </c>
      <c r="AA59" s="159">
        <v>0</v>
      </c>
      <c r="AB59" s="159">
        <v>1924</v>
      </c>
      <c r="AC59" s="159">
        <v>9924</v>
      </c>
      <c r="AD59" s="159">
        <v>3150</v>
      </c>
      <c r="AE59" s="159">
        <v>0</v>
      </c>
      <c r="AF59" s="203">
        <v>0</v>
      </c>
      <c r="AG59" s="237">
        <v>0</v>
      </c>
      <c r="AH59" s="233">
        <v>0</v>
      </c>
      <c r="AI59" s="233">
        <v>450</v>
      </c>
      <c r="AJ59" s="233">
        <v>0</v>
      </c>
      <c r="AK59" s="233">
        <v>0</v>
      </c>
      <c r="AL59" s="233">
        <v>0</v>
      </c>
      <c r="AM59" s="233">
        <v>881</v>
      </c>
      <c r="AN59" s="233">
        <v>3771</v>
      </c>
      <c r="AO59" s="233">
        <v>5306</v>
      </c>
      <c r="AP59" s="233">
        <v>3890</v>
      </c>
      <c r="AQ59" s="233">
        <v>1150</v>
      </c>
      <c r="AR59" s="238">
        <v>0</v>
      </c>
      <c r="AS59" s="217">
        <v>0</v>
      </c>
      <c r="AT59" s="203">
        <v>0</v>
      </c>
      <c r="AU59" s="203">
        <v>0</v>
      </c>
      <c r="AV59" s="217" t="s">
        <v>687</v>
      </c>
      <c r="AW59" s="217">
        <v>0</v>
      </c>
      <c r="AX59" s="203">
        <v>0</v>
      </c>
      <c r="AY59" s="203">
        <v>0</v>
      </c>
      <c r="AZ59" s="217" t="s">
        <v>687</v>
      </c>
      <c r="BA59" s="217">
        <v>0</v>
      </c>
      <c r="BB59" s="203">
        <v>0</v>
      </c>
      <c r="BC59" s="203">
        <v>0</v>
      </c>
      <c r="BD59" s="307" t="s">
        <v>687</v>
      </c>
    </row>
    <row r="60" spans="1:71" x14ac:dyDescent="0.45">
      <c r="A60">
        <v>884</v>
      </c>
      <c r="B60" t="s">
        <v>55</v>
      </c>
      <c r="C60" s="238" t="s">
        <v>568</v>
      </c>
      <c r="D60" s="280">
        <v>14755303.989999998</v>
      </c>
      <c r="E60" s="203">
        <v>8570</v>
      </c>
      <c r="F60" s="282">
        <v>8939</v>
      </c>
      <c r="G60" s="286">
        <v>4.3057176196032672E-2</v>
      </c>
      <c r="H60" s="160">
        <v>11121</v>
      </c>
      <c r="I60" s="159">
        <v>10679</v>
      </c>
      <c r="J60" s="159">
        <v>0</v>
      </c>
      <c r="K60" s="159">
        <v>220</v>
      </c>
      <c r="L60" s="159">
        <v>1330</v>
      </c>
      <c r="M60" s="170">
        <v>0.13222798883661599</v>
      </c>
      <c r="N60" s="270">
        <v>8763</v>
      </c>
      <c r="O60" s="273">
        <v>8896</v>
      </c>
      <c r="P60" s="274">
        <v>1.51774506447564E-2</v>
      </c>
      <c r="Q60" s="273">
        <v>8972</v>
      </c>
      <c r="R60" s="272">
        <v>2.38502795846171E-2</v>
      </c>
      <c r="S60" s="255">
        <v>91.7</v>
      </c>
      <c r="T60" s="256">
        <v>5.2</v>
      </c>
      <c r="U60" s="256">
        <v>0.4</v>
      </c>
      <c r="V60" s="257">
        <v>97.3</v>
      </c>
      <c r="W60" s="160">
        <v>21</v>
      </c>
      <c r="X60" s="159">
        <v>59</v>
      </c>
      <c r="Y60" s="159">
        <v>0</v>
      </c>
      <c r="Z60" s="159">
        <v>0</v>
      </c>
      <c r="AA60" s="159">
        <v>0</v>
      </c>
      <c r="AB60" s="159">
        <v>1202</v>
      </c>
      <c r="AC60" s="159">
        <v>6287</v>
      </c>
      <c r="AD60" s="159">
        <v>1808</v>
      </c>
      <c r="AE60" s="159">
        <v>1120</v>
      </c>
      <c r="AF60" s="203">
        <v>0</v>
      </c>
      <c r="AG60" s="237">
        <v>0</v>
      </c>
      <c r="AH60" s="233">
        <v>21</v>
      </c>
      <c r="AI60" s="233">
        <v>59</v>
      </c>
      <c r="AJ60" s="233">
        <v>0</v>
      </c>
      <c r="AK60" s="233">
        <v>0</v>
      </c>
      <c r="AL60" s="233">
        <v>0</v>
      </c>
      <c r="AM60" s="233">
        <v>130</v>
      </c>
      <c r="AN60" s="233">
        <v>1202</v>
      </c>
      <c r="AO60" s="233">
        <v>4846</v>
      </c>
      <c r="AP60" s="233">
        <v>1686</v>
      </c>
      <c r="AQ60" s="233">
        <v>2553</v>
      </c>
      <c r="AR60" s="238">
        <v>0</v>
      </c>
      <c r="AS60" s="217">
        <v>0</v>
      </c>
      <c r="AT60" s="203">
        <v>0</v>
      </c>
      <c r="AU60" s="203">
        <v>0</v>
      </c>
      <c r="AV60" s="217" t="s">
        <v>687</v>
      </c>
      <c r="AW60" s="217">
        <v>0</v>
      </c>
      <c r="AX60" s="203">
        <v>0</v>
      </c>
      <c r="AY60" s="203">
        <v>0</v>
      </c>
      <c r="AZ60" s="217" t="s">
        <v>687</v>
      </c>
      <c r="BA60" s="217">
        <v>0</v>
      </c>
      <c r="BB60" s="203">
        <v>0</v>
      </c>
      <c r="BC60" s="203">
        <v>0</v>
      </c>
      <c r="BD60" s="307" t="s">
        <v>687</v>
      </c>
    </row>
    <row r="61" spans="1:71" x14ac:dyDescent="0.45">
      <c r="A61">
        <v>919</v>
      </c>
      <c r="B61" t="s">
        <v>56</v>
      </c>
      <c r="C61" s="238" t="s">
        <v>567</v>
      </c>
      <c r="D61" s="280">
        <v>283979768.29999995</v>
      </c>
      <c r="E61" s="203">
        <v>62881</v>
      </c>
      <c r="F61" s="282">
        <v>74804</v>
      </c>
      <c r="G61" s="286">
        <v>0.18961212448911435</v>
      </c>
      <c r="H61" s="160">
        <v>88526</v>
      </c>
      <c r="I61" s="159">
        <v>99194</v>
      </c>
      <c r="J61" s="159">
        <v>2679</v>
      </c>
      <c r="K61" s="159">
        <v>1090</v>
      </c>
      <c r="L61" s="159">
        <v>9800</v>
      </c>
      <c r="M61" s="170">
        <v>0.117314858992388</v>
      </c>
      <c r="N61" s="270">
        <v>67391</v>
      </c>
      <c r="O61" s="273">
        <v>68083</v>
      </c>
      <c r="P61" s="274">
        <v>1.0268433470344699E-2</v>
      </c>
      <c r="Q61" s="273">
        <v>69492</v>
      </c>
      <c r="R61" s="272">
        <v>3.1176269828315398E-2</v>
      </c>
      <c r="S61" s="255">
        <v>74.599999999999994</v>
      </c>
      <c r="T61" s="256">
        <v>11</v>
      </c>
      <c r="U61" s="256">
        <v>4.5</v>
      </c>
      <c r="V61" s="257">
        <v>90.1</v>
      </c>
      <c r="W61" s="160">
        <v>1202</v>
      </c>
      <c r="X61" s="159">
        <v>1735</v>
      </c>
      <c r="Y61" s="159">
        <v>30</v>
      </c>
      <c r="Z61" s="159">
        <v>0</v>
      </c>
      <c r="AA61" s="159">
        <v>0</v>
      </c>
      <c r="AB61" s="159">
        <v>30145</v>
      </c>
      <c r="AC61" s="159">
        <v>43937</v>
      </c>
      <c r="AD61" s="159">
        <v>12124</v>
      </c>
      <c r="AE61" s="159">
        <v>2962</v>
      </c>
      <c r="AF61" s="203">
        <v>1206</v>
      </c>
      <c r="AG61" s="237">
        <v>641</v>
      </c>
      <c r="AH61" s="233">
        <v>1115</v>
      </c>
      <c r="AI61" s="233">
        <v>251</v>
      </c>
      <c r="AJ61" s="233">
        <v>560</v>
      </c>
      <c r="AK61" s="233">
        <v>400</v>
      </c>
      <c r="AL61" s="233">
        <v>0</v>
      </c>
      <c r="AM61" s="233">
        <v>18482</v>
      </c>
      <c r="AN61" s="233">
        <v>24741</v>
      </c>
      <c r="AO61" s="233">
        <v>23558</v>
      </c>
      <c r="AP61" s="233">
        <v>11946</v>
      </c>
      <c r="AQ61" s="233">
        <v>6621</v>
      </c>
      <c r="AR61" s="238">
        <v>5026</v>
      </c>
      <c r="AS61" s="217">
        <v>16438415.884122226</v>
      </c>
      <c r="AT61" s="203">
        <v>4</v>
      </c>
      <c r="AU61" s="203">
        <v>660</v>
      </c>
      <c r="AV61" s="217">
        <v>24906.690733518524</v>
      </c>
      <c r="AW61" s="217">
        <v>1623675.149105059</v>
      </c>
      <c r="AX61" s="203">
        <v>5</v>
      </c>
      <c r="AY61" s="203">
        <v>127</v>
      </c>
      <c r="AZ61" s="217">
        <v>12784.843693740622</v>
      </c>
      <c r="BA61" s="217">
        <v>0</v>
      </c>
      <c r="BB61" s="203">
        <v>0</v>
      </c>
      <c r="BC61" s="203">
        <v>0</v>
      </c>
      <c r="BD61" s="307" t="s">
        <v>687</v>
      </c>
    </row>
    <row r="62" spans="1:71" x14ac:dyDescent="0.45">
      <c r="A62">
        <v>312</v>
      </c>
      <c r="B62" t="s">
        <v>57</v>
      </c>
      <c r="C62" s="238" t="s">
        <v>564</v>
      </c>
      <c r="D62" s="280">
        <v>113305659.45999999</v>
      </c>
      <c r="E62" s="203">
        <v>13575</v>
      </c>
      <c r="F62" s="282">
        <v>18717</v>
      </c>
      <c r="G62" s="286">
        <v>0.37878453038674031</v>
      </c>
      <c r="H62" s="160">
        <v>21416</v>
      </c>
      <c r="I62" s="159">
        <v>25200</v>
      </c>
      <c r="J62" s="159">
        <v>522</v>
      </c>
      <c r="K62" s="159">
        <v>0</v>
      </c>
      <c r="L62" s="159">
        <v>2770</v>
      </c>
      <c r="M62" s="170">
        <v>0.12909660847665699</v>
      </c>
      <c r="N62" s="270">
        <v>16459</v>
      </c>
      <c r="O62" s="273">
        <v>16751</v>
      </c>
      <c r="P62" s="274">
        <v>1.7741053526945699E-2</v>
      </c>
      <c r="Q62" s="273">
        <v>17304</v>
      </c>
      <c r="R62" s="272">
        <v>5.1339692569414903E-2</v>
      </c>
      <c r="S62" s="255">
        <v>67.900000000000006</v>
      </c>
      <c r="T62" s="256">
        <v>12.7</v>
      </c>
      <c r="U62" s="256">
        <v>6.2</v>
      </c>
      <c r="V62" s="257">
        <v>86.8</v>
      </c>
      <c r="W62" s="160">
        <v>0</v>
      </c>
      <c r="X62" s="159">
        <v>0</v>
      </c>
      <c r="Y62" s="159">
        <v>0</v>
      </c>
      <c r="Z62" s="159">
        <v>0</v>
      </c>
      <c r="AA62" s="159">
        <v>0</v>
      </c>
      <c r="AB62" s="159">
        <v>9621</v>
      </c>
      <c r="AC62" s="159">
        <v>9600</v>
      </c>
      <c r="AD62" s="159">
        <v>4269</v>
      </c>
      <c r="AE62" s="159">
        <v>0</v>
      </c>
      <c r="AF62" s="203">
        <v>0</v>
      </c>
      <c r="AG62" s="237">
        <v>0</v>
      </c>
      <c r="AH62" s="233">
        <v>0</v>
      </c>
      <c r="AI62" s="233">
        <v>0</v>
      </c>
      <c r="AJ62" s="233">
        <v>0</v>
      </c>
      <c r="AK62" s="233">
        <v>0</v>
      </c>
      <c r="AL62" s="233">
        <v>0</v>
      </c>
      <c r="AM62" s="233">
        <v>6468</v>
      </c>
      <c r="AN62" s="233">
        <v>3924</v>
      </c>
      <c r="AO62" s="233">
        <v>8129</v>
      </c>
      <c r="AP62" s="233">
        <v>1629</v>
      </c>
      <c r="AQ62" s="233">
        <v>1740</v>
      </c>
      <c r="AR62" s="238">
        <v>1600</v>
      </c>
      <c r="AS62" s="217">
        <v>14628007.807736527</v>
      </c>
      <c r="AT62" s="203">
        <v>2</v>
      </c>
      <c r="AU62" s="203">
        <v>598</v>
      </c>
      <c r="AV62" s="217">
        <v>24461.55151795406</v>
      </c>
      <c r="AW62" s="217">
        <v>0</v>
      </c>
      <c r="AX62" s="203">
        <v>0</v>
      </c>
      <c r="AY62" s="203">
        <v>0</v>
      </c>
      <c r="AZ62" s="217" t="s">
        <v>687</v>
      </c>
      <c r="BA62" s="217">
        <v>0</v>
      </c>
      <c r="BB62" s="203">
        <v>0</v>
      </c>
      <c r="BC62" s="203">
        <v>0</v>
      </c>
      <c r="BD62" s="307" t="s">
        <v>687</v>
      </c>
    </row>
    <row r="63" spans="1:71" x14ac:dyDescent="0.45">
      <c r="A63">
        <v>313</v>
      </c>
      <c r="B63" t="s">
        <v>58</v>
      </c>
      <c r="C63" s="238" t="s">
        <v>564</v>
      </c>
      <c r="D63" s="280">
        <v>128594212.73000003</v>
      </c>
      <c r="E63" s="203">
        <v>13267</v>
      </c>
      <c r="F63" s="282">
        <v>16304</v>
      </c>
      <c r="G63" s="286">
        <v>0.2289138463857692</v>
      </c>
      <c r="H63" s="160">
        <v>17047</v>
      </c>
      <c r="I63" s="159">
        <v>23560</v>
      </c>
      <c r="J63" s="159">
        <v>72</v>
      </c>
      <c r="K63" s="159">
        <v>0</v>
      </c>
      <c r="L63" s="159">
        <v>1720</v>
      </c>
      <c r="M63" s="170">
        <v>9.5253121476478395E-2</v>
      </c>
      <c r="N63" s="270">
        <v>14252</v>
      </c>
      <c r="O63" s="273">
        <v>14500</v>
      </c>
      <c r="P63" s="274">
        <v>1.7401066516980101E-2</v>
      </c>
      <c r="Q63" s="273">
        <v>14723</v>
      </c>
      <c r="R63" s="272">
        <v>3.3047993264103299E-2</v>
      </c>
      <c r="S63" s="255">
        <v>65</v>
      </c>
      <c r="T63" s="256">
        <v>12.3</v>
      </c>
      <c r="U63" s="256">
        <v>7</v>
      </c>
      <c r="V63" s="257">
        <v>84.2</v>
      </c>
      <c r="W63" s="160">
        <v>120</v>
      </c>
      <c r="X63" s="159">
        <v>364</v>
      </c>
      <c r="Y63" s="159">
        <v>100</v>
      </c>
      <c r="Z63" s="159">
        <v>0</v>
      </c>
      <c r="AA63" s="159">
        <v>1260</v>
      </c>
      <c r="AB63" s="159">
        <v>9252</v>
      </c>
      <c r="AC63" s="159">
        <v>7698</v>
      </c>
      <c r="AD63" s="159">
        <v>2596</v>
      </c>
      <c r="AE63" s="159">
        <v>0</v>
      </c>
      <c r="AF63" s="203">
        <v>1050</v>
      </c>
      <c r="AG63" s="237">
        <v>120</v>
      </c>
      <c r="AH63" s="233">
        <v>0</v>
      </c>
      <c r="AI63" s="233">
        <v>364</v>
      </c>
      <c r="AJ63" s="233">
        <v>0</v>
      </c>
      <c r="AK63" s="233">
        <v>0</v>
      </c>
      <c r="AL63" s="233">
        <v>1360</v>
      </c>
      <c r="AM63" s="233">
        <v>10664</v>
      </c>
      <c r="AN63" s="233">
        <v>984</v>
      </c>
      <c r="AO63" s="233">
        <v>4002</v>
      </c>
      <c r="AP63" s="233">
        <v>1596</v>
      </c>
      <c r="AQ63" s="233">
        <v>0</v>
      </c>
      <c r="AR63" s="238">
        <v>3350</v>
      </c>
      <c r="AS63" s="217">
        <v>8348345.6434276123</v>
      </c>
      <c r="AT63" s="203">
        <v>1</v>
      </c>
      <c r="AU63" s="203">
        <v>150</v>
      </c>
      <c r="AV63" s="217">
        <v>55655.637622850751</v>
      </c>
      <c r="AW63" s="217">
        <v>0</v>
      </c>
      <c r="AX63" s="203">
        <v>0</v>
      </c>
      <c r="AY63" s="203">
        <v>0</v>
      </c>
      <c r="AZ63" s="217" t="s">
        <v>687</v>
      </c>
      <c r="BA63" s="217">
        <v>0</v>
      </c>
      <c r="BB63" s="203">
        <v>0</v>
      </c>
      <c r="BC63" s="203">
        <v>0</v>
      </c>
      <c r="BD63" s="307" t="s">
        <v>687</v>
      </c>
    </row>
    <row r="64" spans="1:71" x14ac:dyDescent="0.45">
      <c r="A64">
        <v>921</v>
      </c>
      <c r="B64" t="s">
        <v>59</v>
      </c>
      <c r="C64" s="238" t="s">
        <v>570</v>
      </c>
      <c r="D64" s="280">
        <v>5743425.3399999999</v>
      </c>
      <c r="E64" s="203">
        <v>7447</v>
      </c>
      <c r="F64" s="282">
        <v>6229</v>
      </c>
      <c r="G64" s="286">
        <v>-0.16355579427957567</v>
      </c>
      <c r="H64" s="160">
        <v>13947</v>
      </c>
      <c r="I64" s="159">
        <v>9368</v>
      </c>
      <c r="J64" s="159">
        <v>0</v>
      </c>
      <c r="K64" s="159">
        <v>0</v>
      </c>
      <c r="L64" s="159">
        <v>1590</v>
      </c>
      <c r="M64" s="170">
        <v>0.20316824654552099</v>
      </c>
      <c r="N64" s="270">
        <v>6117</v>
      </c>
      <c r="O64" s="273">
        <v>6179</v>
      </c>
      <c r="P64" s="274">
        <v>1.0135687428478E-2</v>
      </c>
      <c r="Q64" s="273">
        <v>6378</v>
      </c>
      <c r="R64" s="272">
        <v>4.2667974497302599E-2</v>
      </c>
      <c r="S64" s="255">
        <v>91.7</v>
      </c>
      <c r="T64" s="256">
        <v>5.9</v>
      </c>
      <c r="U64" s="256">
        <v>0.1</v>
      </c>
      <c r="V64" s="257">
        <v>97.7</v>
      </c>
      <c r="W64" s="160">
        <v>0</v>
      </c>
      <c r="X64" s="159">
        <v>1294</v>
      </c>
      <c r="Y64" s="159">
        <v>0</v>
      </c>
      <c r="Z64" s="159">
        <v>0</v>
      </c>
      <c r="AA64" s="159">
        <v>0</v>
      </c>
      <c r="AB64" s="159">
        <v>0</v>
      </c>
      <c r="AC64" s="159">
        <v>3760</v>
      </c>
      <c r="AD64" s="159">
        <v>2457</v>
      </c>
      <c r="AE64" s="159">
        <v>1437</v>
      </c>
      <c r="AF64" s="203">
        <v>0</v>
      </c>
      <c r="AG64" s="237">
        <v>0</v>
      </c>
      <c r="AH64" s="233">
        <v>0</v>
      </c>
      <c r="AI64" s="233">
        <v>0</v>
      </c>
      <c r="AJ64" s="233">
        <v>1294</v>
      </c>
      <c r="AK64" s="233">
        <v>0</v>
      </c>
      <c r="AL64" s="233">
        <v>0</v>
      </c>
      <c r="AM64" s="233">
        <v>0</v>
      </c>
      <c r="AN64" s="233">
        <v>0</v>
      </c>
      <c r="AO64" s="233">
        <v>1585</v>
      </c>
      <c r="AP64" s="233">
        <v>3612</v>
      </c>
      <c r="AQ64" s="233">
        <v>2082</v>
      </c>
      <c r="AR64" s="238">
        <v>375</v>
      </c>
      <c r="AS64" s="217">
        <v>0</v>
      </c>
      <c r="AT64" s="203">
        <v>0</v>
      </c>
      <c r="AU64" s="203">
        <v>0</v>
      </c>
      <c r="AV64" s="217" t="s">
        <v>687</v>
      </c>
      <c r="AW64" s="217">
        <v>0</v>
      </c>
      <c r="AX64" s="203">
        <v>0</v>
      </c>
      <c r="AY64" s="203">
        <v>0</v>
      </c>
      <c r="AZ64" s="217" t="s">
        <v>687</v>
      </c>
      <c r="BA64" s="217">
        <v>0</v>
      </c>
      <c r="BB64" s="203">
        <v>0</v>
      </c>
      <c r="BC64" s="203">
        <v>0</v>
      </c>
      <c r="BD64" s="307" t="s">
        <v>687</v>
      </c>
    </row>
    <row r="65" spans="1:56" x14ac:dyDescent="0.45">
      <c r="A65">
        <v>420</v>
      </c>
      <c r="B65" t="s">
        <v>721</v>
      </c>
      <c r="C65" s="238" t="s">
        <v>566</v>
      </c>
      <c r="D65" s="280">
        <v>874552.54</v>
      </c>
      <c r="E65" s="203">
        <v>107</v>
      </c>
      <c r="F65" s="282">
        <v>106</v>
      </c>
      <c r="G65" s="286">
        <v>-9.3457943925233638E-3</v>
      </c>
      <c r="H65" s="160">
        <v>0</v>
      </c>
      <c r="I65" s="159">
        <v>285</v>
      </c>
      <c r="J65" s="159">
        <v>0</v>
      </c>
      <c r="K65" s="159">
        <v>10</v>
      </c>
      <c r="L65" s="159">
        <v>20</v>
      </c>
      <c r="M65" s="170">
        <v>0.17107239639556601</v>
      </c>
      <c r="N65" s="270">
        <v>90</v>
      </c>
      <c r="O65" s="273">
        <v>103</v>
      </c>
      <c r="P65" s="274">
        <v>0.14444444444444399</v>
      </c>
      <c r="Q65" s="273">
        <v>118</v>
      </c>
      <c r="R65" s="272">
        <v>0.31111111111111101</v>
      </c>
      <c r="S65" s="258" t="s">
        <v>687</v>
      </c>
      <c r="T65" s="259" t="s">
        <v>687</v>
      </c>
      <c r="U65" s="259" t="s">
        <v>687</v>
      </c>
      <c r="V65" s="260" t="s">
        <v>687</v>
      </c>
      <c r="W65" s="160" t="s">
        <v>711</v>
      </c>
      <c r="X65" s="159" t="s">
        <v>711</v>
      </c>
      <c r="Y65" s="159" t="s">
        <v>711</v>
      </c>
      <c r="Z65" s="159" t="s">
        <v>711</v>
      </c>
      <c r="AA65" s="159" t="s">
        <v>711</v>
      </c>
      <c r="AB65" s="159" t="s">
        <v>711</v>
      </c>
      <c r="AC65" s="159" t="s">
        <v>711</v>
      </c>
      <c r="AD65" s="159" t="s">
        <v>711</v>
      </c>
      <c r="AE65" s="159" t="s">
        <v>711</v>
      </c>
      <c r="AF65" s="203" t="s">
        <v>711</v>
      </c>
      <c r="AG65" s="237" t="s">
        <v>711</v>
      </c>
      <c r="AH65" s="233" t="s">
        <v>711</v>
      </c>
      <c r="AI65" s="233" t="s">
        <v>711</v>
      </c>
      <c r="AJ65" s="233" t="s">
        <v>711</v>
      </c>
      <c r="AK65" s="233" t="s">
        <v>711</v>
      </c>
      <c r="AL65" s="233" t="s">
        <v>711</v>
      </c>
      <c r="AM65" s="233" t="s">
        <v>711</v>
      </c>
      <c r="AN65" s="233" t="s">
        <v>711</v>
      </c>
      <c r="AO65" s="233" t="s">
        <v>711</v>
      </c>
      <c r="AP65" s="233" t="s">
        <v>711</v>
      </c>
      <c r="AQ65" s="233" t="s">
        <v>711</v>
      </c>
      <c r="AR65" s="238" t="s">
        <v>711</v>
      </c>
      <c r="AS65" s="217">
        <v>0</v>
      </c>
      <c r="AT65" s="203">
        <v>0</v>
      </c>
      <c r="AU65" s="203">
        <v>0</v>
      </c>
      <c r="AV65" s="217" t="s">
        <v>687</v>
      </c>
      <c r="AW65" s="217">
        <v>0</v>
      </c>
      <c r="AX65" s="203">
        <v>0</v>
      </c>
      <c r="AY65" s="203">
        <v>0</v>
      </c>
      <c r="AZ65" s="217" t="s">
        <v>687</v>
      </c>
      <c r="BA65" s="217">
        <v>0</v>
      </c>
      <c r="BB65" s="203">
        <v>0</v>
      </c>
      <c r="BC65" s="203">
        <v>0</v>
      </c>
      <c r="BD65" s="307" t="s">
        <v>687</v>
      </c>
    </row>
    <row r="66" spans="1:56" x14ac:dyDescent="0.45">
      <c r="A66">
        <v>206</v>
      </c>
      <c r="B66" t="s">
        <v>61</v>
      </c>
      <c r="C66" s="238" t="s">
        <v>571</v>
      </c>
      <c r="D66" s="280">
        <v>27581656.440000001</v>
      </c>
      <c r="E66" s="203">
        <v>6273</v>
      </c>
      <c r="F66" s="282">
        <v>7511</v>
      </c>
      <c r="G66" s="286">
        <v>0.1973537382432648</v>
      </c>
      <c r="H66" s="160">
        <v>9426</v>
      </c>
      <c r="I66" s="159">
        <v>9967</v>
      </c>
      <c r="J66" s="159">
        <v>0</v>
      </c>
      <c r="K66" s="159">
        <v>0</v>
      </c>
      <c r="L66" s="159">
        <v>1360</v>
      </c>
      <c r="M66" s="170">
        <v>0.15305651011714899</v>
      </c>
      <c r="N66" s="270">
        <v>7368</v>
      </c>
      <c r="O66" s="273">
        <v>7505</v>
      </c>
      <c r="P66" s="274">
        <v>1.85939196525516E-2</v>
      </c>
      <c r="Q66" s="273">
        <v>7836</v>
      </c>
      <c r="R66" s="272">
        <v>6.3517915309446296E-2</v>
      </c>
      <c r="S66" s="255">
        <v>66.599999999999994</v>
      </c>
      <c r="T66" s="256">
        <v>14.7</v>
      </c>
      <c r="U66" s="256">
        <v>6.7</v>
      </c>
      <c r="V66" s="257">
        <v>88</v>
      </c>
      <c r="W66" s="160">
        <v>250</v>
      </c>
      <c r="X66" s="159">
        <v>72</v>
      </c>
      <c r="Y66" s="159">
        <v>0</v>
      </c>
      <c r="Z66" s="159">
        <v>0</v>
      </c>
      <c r="AA66" s="159">
        <v>0</v>
      </c>
      <c r="AB66" s="159">
        <v>3455</v>
      </c>
      <c r="AC66" s="159">
        <v>2580</v>
      </c>
      <c r="AD66" s="159">
        <v>2050</v>
      </c>
      <c r="AE66" s="159">
        <v>0</v>
      </c>
      <c r="AF66" s="203">
        <v>0</v>
      </c>
      <c r="AG66" s="237">
        <v>0</v>
      </c>
      <c r="AH66" s="233">
        <v>192</v>
      </c>
      <c r="AI66" s="233">
        <v>100</v>
      </c>
      <c r="AJ66" s="233">
        <v>30</v>
      </c>
      <c r="AK66" s="233">
        <v>0</v>
      </c>
      <c r="AL66" s="233">
        <v>0</v>
      </c>
      <c r="AM66" s="233">
        <v>750</v>
      </c>
      <c r="AN66" s="233">
        <v>4150</v>
      </c>
      <c r="AO66" s="233">
        <v>1505</v>
      </c>
      <c r="AP66" s="233">
        <v>780</v>
      </c>
      <c r="AQ66" s="233">
        <v>900</v>
      </c>
      <c r="AR66" s="238">
        <v>0</v>
      </c>
      <c r="AS66" s="217">
        <v>0</v>
      </c>
      <c r="AT66" s="203">
        <v>0</v>
      </c>
      <c r="AU66" s="203">
        <v>0</v>
      </c>
      <c r="AV66" s="217" t="s">
        <v>687</v>
      </c>
      <c r="AW66" s="217">
        <v>0</v>
      </c>
      <c r="AX66" s="203">
        <v>0</v>
      </c>
      <c r="AY66" s="203">
        <v>0</v>
      </c>
      <c r="AZ66" s="217" t="s">
        <v>687</v>
      </c>
      <c r="BA66" s="217">
        <v>0</v>
      </c>
      <c r="BB66" s="203">
        <v>0</v>
      </c>
      <c r="BC66" s="203">
        <v>0</v>
      </c>
      <c r="BD66" s="307" t="s">
        <v>687</v>
      </c>
    </row>
    <row r="67" spans="1:56" x14ac:dyDescent="0.45">
      <c r="A67">
        <v>207</v>
      </c>
      <c r="B67" t="s">
        <v>62</v>
      </c>
      <c r="C67" s="238" t="s">
        <v>571</v>
      </c>
      <c r="D67" s="280">
        <v>9657698.9999999981</v>
      </c>
      <c r="E67" s="203">
        <v>2942</v>
      </c>
      <c r="F67" s="282">
        <v>4951</v>
      </c>
      <c r="G67" s="286">
        <v>0.6828687967369137</v>
      </c>
      <c r="H67" s="160">
        <v>4731</v>
      </c>
      <c r="I67" s="159">
        <v>6029</v>
      </c>
      <c r="J67" s="159">
        <v>60</v>
      </c>
      <c r="K67" s="159">
        <v>30</v>
      </c>
      <c r="L67" s="159">
        <v>110</v>
      </c>
      <c r="M67" s="170">
        <v>2.1529298644587701E-2</v>
      </c>
      <c r="N67" s="270">
        <v>4642</v>
      </c>
      <c r="O67" s="273">
        <v>4681</v>
      </c>
      <c r="P67" s="274">
        <v>8.4015510555794908E-3</v>
      </c>
      <c r="Q67" s="273">
        <v>4720</v>
      </c>
      <c r="R67" s="272">
        <v>1.6803102111158999E-2</v>
      </c>
      <c r="S67" s="255">
        <v>62.2</v>
      </c>
      <c r="T67" s="256">
        <v>15.7</v>
      </c>
      <c r="U67" s="256">
        <v>6.5</v>
      </c>
      <c r="V67" s="257">
        <v>84.3</v>
      </c>
      <c r="W67" s="160">
        <v>190</v>
      </c>
      <c r="X67" s="159">
        <v>0</v>
      </c>
      <c r="Y67" s="159">
        <v>0</v>
      </c>
      <c r="Z67" s="159">
        <v>0</v>
      </c>
      <c r="AA67" s="159">
        <v>0</v>
      </c>
      <c r="AB67" s="159">
        <v>5211</v>
      </c>
      <c r="AC67" s="159">
        <v>628</v>
      </c>
      <c r="AD67" s="159">
        <v>0</v>
      </c>
      <c r="AE67" s="159">
        <v>0</v>
      </c>
      <c r="AF67" s="203">
        <v>0</v>
      </c>
      <c r="AG67" s="237">
        <v>0</v>
      </c>
      <c r="AH67" s="233">
        <v>190</v>
      </c>
      <c r="AI67" s="233">
        <v>0</v>
      </c>
      <c r="AJ67" s="233">
        <v>0</v>
      </c>
      <c r="AK67" s="233">
        <v>0</v>
      </c>
      <c r="AL67" s="233">
        <v>0</v>
      </c>
      <c r="AM67" s="233">
        <v>2411</v>
      </c>
      <c r="AN67" s="233">
        <v>1060</v>
      </c>
      <c r="AO67" s="233">
        <v>2368</v>
      </c>
      <c r="AP67" s="233">
        <v>0</v>
      </c>
      <c r="AQ67" s="233">
        <v>0</v>
      </c>
      <c r="AR67" s="238">
        <v>0</v>
      </c>
      <c r="AS67" s="217">
        <v>0</v>
      </c>
      <c r="AT67" s="203">
        <v>0</v>
      </c>
      <c r="AU67" s="203">
        <v>0</v>
      </c>
      <c r="AV67" s="217" t="s">
        <v>687</v>
      </c>
      <c r="AW67" s="217">
        <v>0</v>
      </c>
      <c r="AX67" s="203">
        <v>0</v>
      </c>
      <c r="AY67" s="203">
        <v>0</v>
      </c>
      <c r="AZ67" s="217" t="s">
        <v>687</v>
      </c>
      <c r="BA67" s="217">
        <v>0</v>
      </c>
      <c r="BB67" s="203">
        <v>0</v>
      </c>
      <c r="BC67" s="203">
        <v>0</v>
      </c>
      <c r="BD67" s="307" t="s">
        <v>687</v>
      </c>
    </row>
    <row r="68" spans="1:56" x14ac:dyDescent="0.45">
      <c r="A68">
        <v>886</v>
      </c>
      <c r="B68" s="208" t="s">
        <v>63</v>
      </c>
      <c r="C68" s="238" t="s">
        <v>570</v>
      </c>
      <c r="D68" s="280">
        <v>351801194.80000001</v>
      </c>
      <c r="E68" s="203">
        <v>73311</v>
      </c>
      <c r="F68" s="282">
        <v>90422</v>
      </c>
      <c r="G68" s="286">
        <v>0.23340289997408301</v>
      </c>
      <c r="H68" s="160">
        <v>104392</v>
      </c>
      <c r="I68" s="159">
        <v>114496</v>
      </c>
      <c r="J68" s="159">
        <v>3885</v>
      </c>
      <c r="K68" s="159">
        <v>1050</v>
      </c>
      <c r="L68" s="159">
        <v>9030</v>
      </c>
      <c r="M68" s="170">
        <v>9.1775022699624398E-2</v>
      </c>
      <c r="N68" s="270">
        <v>82510</v>
      </c>
      <c r="O68" s="273">
        <v>84236</v>
      </c>
      <c r="P68" s="274">
        <v>2.0918676524057701E-2</v>
      </c>
      <c r="Q68" s="273">
        <v>83391</v>
      </c>
      <c r="R68" s="272">
        <v>1.06774936371349E-2</v>
      </c>
      <c r="S68" s="255">
        <v>79.099999999999994</v>
      </c>
      <c r="T68" s="256">
        <v>11.2</v>
      </c>
      <c r="U68" s="256">
        <v>3.8</v>
      </c>
      <c r="V68" s="257">
        <v>94.1</v>
      </c>
      <c r="W68" s="160">
        <v>250</v>
      </c>
      <c r="X68" s="159">
        <v>303</v>
      </c>
      <c r="Y68" s="159">
        <v>0</v>
      </c>
      <c r="Z68" s="159">
        <v>0</v>
      </c>
      <c r="AA68" s="159">
        <v>1260</v>
      </c>
      <c r="AB68" s="159">
        <v>31942</v>
      </c>
      <c r="AC68" s="159">
        <v>62223</v>
      </c>
      <c r="AD68" s="159">
        <v>11354</v>
      </c>
      <c r="AE68" s="159">
        <v>2199</v>
      </c>
      <c r="AF68" s="203">
        <v>0</v>
      </c>
      <c r="AG68" s="237">
        <v>69</v>
      </c>
      <c r="AH68" s="233">
        <v>155</v>
      </c>
      <c r="AI68" s="233">
        <v>209</v>
      </c>
      <c r="AJ68" s="233">
        <v>0</v>
      </c>
      <c r="AK68" s="233">
        <v>0</v>
      </c>
      <c r="AL68" s="233">
        <v>1380</v>
      </c>
      <c r="AM68" s="233">
        <v>17402</v>
      </c>
      <c r="AN68" s="233">
        <v>11978</v>
      </c>
      <c r="AO68" s="233">
        <v>32412</v>
      </c>
      <c r="AP68" s="233">
        <v>24963</v>
      </c>
      <c r="AQ68" s="233">
        <v>19163</v>
      </c>
      <c r="AR68" s="238">
        <v>1800</v>
      </c>
      <c r="AS68" s="217">
        <v>52096512.789209828</v>
      </c>
      <c r="AT68" s="203">
        <v>7</v>
      </c>
      <c r="AU68" s="203">
        <v>1380</v>
      </c>
      <c r="AV68" s="217">
        <v>37751.096224065092</v>
      </c>
      <c r="AW68" s="217">
        <v>0</v>
      </c>
      <c r="AX68" s="203">
        <v>0</v>
      </c>
      <c r="AY68" s="203">
        <v>0</v>
      </c>
      <c r="AZ68" s="217" t="s">
        <v>687</v>
      </c>
      <c r="BA68" s="217">
        <v>0</v>
      </c>
      <c r="BB68" s="203">
        <v>0</v>
      </c>
      <c r="BC68" s="203">
        <v>0</v>
      </c>
      <c r="BD68" s="307" t="s">
        <v>687</v>
      </c>
    </row>
    <row r="69" spans="1:56" x14ac:dyDescent="0.45">
      <c r="A69">
        <v>810</v>
      </c>
      <c r="B69" t="s">
        <v>64</v>
      </c>
      <c r="C69" s="238" t="s">
        <v>565</v>
      </c>
      <c r="D69" s="280">
        <v>49322209.439999998</v>
      </c>
      <c r="E69" s="203">
        <v>11561</v>
      </c>
      <c r="F69" s="282">
        <v>15002</v>
      </c>
      <c r="G69" s="286">
        <v>0.29763861257676671</v>
      </c>
      <c r="H69" s="160">
        <v>15145</v>
      </c>
      <c r="I69" s="159">
        <v>16000</v>
      </c>
      <c r="J69" s="159">
        <v>510</v>
      </c>
      <c r="K69" s="159">
        <v>370</v>
      </c>
      <c r="L69" s="159">
        <v>740</v>
      </c>
      <c r="M69" s="170">
        <v>4.7995173770292297E-2</v>
      </c>
      <c r="N69" s="270">
        <v>13298</v>
      </c>
      <c r="O69" s="273">
        <v>13602</v>
      </c>
      <c r="P69" s="274">
        <v>2.2860580538426802E-2</v>
      </c>
      <c r="Q69" s="273">
        <v>13709</v>
      </c>
      <c r="R69" s="272">
        <v>3.0906903293728399E-2</v>
      </c>
      <c r="S69" s="255">
        <v>87.6</v>
      </c>
      <c r="T69" s="256">
        <v>6.2</v>
      </c>
      <c r="U69" s="256">
        <v>2.2999999999999998</v>
      </c>
      <c r="V69" s="257">
        <v>96.1</v>
      </c>
      <c r="W69" s="160">
        <v>0</v>
      </c>
      <c r="X69" s="159">
        <v>100</v>
      </c>
      <c r="Y69" s="159">
        <v>0</v>
      </c>
      <c r="Z69" s="159">
        <v>0</v>
      </c>
      <c r="AA69" s="159">
        <v>300</v>
      </c>
      <c r="AB69" s="159">
        <v>3450</v>
      </c>
      <c r="AC69" s="159">
        <v>5950</v>
      </c>
      <c r="AD69" s="159">
        <v>5900</v>
      </c>
      <c r="AE69" s="159">
        <v>0</v>
      </c>
      <c r="AF69" s="203">
        <v>300</v>
      </c>
      <c r="AG69" s="237">
        <v>0</v>
      </c>
      <c r="AH69" s="233">
        <v>0</v>
      </c>
      <c r="AI69" s="233">
        <v>100</v>
      </c>
      <c r="AJ69" s="233">
        <v>0</v>
      </c>
      <c r="AK69" s="233">
        <v>0</v>
      </c>
      <c r="AL69" s="233">
        <v>300</v>
      </c>
      <c r="AM69" s="233">
        <v>3300</v>
      </c>
      <c r="AN69" s="233">
        <v>600</v>
      </c>
      <c r="AO69" s="233">
        <v>6850</v>
      </c>
      <c r="AP69" s="233">
        <v>3200</v>
      </c>
      <c r="AQ69" s="233">
        <v>1350</v>
      </c>
      <c r="AR69" s="238">
        <v>300</v>
      </c>
      <c r="AS69" s="217">
        <v>0</v>
      </c>
      <c r="AT69" s="203">
        <v>0</v>
      </c>
      <c r="AU69" s="203">
        <v>0</v>
      </c>
      <c r="AV69" s="217" t="s">
        <v>687</v>
      </c>
      <c r="AW69" s="217">
        <v>0</v>
      </c>
      <c r="AX69" s="203">
        <v>0</v>
      </c>
      <c r="AY69" s="203">
        <v>0</v>
      </c>
      <c r="AZ69" s="217" t="s">
        <v>687</v>
      </c>
      <c r="BA69" s="217">
        <v>0</v>
      </c>
      <c r="BB69" s="203">
        <v>0</v>
      </c>
      <c r="BC69" s="203">
        <v>0</v>
      </c>
      <c r="BD69" s="307" t="s">
        <v>687</v>
      </c>
    </row>
    <row r="70" spans="1:56" x14ac:dyDescent="0.45">
      <c r="A70">
        <v>314</v>
      </c>
      <c r="B70" t="s">
        <v>65</v>
      </c>
      <c r="C70" s="238" t="s">
        <v>564</v>
      </c>
      <c r="D70" s="280">
        <v>51958601.960000001</v>
      </c>
      <c r="E70" s="203">
        <v>7594</v>
      </c>
      <c r="F70" s="282">
        <v>9618</v>
      </c>
      <c r="G70" s="286">
        <v>0.26652620489860418</v>
      </c>
      <c r="H70" s="160">
        <v>10431</v>
      </c>
      <c r="I70" s="159">
        <v>12691</v>
      </c>
      <c r="J70" s="159">
        <v>75</v>
      </c>
      <c r="K70" s="159">
        <v>0</v>
      </c>
      <c r="L70" s="159">
        <v>560</v>
      </c>
      <c r="M70" s="170">
        <v>5.4805577603843497E-2</v>
      </c>
      <c r="N70" s="270">
        <v>8692</v>
      </c>
      <c r="O70" s="273">
        <v>8671</v>
      </c>
      <c r="P70" s="274">
        <v>-2.4160147261849999E-3</v>
      </c>
      <c r="Q70" s="273">
        <v>8607</v>
      </c>
      <c r="R70" s="272">
        <v>-9.7791072250345105E-3</v>
      </c>
      <c r="S70" s="255">
        <v>70.099999999999994</v>
      </c>
      <c r="T70" s="256">
        <v>12.3</v>
      </c>
      <c r="U70" s="256">
        <v>5.4</v>
      </c>
      <c r="V70" s="257">
        <v>87.8</v>
      </c>
      <c r="W70" s="160">
        <v>228</v>
      </c>
      <c r="X70" s="159">
        <v>0</v>
      </c>
      <c r="Y70" s="159">
        <v>0</v>
      </c>
      <c r="Z70" s="159">
        <v>0</v>
      </c>
      <c r="AA70" s="159">
        <v>0</v>
      </c>
      <c r="AB70" s="159">
        <v>8411</v>
      </c>
      <c r="AC70" s="159">
        <v>4052</v>
      </c>
      <c r="AD70" s="159">
        <v>0</v>
      </c>
      <c r="AE70" s="159">
        <v>0</v>
      </c>
      <c r="AF70" s="203">
        <v>0</v>
      </c>
      <c r="AG70" s="237">
        <v>228</v>
      </c>
      <c r="AH70" s="233">
        <v>0</v>
      </c>
      <c r="AI70" s="233">
        <v>0</v>
      </c>
      <c r="AJ70" s="233">
        <v>0</v>
      </c>
      <c r="AK70" s="233">
        <v>0</v>
      </c>
      <c r="AL70" s="233">
        <v>0</v>
      </c>
      <c r="AM70" s="233">
        <v>7223</v>
      </c>
      <c r="AN70" s="233">
        <v>0</v>
      </c>
      <c r="AO70" s="233">
        <v>3125</v>
      </c>
      <c r="AP70" s="233">
        <v>927</v>
      </c>
      <c r="AQ70" s="233">
        <v>0</v>
      </c>
      <c r="AR70" s="238">
        <v>1188</v>
      </c>
      <c r="AS70" s="217">
        <v>0</v>
      </c>
      <c r="AT70" s="203">
        <v>0</v>
      </c>
      <c r="AU70" s="203">
        <v>0</v>
      </c>
      <c r="AV70" s="217" t="s">
        <v>687</v>
      </c>
      <c r="AW70" s="217">
        <v>0</v>
      </c>
      <c r="AX70" s="203">
        <v>0</v>
      </c>
      <c r="AY70" s="203">
        <v>0</v>
      </c>
      <c r="AZ70" s="217" t="s">
        <v>687</v>
      </c>
      <c r="BA70" s="217">
        <v>0</v>
      </c>
      <c r="BB70" s="203">
        <v>0</v>
      </c>
      <c r="BC70" s="203">
        <v>0</v>
      </c>
      <c r="BD70" s="307" t="s">
        <v>687</v>
      </c>
    </row>
    <row r="71" spans="1:56" x14ac:dyDescent="0.45">
      <c r="A71">
        <v>382</v>
      </c>
      <c r="B71" t="s">
        <v>66</v>
      </c>
      <c r="C71" s="238" t="s">
        <v>565</v>
      </c>
      <c r="D71" s="280">
        <v>53224451.890000008</v>
      </c>
      <c r="E71" s="203">
        <v>23167</v>
      </c>
      <c r="F71" s="282">
        <v>25868</v>
      </c>
      <c r="G71" s="286">
        <v>0.11658825052876937</v>
      </c>
      <c r="H71" s="160">
        <v>28944</v>
      </c>
      <c r="I71" s="159">
        <v>30315</v>
      </c>
      <c r="J71" s="159">
        <v>250</v>
      </c>
      <c r="K71" s="159">
        <v>170</v>
      </c>
      <c r="L71" s="159">
        <v>1480</v>
      </c>
      <c r="M71" s="170">
        <v>5.4551723568542501E-2</v>
      </c>
      <c r="N71" s="270">
        <v>24464</v>
      </c>
      <c r="O71" s="273">
        <v>24599</v>
      </c>
      <c r="P71" s="274">
        <v>5.5183126226291696E-3</v>
      </c>
      <c r="Q71" s="273">
        <v>24759</v>
      </c>
      <c r="R71" s="272">
        <v>1.20585349901897E-2</v>
      </c>
      <c r="S71" s="255">
        <v>85.5</v>
      </c>
      <c r="T71" s="256">
        <v>8.8000000000000007</v>
      </c>
      <c r="U71" s="256">
        <v>2.2000000000000002</v>
      </c>
      <c r="V71" s="257">
        <v>96.5</v>
      </c>
      <c r="W71" s="160">
        <v>0</v>
      </c>
      <c r="X71" s="159">
        <v>168</v>
      </c>
      <c r="Y71" s="159">
        <v>0</v>
      </c>
      <c r="Z71" s="159">
        <v>0</v>
      </c>
      <c r="AA71" s="159">
        <v>0</v>
      </c>
      <c r="AB71" s="159">
        <v>5294</v>
      </c>
      <c r="AC71" s="159">
        <v>14681</v>
      </c>
      <c r="AD71" s="159">
        <v>3840</v>
      </c>
      <c r="AE71" s="159">
        <v>3639</v>
      </c>
      <c r="AF71" s="203">
        <v>0</v>
      </c>
      <c r="AG71" s="237">
        <v>0</v>
      </c>
      <c r="AH71" s="233">
        <v>168</v>
      </c>
      <c r="AI71" s="233">
        <v>0</v>
      </c>
      <c r="AJ71" s="233">
        <v>0</v>
      </c>
      <c r="AK71" s="233">
        <v>0</v>
      </c>
      <c r="AL71" s="233">
        <v>0</v>
      </c>
      <c r="AM71" s="233">
        <v>3875</v>
      </c>
      <c r="AN71" s="233">
        <v>2070</v>
      </c>
      <c r="AO71" s="233">
        <v>3394</v>
      </c>
      <c r="AP71" s="233">
        <v>12688</v>
      </c>
      <c r="AQ71" s="233">
        <v>2484</v>
      </c>
      <c r="AR71" s="238">
        <v>2943</v>
      </c>
      <c r="AS71" s="217">
        <v>0</v>
      </c>
      <c r="AT71" s="203">
        <v>0</v>
      </c>
      <c r="AU71" s="203">
        <v>0</v>
      </c>
      <c r="AV71" s="217" t="s">
        <v>687</v>
      </c>
      <c r="AW71" s="217">
        <v>0</v>
      </c>
      <c r="AX71" s="203">
        <v>0</v>
      </c>
      <c r="AY71" s="203">
        <v>0</v>
      </c>
      <c r="AZ71" s="217" t="s">
        <v>687</v>
      </c>
      <c r="BA71" s="217">
        <v>0</v>
      </c>
      <c r="BB71" s="203">
        <v>0</v>
      </c>
      <c r="BC71" s="203">
        <v>0</v>
      </c>
      <c r="BD71" s="307" t="s">
        <v>687</v>
      </c>
    </row>
    <row r="72" spans="1:56" x14ac:dyDescent="0.45">
      <c r="A72">
        <v>340</v>
      </c>
      <c r="B72" t="s">
        <v>67</v>
      </c>
      <c r="C72" s="238" t="s">
        <v>569</v>
      </c>
      <c r="D72" s="280">
        <v>3425336.4900000007</v>
      </c>
      <c r="E72" s="203">
        <v>7246</v>
      </c>
      <c r="F72" s="282">
        <v>6153</v>
      </c>
      <c r="G72" s="286">
        <v>-0.15084184377587634</v>
      </c>
      <c r="H72" s="160">
        <v>9012</v>
      </c>
      <c r="I72" s="159">
        <v>7081</v>
      </c>
      <c r="J72" s="159">
        <v>0</v>
      </c>
      <c r="K72" s="159">
        <v>0</v>
      </c>
      <c r="L72" s="159">
        <v>860</v>
      </c>
      <c r="M72" s="170">
        <v>0.122981552394447</v>
      </c>
      <c r="N72" s="270">
        <v>5320</v>
      </c>
      <c r="O72" s="273">
        <v>5450</v>
      </c>
      <c r="P72" s="274">
        <v>2.4436090225563901E-2</v>
      </c>
      <c r="Q72" s="273">
        <v>5324</v>
      </c>
      <c r="R72" s="272">
        <v>7.5187969924812002E-4</v>
      </c>
      <c r="S72" s="255">
        <v>79.3</v>
      </c>
      <c r="T72" s="256">
        <v>9.1999999999999993</v>
      </c>
      <c r="U72" s="256">
        <v>4.3</v>
      </c>
      <c r="V72" s="257">
        <v>92.9</v>
      </c>
      <c r="W72" s="160">
        <v>0</v>
      </c>
      <c r="X72" s="159">
        <v>60</v>
      </c>
      <c r="Y72" s="159">
        <v>0</v>
      </c>
      <c r="Z72" s="159">
        <v>0</v>
      </c>
      <c r="AA72" s="159">
        <v>0</v>
      </c>
      <c r="AB72" s="159">
        <v>0</v>
      </c>
      <c r="AC72" s="159">
        <v>1416</v>
      </c>
      <c r="AD72" s="159">
        <v>3505</v>
      </c>
      <c r="AE72" s="159">
        <v>2100</v>
      </c>
      <c r="AF72" s="203">
        <v>0</v>
      </c>
      <c r="AG72" s="237">
        <v>0</v>
      </c>
      <c r="AH72" s="233">
        <v>0</v>
      </c>
      <c r="AI72" s="233">
        <v>0</v>
      </c>
      <c r="AJ72" s="233">
        <v>0</v>
      </c>
      <c r="AK72" s="233">
        <v>60</v>
      </c>
      <c r="AL72" s="233">
        <v>0</v>
      </c>
      <c r="AM72" s="233">
        <v>0</v>
      </c>
      <c r="AN72" s="233">
        <v>0</v>
      </c>
      <c r="AO72" s="233">
        <v>0</v>
      </c>
      <c r="AP72" s="233">
        <v>1100</v>
      </c>
      <c r="AQ72" s="233">
        <v>5921</v>
      </c>
      <c r="AR72" s="238">
        <v>0</v>
      </c>
      <c r="AS72" s="217">
        <v>0</v>
      </c>
      <c r="AT72" s="203">
        <v>0</v>
      </c>
      <c r="AU72" s="203">
        <v>0</v>
      </c>
      <c r="AV72" s="217" t="s">
        <v>687</v>
      </c>
      <c r="AW72" s="217">
        <v>0</v>
      </c>
      <c r="AX72" s="203">
        <v>0</v>
      </c>
      <c r="AY72" s="203">
        <v>0</v>
      </c>
      <c r="AZ72" s="217" t="s">
        <v>687</v>
      </c>
      <c r="BA72" s="217">
        <v>0</v>
      </c>
      <c r="BB72" s="203">
        <v>0</v>
      </c>
      <c r="BC72" s="203">
        <v>0</v>
      </c>
      <c r="BD72" s="307" t="s">
        <v>687</v>
      </c>
    </row>
    <row r="73" spans="1:56" x14ac:dyDescent="0.45">
      <c r="A73">
        <v>208</v>
      </c>
      <c r="B73" t="s">
        <v>68</v>
      </c>
      <c r="C73" s="238" t="s">
        <v>571</v>
      </c>
      <c r="D73" s="280">
        <v>114848438.38999999</v>
      </c>
      <c r="E73" s="203">
        <v>7826</v>
      </c>
      <c r="F73" s="282">
        <v>12828</v>
      </c>
      <c r="G73" s="286">
        <v>0.63915154612829028</v>
      </c>
      <c r="H73" s="160">
        <v>11798</v>
      </c>
      <c r="I73" s="159">
        <v>18755</v>
      </c>
      <c r="J73" s="159">
        <v>460</v>
      </c>
      <c r="K73" s="159">
        <v>0</v>
      </c>
      <c r="L73" s="159">
        <v>2660</v>
      </c>
      <c r="M73" s="170">
        <v>0.171500797832977</v>
      </c>
      <c r="N73" s="270">
        <v>11383</v>
      </c>
      <c r="O73" s="273">
        <v>11996</v>
      </c>
      <c r="P73" s="274">
        <v>5.3852235790213497E-2</v>
      </c>
      <c r="Q73" s="273">
        <v>11711</v>
      </c>
      <c r="R73" s="272">
        <v>2.8814899411403E-2</v>
      </c>
      <c r="S73" s="255">
        <v>54.8</v>
      </c>
      <c r="T73" s="256">
        <v>16.8</v>
      </c>
      <c r="U73" s="256">
        <v>9.6999999999999993</v>
      </c>
      <c r="V73" s="257">
        <v>81.400000000000006</v>
      </c>
      <c r="W73" s="160">
        <v>538</v>
      </c>
      <c r="X73" s="159">
        <v>829</v>
      </c>
      <c r="Y73" s="159">
        <v>0</v>
      </c>
      <c r="Z73" s="159">
        <v>0</v>
      </c>
      <c r="AA73" s="159">
        <v>0</v>
      </c>
      <c r="AB73" s="159">
        <v>5862</v>
      </c>
      <c r="AC73" s="159">
        <v>7134</v>
      </c>
      <c r="AD73" s="159">
        <v>2615</v>
      </c>
      <c r="AE73" s="159">
        <v>0</v>
      </c>
      <c r="AF73" s="203">
        <v>0</v>
      </c>
      <c r="AG73" s="237">
        <v>538</v>
      </c>
      <c r="AH73" s="233">
        <v>15</v>
      </c>
      <c r="AI73" s="233">
        <v>0</v>
      </c>
      <c r="AJ73" s="233">
        <v>0</v>
      </c>
      <c r="AK73" s="233">
        <v>0</v>
      </c>
      <c r="AL73" s="233">
        <v>814</v>
      </c>
      <c r="AM73" s="233">
        <v>2649</v>
      </c>
      <c r="AN73" s="233">
        <v>2276</v>
      </c>
      <c r="AO73" s="233">
        <v>5041</v>
      </c>
      <c r="AP73" s="233">
        <v>3300</v>
      </c>
      <c r="AQ73" s="233">
        <v>815</v>
      </c>
      <c r="AR73" s="238">
        <v>1530</v>
      </c>
      <c r="AS73" s="217">
        <v>22650632.566616386</v>
      </c>
      <c r="AT73" s="203">
        <v>1</v>
      </c>
      <c r="AU73" s="203">
        <v>900</v>
      </c>
      <c r="AV73" s="217">
        <v>25167.369518462652</v>
      </c>
      <c r="AW73" s="217">
        <v>0</v>
      </c>
      <c r="AX73" s="203">
        <v>0</v>
      </c>
      <c r="AY73" s="203">
        <v>0</v>
      </c>
      <c r="AZ73" s="217" t="s">
        <v>687</v>
      </c>
      <c r="BA73" s="217">
        <v>0</v>
      </c>
      <c r="BB73" s="203">
        <v>0</v>
      </c>
      <c r="BC73" s="203">
        <v>0</v>
      </c>
      <c r="BD73" s="307" t="s">
        <v>687</v>
      </c>
    </row>
    <row r="74" spans="1:56" x14ac:dyDescent="0.45">
      <c r="A74">
        <v>888</v>
      </c>
      <c r="B74" t="s">
        <v>69</v>
      </c>
      <c r="C74" s="238" t="s">
        <v>569</v>
      </c>
      <c r="D74" s="280">
        <v>152553216.94999999</v>
      </c>
      <c r="E74" s="203">
        <v>62944</v>
      </c>
      <c r="F74" s="282">
        <v>68461</v>
      </c>
      <c r="G74" s="286">
        <v>8.7649339095068626E-2</v>
      </c>
      <c r="H74" s="160">
        <v>78464</v>
      </c>
      <c r="I74" s="159">
        <v>78349</v>
      </c>
      <c r="J74" s="159">
        <v>150</v>
      </c>
      <c r="K74" s="159">
        <v>250</v>
      </c>
      <c r="L74" s="159">
        <v>6180</v>
      </c>
      <c r="M74" s="170">
        <v>8.3051947027160899E-2</v>
      </c>
      <c r="N74" s="270">
        <v>63916</v>
      </c>
      <c r="O74" s="273">
        <v>64962</v>
      </c>
      <c r="P74" s="274">
        <v>1.63652293635396E-2</v>
      </c>
      <c r="Q74" s="273">
        <v>65377</v>
      </c>
      <c r="R74" s="272">
        <v>2.2858126290756599E-2</v>
      </c>
      <c r="S74" s="255">
        <v>83.7</v>
      </c>
      <c r="T74" s="256">
        <v>8.6999999999999993</v>
      </c>
      <c r="U74" s="256">
        <v>2.9</v>
      </c>
      <c r="V74" s="257">
        <v>95.3</v>
      </c>
      <c r="W74" s="160">
        <v>0</v>
      </c>
      <c r="X74" s="159">
        <v>311</v>
      </c>
      <c r="Y74" s="159">
        <v>17</v>
      </c>
      <c r="Z74" s="159">
        <v>0</v>
      </c>
      <c r="AA74" s="159">
        <v>0</v>
      </c>
      <c r="AB74" s="159">
        <v>17562</v>
      </c>
      <c r="AC74" s="159">
        <v>38216</v>
      </c>
      <c r="AD74" s="159">
        <v>13694</v>
      </c>
      <c r="AE74" s="159">
        <v>4089</v>
      </c>
      <c r="AF74" s="203">
        <v>0</v>
      </c>
      <c r="AG74" s="237">
        <v>0</v>
      </c>
      <c r="AH74" s="233">
        <v>0</v>
      </c>
      <c r="AI74" s="233">
        <v>309</v>
      </c>
      <c r="AJ74" s="233">
        <v>19</v>
      </c>
      <c r="AK74" s="233">
        <v>0</v>
      </c>
      <c r="AL74" s="233">
        <v>0</v>
      </c>
      <c r="AM74" s="233">
        <v>3102</v>
      </c>
      <c r="AN74" s="233">
        <v>14852</v>
      </c>
      <c r="AO74" s="233">
        <v>31862</v>
      </c>
      <c r="AP74" s="233">
        <v>14257</v>
      </c>
      <c r="AQ74" s="233">
        <v>9488</v>
      </c>
      <c r="AR74" s="238">
        <v>0</v>
      </c>
      <c r="AS74" s="217">
        <v>5707656.7457738128</v>
      </c>
      <c r="AT74" s="203">
        <v>2</v>
      </c>
      <c r="AU74" s="203">
        <v>300</v>
      </c>
      <c r="AV74" s="217">
        <v>19025.522485912708</v>
      </c>
      <c r="AW74" s="217">
        <v>0</v>
      </c>
      <c r="AX74" s="203">
        <v>0</v>
      </c>
      <c r="AY74" s="203">
        <v>0</v>
      </c>
      <c r="AZ74" s="217" t="s">
        <v>687</v>
      </c>
      <c r="BA74" s="217">
        <v>0</v>
      </c>
      <c r="BB74" s="203">
        <v>0</v>
      </c>
      <c r="BC74" s="203">
        <v>0</v>
      </c>
      <c r="BD74" s="307" t="s">
        <v>687</v>
      </c>
    </row>
    <row r="75" spans="1:56" x14ac:dyDescent="0.45">
      <c r="A75">
        <v>383</v>
      </c>
      <c r="B75" t="s">
        <v>70</v>
      </c>
      <c r="C75" s="238" t="s">
        <v>565</v>
      </c>
      <c r="D75" s="280">
        <v>287210626.18000001</v>
      </c>
      <c r="E75" s="203">
        <v>36897</v>
      </c>
      <c r="F75" s="282">
        <v>47126</v>
      </c>
      <c r="G75" s="286">
        <v>0.27723121120958344</v>
      </c>
      <c r="H75" s="160">
        <v>48110</v>
      </c>
      <c r="I75" s="159">
        <v>54728</v>
      </c>
      <c r="J75" s="159">
        <v>1131</v>
      </c>
      <c r="K75" s="159">
        <v>1810</v>
      </c>
      <c r="L75" s="159">
        <v>3810</v>
      </c>
      <c r="M75" s="170">
        <v>7.7572185389101295E-2</v>
      </c>
      <c r="N75" s="270">
        <v>41119</v>
      </c>
      <c r="O75" s="273">
        <v>41284</v>
      </c>
      <c r="P75" s="274">
        <v>4.0127435005715096E-3</v>
      </c>
      <c r="Q75" s="273">
        <v>43055</v>
      </c>
      <c r="R75" s="272">
        <v>4.7082857073372397E-2</v>
      </c>
      <c r="S75" s="255">
        <v>82.4</v>
      </c>
      <c r="T75" s="256">
        <v>8.6</v>
      </c>
      <c r="U75" s="256">
        <v>3</v>
      </c>
      <c r="V75" s="257">
        <v>94.1</v>
      </c>
      <c r="W75" s="160">
        <v>0</v>
      </c>
      <c r="X75" s="159">
        <v>143</v>
      </c>
      <c r="Y75" s="159">
        <v>17</v>
      </c>
      <c r="Z75" s="159">
        <v>0</v>
      </c>
      <c r="AA75" s="159">
        <v>560</v>
      </c>
      <c r="AB75" s="159">
        <v>10430</v>
      </c>
      <c r="AC75" s="159">
        <v>29149</v>
      </c>
      <c r="AD75" s="159">
        <v>7857</v>
      </c>
      <c r="AE75" s="159">
        <v>1038</v>
      </c>
      <c r="AF75" s="203">
        <v>0</v>
      </c>
      <c r="AG75" s="237">
        <v>0</v>
      </c>
      <c r="AH75" s="233">
        <v>52</v>
      </c>
      <c r="AI75" s="233">
        <v>108</v>
      </c>
      <c r="AJ75" s="233">
        <v>0</v>
      </c>
      <c r="AK75" s="233">
        <v>0</v>
      </c>
      <c r="AL75" s="233">
        <v>560</v>
      </c>
      <c r="AM75" s="233">
        <v>7268</v>
      </c>
      <c r="AN75" s="233">
        <v>12637</v>
      </c>
      <c r="AO75" s="233">
        <v>18069</v>
      </c>
      <c r="AP75" s="233">
        <v>6434</v>
      </c>
      <c r="AQ75" s="233">
        <v>1038</v>
      </c>
      <c r="AR75" s="238">
        <v>3028</v>
      </c>
      <c r="AS75" s="217">
        <v>18541440.244736969</v>
      </c>
      <c r="AT75" s="203">
        <v>1</v>
      </c>
      <c r="AU75" s="203">
        <v>250</v>
      </c>
      <c r="AV75" s="217">
        <v>74165.760978947874</v>
      </c>
      <c r="AW75" s="217">
        <v>0</v>
      </c>
      <c r="AX75" s="203">
        <v>0</v>
      </c>
      <c r="AY75" s="203">
        <v>0</v>
      </c>
      <c r="AZ75" s="217" t="s">
        <v>687</v>
      </c>
      <c r="BA75" s="217">
        <v>0</v>
      </c>
      <c r="BB75" s="203">
        <v>0</v>
      </c>
      <c r="BC75" s="203">
        <v>0</v>
      </c>
      <c r="BD75" s="307" t="s">
        <v>687</v>
      </c>
    </row>
    <row r="76" spans="1:56" x14ac:dyDescent="0.45">
      <c r="A76">
        <v>856</v>
      </c>
      <c r="B76" t="s">
        <v>71</v>
      </c>
      <c r="C76" s="238" t="s">
        <v>573</v>
      </c>
      <c r="D76" s="280">
        <v>166735397.37</v>
      </c>
      <c r="E76" s="203">
        <v>16527</v>
      </c>
      <c r="F76" s="282">
        <v>21919</v>
      </c>
      <c r="G76" s="286">
        <v>0.32625400859200099</v>
      </c>
      <c r="H76" s="160">
        <v>20756</v>
      </c>
      <c r="I76" s="159">
        <v>22777</v>
      </c>
      <c r="J76" s="159">
        <v>1362</v>
      </c>
      <c r="K76" s="159">
        <v>720</v>
      </c>
      <c r="L76" s="159">
        <v>1190</v>
      </c>
      <c r="M76" s="170">
        <v>5.3200898365977099E-2</v>
      </c>
      <c r="N76" s="270">
        <v>19309</v>
      </c>
      <c r="O76" s="273">
        <v>19477</v>
      </c>
      <c r="P76" s="274">
        <v>8.7006059350561906E-3</v>
      </c>
      <c r="Q76" s="273">
        <v>20424</v>
      </c>
      <c r="R76" s="272">
        <v>5.77450929618313E-2</v>
      </c>
      <c r="S76" s="255">
        <v>78.099999999999994</v>
      </c>
      <c r="T76" s="256">
        <v>10.8</v>
      </c>
      <c r="U76" s="256">
        <v>2.7</v>
      </c>
      <c r="V76" s="257">
        <v>91.7</v>
      </c>
      <c r="W76" s="160">
        <v>110</v>
      </c>
      <c r="X76" s="159">
        <v>353</v>
      </c>
      <c r="Y76" s="159">
        <v>191</v>
      </c>
      <c r="Z76" s="159">
        <v>0</v>
      </c>
      <c r="AA76" s="159">
        <v>900</v>
      </c>
      <c r="AB76" s="159">
        <v>5745</v>
      </c>
      <c r="AC76" s="159">
        <v>8322</v>
      </c>
      <c r="AD76" s="159">
        <v>1715</v>
      </c>
      <c r="AE76" s="159">
        <v>600</v>
      </c>
      <c r="AF76" s="203">
        <v>0</v>
      </c>
      <c r="AG76" s="237">
        <v>77</v>
      </c>
      <c r="AH76" s="233">
        <v>40</v>
      </c>
      <c r="AI76" s="233">
        <v>537</v>
      </c>
      <c r="AJ76" s="233">
        <v>0</v>
      </c>
      <c r="AK76" s="233">
        <v>0</v>
      </c>
      <c r="AL76" s="233">
        <v>900</v>
      </c>
      <c r="AM76" s="233">
        <v>2045</v>
      </c>
      <c r="AN76" s="233">
        <v>3275</v>
      </c>
      <c r="AO76" s="233">
        <v>8227</v>
      </c>
      <c r="AP76" s="233">
        <v>1035</v>
      </c>
      <c r="AQ76" s="233">
        <v>600</v>
      </c>
      <c r="AR76" s="238">
        <v>1200</v>
      </c>
      <c r="AS76" s="217">
        <v>0</v>
      </c>
      <c r="AT76" s="203">
        <v>0</v>
      </c>
      <c r="AU76" s="203">
        <v>0</v>
      </c>
      <c r="AV76" s="217" t="s">
        <v>687</v>
      </c>
      <c r="AW76" s="217">
        <v>13622856.403287387</v>
      </c>
      <c r="AX76" s="203">
        <v>7</v>
      </c>
      <c r="AY76" s="203">
        <v>1591</v>
      </c>
      <c r="AZ76" s="217">
        <v>8562.4490278361955</v>
      </c>
      <c r="BA76" s="217">
        <v>0</v>
      </c>
      <c r="BB76" s="203">
        <v>0</v>
      </c>
      <c r="BC76" s="203">
        <v>0</v>
      </c>
      <c r="BD76" s="307" t="s">
        <v>687</v>
      </c>
    </row>
    <row r="77" spans="1:56" x14ac:dyDescent="0.45">
      <c r="A77">
        <v>855</v>
      </c>
      <c r="B77" t="s">
        <v>72</v>
      </c>
      <c r="C77" s="238" t="s">
        <v>573</v>
      </c>
      <c r="D77" s="280">
        <v>139225778.25</v>
      </c>
      <c r="E77" s="203">
        <v>36480</v>
      </c>
      <c r="F77" s="282">
        <v>41194</v>
      </c>
      <c r="G77" s="286">
        <v>0.12922149122807017</v>
      </c>
      <c r="H77" s="160">
        <v>48952</v>
      </c>
      <c r="I77" s="159">
        <v>48138</v>
      </c>
      <c r="J77" s="159">
        <v>0</v>
      </c>
      <c r="K77" s="159">
        <v>1490</v>
      </c>
      <c r="L77" s="159">
        <v>3730</v>
      </c>
      <c r="M77" s="170">
        <v>8.5862180631266702E-2</v>
      </c>
      <c r="N77" s="270">
        <v>37010</v>
      </c>
      <c r="O77" s="273">
        <v>37393</v>
      </c>
      <c r="P77" s="274">
        <v>1.0348554444744701E-2</v>
      </c>
      <c r="Q77" s="273">
        <v>38557</v>
      </c>
      <c r="R77" s="272">
        <v>4.1799513644960803E-2</v>
      </c>
      <c r="S77" s="255">
        <v>89.7</v>
      </c>
      <c r="T77" s="256">
        <v>5.0999999999999996</v>
      </c>
      <c r="U77" s="256">
        <v>1.4</v>
      </c>
      <c r="V77" s="257">
        <v>96.3</v>
      </c>
      <c r="W77" s="160">
        <v>65</v>
      </c>
      <c r="X77" s="159">
        <v>50</v>
      </c>
      <c r="Y77" s="159">
        <v>0</v>
      </c>
      <c r="Z77" s="159">
        <v>0</v>
      </c>
      <c r="AA77" s="159">
        <v>0</v>
      </c>
      <c r="AB77" s="159">
        <v>8613</v>
      </c>
      <c r="AC77" s="159">
        <v>28541</v>
      </c>
      <c r="AD77" s="159">
        <v>8124</v>
      </c>
      <c r="AE77" s="159">
        <v>2745</v>
      </c>
      <c r="AF77" s="203">
        <v>0</v>
      </c>
      <c r="AG77" s="237">
        <v>65</v>
      </c>
      <c r="AH77" s="233">
        <v>50</v>
      </c>
      <c r="AI77" s="233">
        <v>0</v>
      </c>
      <c r="AJ77" s="233">
        <v>0</v>
      </c>
      <c r="AK77" s="233">
        <v>0</v>
      </c>
      <c r="AL77" s="233">
        <v>0</v>
      </c>
      <c r="AM77" s="233">
        <v>6116</v>
      </c>
      <c r="AN77" s="233">
        <v>3850</v>
      </c>
      <c r="AO77" s="233">
        <v>11830</v>
      </c>
      <c r="AP77" s="233">
        <v>12390</v>
      </c>
      <c r="AQ77" s="233">
        <v>5627</v>
      </c>
      <c r="AR77" s="238">
        <v>8210</v>
      </c>
      <c r="AS77" s="217">
        <v>1784415.3405293245</v>
      </c>
      <c r="AT77" s="203">
        <v>4</v>
      </c>
      <c r="AU77" s="203">
        <v>339</v>
      </c>
      <c r="AV77" s="217">
        <v>5263.7620664581846</v>
      </c>
      <c r="AW77" s="217">
        <v>543614.89465553442</v>
      </c>
      <c r="AX77" s="203">
        <v>3</v>
      </c>
      <c r="AY77" s="203">
        <v>140</v>
      </c>
      <c r="AZ77" s="217">
        <v>3882.9635332538173</v>
      </c>
      <c r="BA77" s="217">
        <v>0</v>
      </c>
      <c r="BB77" s="203">
        <v>0</v>
      </c>
      <c r="BC77" s="203">
        <v>0</v>
      </c>
      <c r="BD77" s="307" t="s">
        <v>687</v>
      </c>
    </row>
    <row r="78" spans="1:56" x14ac:dyDescent="0.45">
      <c r="A78">
        <v>209</v>
      </c>
      <c r="B78" t="s">
        <v>73</v>
      </c>
      <c r="C78" s="238" t="s">
        <v>571</v>
      </c>
      <c r="D78" s="280">
        <v>121272643.90999998</v>
      </c>
      <c r="E78" s="203">
        <v>8861</v>
      </c>
      <c r="F78" s="282">
        <v>11032</v>
      </c>
      <c r="G78" s="286">
        <v>0.24500620697438213</v>
      </c>
      <c r="H78" s="160">
        <v>15414</v>
      </c>
      <c r="I78" s="159">
        <v>17649</v>
      </c>
      <c r="J78" s="159">
        <v>0</v>
      </c>
      <c r="K78" s="159">
        <v>0</v>
      </c>
      <c r="L78" s="159">
        <v>2920</v>
      </c>
      <c r="M78" s="170">
        <v>0.20944271387403299</v>
      </c>
      <c r="N78" s="270">
        <v>11174</v>
      </c>
      <c r="O78" s="273">
        <v>11455</v>
      </c>
      <c r="P78" s="274">
        <v>2.5147664220511901E-2</v>
      </c>
      <c r="Q78" s="273">
        <v>12945</v>
      </c>
      <c r="R78" s="272">
        <v>0.15849293001610901</v>
      </c>
      <c r="S78" s="255">
        <v>56.9</v>
      </c>
      <c r="T78" s="256">
        <v>18</v>
      </c>
      <c r="U78" s="256">
        <v>8.9</v>
      </c>
      <c r="V78" s="257">
        <v>83.8</v>
      </c>
      <c r="W78" s="160">
        <v>0</v>
      </c>
      <c r="X78" s="159">
        <v>0</v>
      </c>
      <c r="Y78" s="159">
        <v>0</v>
      </c>
      <c r="Z78" s="159">
        <v>0</v>
      </c>
      <c r="AA78" s="159">
        <v>0</v>
      </c>
      <c r="AB78" s="159">
        <v>1803</v>
      </c>
      <c r="AC78" s="159">
        <v>7149</v>
      </c>
      <c r="AD78" s="159">
        <v>6311</v>
      </c>
      <c r="AE78" s="159">
        <v>0</v>
      </c>
      <c r="AF78" s="203">
        <v>0</v>
      </c>
      <c r="AG78" s="237">
        <v>0</v>
      </c>
      <c r="AH78" s="233">
        <v>0</v>
      </c>
      <c r="AI78" s="233">
        <v>0</v>
      </c>
      <c r="AJ78" s="233">
        <v>0</v>
      </c>
      <c r="AK78" s="233">
        <v>0</v>
      </c>
      <c r="AL78" s="233">
        <v>0</v>
      </c>
      <c r="AM78" s="233">
        <v>900</v>
      </c>
      <c r="AN78" s="233">
        <v>1027</v>
      </c>
      <c r="AO78" s="233">
        <v>4534</v>
      </c>
      <c r="AP78" s="233">
        <v>5134</v>
      </c>
      <c r="AQ78" s="233">
        <v>3668</v>
      </c>
      <c r="AR78" s="238">
        <v>0</v>
      </c>
      <c r="AS78" s="217">
        <v>0</v>
      </c>
      <c r="AT78" s="203">
        <v>0</v>
      </c>
      <c r="AU78" s="203">
        <v>0</v>
      </c>
      <c r="AV78" s="217" t="s">
        <v>687</v>
      </c>
      <c r="AW78" s="217">
        <v>0</v>
      </c>
      <c r="AX78" s="203">
        <v>0</v>
      </c>
      <c r="AY78" s="203">
        <v>0</v>
      </c>
      <c r="AZ78" s="217" t="s">
        <v>687</v>
      </c>
      <c r="BA78" s="217">
        <v>0</v>
      </c>
      <c r="BB78" s="203">
        <v>0</v>
      </c>
      <c r="BC78" s="203">
        <v>0</v>
      </c>
      <c r="BD78" s="307" t="s">
        <v>687</v>
      </c>
    </row>
    <row r="79" spans="1:56" x14ac:dyDescent="0.45">
      <c r="A79">
        <v>925</v>
      </c>
      <c r="B79" t="s">
        <v>74</v>
      </c>
      <c r="C79" s="238" t="s">
        <v>573</v>
      </c>
      <c r="D79" s="280">
        <v>117739181.55000001</v>
      </c>
      <c r="E79" s="203">
        <v>35877</v>
      </c>
      <c r="F79" s="282">
        <v>42746</v>
      </c>
      <c r="G79" s="286">
        <v>0.19145970956322991</v>
      </c>
      <c r="H79" s="160">
        <v>51656</v>
      </c>
      <c r="I79" s="159">
        <v>53312</v>
      </c>
      <c r="J79" s="159">
        <v>1290</v>
      </c>
      <c r="K79" s="159">
        <v>900</v>
      </c>
      <c r="L79" s="159">
        <v>5050</v>
      </c>
      <c r="M79" s="170">
        <v>0.10761031885583</v>
      </c>
      <c r="N79" s="270">
        <v>39148</v>
      </c>
      <c r="O79" s="273">
        <v>39661</v>
      </c>
      <c r="P79" s="274">
        <v>1.31041177071626E-2</v>
      </c>
      <c r="Q79" s="273">
        <v>40162</v>
      </c>
      <c r="R79" s="272">
        <v>2.5901706345151699E-2</v>
      </c>
      <c r="S79" s="255">
        <v>88.8</v>
      </c>
      <c r="T79" s="256">
        <v>7.6</v>
      </c>
      <c r="U79" s="256">
        <v>1.2</v>
      </c>
      <c r="V79" s="257">
        <v>97.6</v>
      </c>
      <c r="W79" s="160">
        <v>289</v>
      </c>
      <c r="X79" s="159">
        <v>470</v>
      </c>
      <c r="Y79" s="159">
        <v>250</v>
      </c>
      <c r="Z79" s="159">
        <v>0</v>
      </c>
      <c r="AA79" s="159">
        <v>0</v>
      </c>
      <c r="AB79" s="159">
        <v>14659</v>
      </c>
      <c r="AC79" s="159">
        <v>24084</v>
      </c>
      <c r="AD79" s="159">
        <v>7235</v>
      </c>
      <c r="AE79" s="159">
        <v>3205</v>
      </c>
      <c r="AF79" s="203">
        <v>0</v>
      </c>
      <c r="AG79" s="237">
        <v>237</v>
      </c>
      <c r="AH79" s="233">
        <v>116</v>
      </c>
      <c r="AI79" s="233">
        <v>375</v>
      </c>
      <c r="AJ79" s="233">
        <v>201</v>
      </c>
      <c r="AK79" s="233">
        <v>80</v>
      </c>
      <c r="AL79" s="233">
        <v>0</v>
      </c>
      <c r="AM79" s="233">
        <v>5432</v>
      </c>
      <c r="AN79" s="233">
        <v>6626</v>
      </c>
      <c r="AO79" s="233">
        <v>21972</v>
      </c>
      <c r="AP79" s="233">
        <v>10177</v>
      </c>
      <c r="AQ79" s="233">
        <v>4336</v>
      </c>
      <c r="AR79" s="238">
        <v>640</v>
      </c>
      <c r="AS79" s="217">
        <v>0</v>
      </c>
      <c r="AT79" s="203">
        <v>0</v>
      </c>
      <c r="AU79" s="203">
        <v>0</v>
      </c>
      <c r="AV79" s="217" t="s">
        <v>687</v>
      </c>
      <c r="AW79" s="217">
        <v>0</v>
      </c>
      <c r="AX79" s="203">
        <v>0</v>
      </c>
      <c r="AY79" s="203">
        <v>0</v>
      </c>
      <c r="AZ79" s="217" t="s">
        <v>687</v>
      </c>
      <c r="BA79" s="217">
        <v>0</v>
      </c>
      <c r="BB79" s="203">
        <v>0</v>
      </c>
      <c r="BC79" s="203">
        <v>0</v>
      </c>
      <c r="BD79" s="307" t="s">
        <v>687</v>
      </c>
    </row>
    <row r="80" spans="1:56" x14ac:dyDescent="0.45">
      <c r="A80">
        <v>341</v>
      </c>
      <c r="B80" t="s">
        <v>75</v>
      </c>
      <c r="C80" s="238" t="s">
        <v>569</v>
      </c>
      <c r="D80" s="280">
        <v>59744068.579999998</v>
      </c>
      <c r="E80" s="203">
        <v>22951</v>
      </c>
      <c r="F80" s="282">
        <v>26453</v>
      </c>
      <c r="G80" s="286">
        <v>0.1525859439675831</v>
      </c>
      <c r="H80" s="160">
        <v>36499</v>
      </c>
      <c r="I80" s="159">
        <v>34827</v>
      </c>
      <c r="J80" s="159">
        <v>175</v>
      </c>
      <c r="K80" s="159">
        <v>100</v>
      </c>
      <c r="L80" s="159">
        <v>3040</v>
      </c>
      <c r="M80" s="170">
        <v>0.103550217229317</v>
      </c>
      <c r="N80" s="270">
        <v>24273</v>
      </c>
      <c r="O80" s="273">
        <v>24671</v>
      </c>
      <c r="P80" s="274">
        <v>1.6396819511391301E-2</v>
      </c>
      <c r="Q80" s="273">
        <v>24788</v>
      </c>
      <c r="R80" s="272">
        <v>2.12169900712726E-2</v>
      </c>
      <c r="S80" s="255">
        <v>70.5</v>
      </c>
      <c r="T80" s="256">
        <v>12.5</v>
      </c>
      <c r="U80" s="256">
        <v>5.4</v>
      </c>
      <c r="V80" s="257">
        <v>88.4</v>
      </c>
      <c r="W80" s="160">
        <v>290</v>
      </c>
      <c r="X80" s="159">
        <v>0</v>
      </c>
      <c r="Y80" s="159">
        <v>296</v>
      </c>
      <c r="Z80" s="159">
        <v>0</v>
      </c>
      <c r="AA80" s="159">
        <v>0</v>
      </c>
      <c r="AB80" s="159">
        <v>3701</v>
      </c>
      <c r="AC80" s="159">
        <v>11447</v>
      </c>
      <c r="AD80" s="159">
        <v>14744</v>
      </c>
      <c r="AE80" s="159">
        <v>3890</v>
      </c>
      <c r="AF80" s="203">
        <v>0</v>
      </c>
      <c r="AG80" s="237">
        <v>249</v>
      </c>
      <c r="AH80" s="233">
        <v>0</v>
      </c>
      <c r="AI80" s="233">
        <v>41</v>
      </c>
      <c r="AJ80" s="233">
        <v>96</v>
      </c>
      <c r="AK80" s="233">
        <v>50</v>
      </c>
      <c r="AL80" s="233">
        <v>150</v>
      </c>
      <c r="AM80" s="233">
        <v>2732</v>
      </c>
      <c r="AN80" s="233">
        <v>1882</v>
      </c>
      <c r="AO80" s="233">
        <v>9228</v>
      </c>
      <c r="AP80" s="233">
        <v>9115</v>
      </c>
      <c r="AQ80" s="233">
        <v>9575</v>
      </c>
      <c r="AR80" s="238">
        <v>1250</v>
      </c>
      <c r="AS80" s="217">
        <v>2400504.0925893318</v>
      </c>
      <c r="AT80" s="203">
        <v>1</v>
      </c>
      <c r="AU80" s="203">
        <v>105</v>
      </c>
      <c r="AV80" s="217">
        <v>22861.943738946018</v>
      </c>
      <c r="AW80" s="217">
        <v>0</v>
      </c>
      <c r="AX80" s="203">
        <v>0</v>
      </c>
      <c r="AY80" s="203">
        <v>0</v>
      </c>
      <c r="AZ80" s="217" t="s">
        <v>687</v>
      </c>
      <c r="BA80" s="217">
        <v>0</v>
      </c>
      <c r="BB80" s="203">
        <v>0</v>
      </c>
      <c r="BC80" s="203">
        <v>0</v>
      </c>
      <c r="BD80" s="307" t="s">
        <v>687</v>
      </c>
    </row>
    <row r="81" spans="1:56" x14ac:dyDescent="0.45">
      <c r="A81">
        <v>821</v>
      </c>
      <c r="B81" t="s">
        <v>76</v>
      </c>
      <c r="C81" s="238" t="s">
        <v>567</v>
      </c>
      <c r="D81" s="280">
        <v>85453090.420000002</v>
      </c>
      <c r="E81" s="203">
        <v>10365</v>
      </c>
      <c r="F81" s="282">
        <v>15010</v>
      </c>
      <c r="G81" s="286">
        <v>0.44814278822961889</v>
      </c>
      <c r="H81" s="160">
        <v>14363</v>
      </c>
      <c r="I81" s="159">
        <v>16795</v>
      </c>
      <c r="J81" s="159">
        <v>625</v>
      </c>
      <c r="K81" s="159">
        <v>120</v>
      </c>
      <c r="L81" s="159">
        <v>1840</v>
      </c>
      <c r="M81" s="170">
        <v>0.109997818266756</v>
      </c>
      <c r="N81" s="270">
        <v>13840</v>
      </c>
      <c r="O81" s="273">
        <v>14021</v>
      </c>
      <c r="P81" s="274">
        <v>1.3078034682080899E-2</v>
      </c>
      <c r="Q81" s="273">
        <v>14773</v>
      </c>
      <c r="R81" s="272">
        <v>6.74132947976879E-2</v>
      </c>
      <c r="S81" s="255">
        <v>79</v>
      </c>
      <c r="T81" s="256">
        <v>9.5</v>
      </c>
      <c r="U81" s="256">
        <v>5.0999999999999996</v>
      </c>
      <c r="V81" s="257">
        <v>93.6</v>
      </c>
      <c r="W81" s="160">
        <v>0</v>
      </c>
      <c r="X81" s="159">
        <v>0</v>
      </c>
      <c r="Y81" s="159">
        <v>0</v>
      </c>
      <c r="Z81" s="159">
        <v>0</v>
      </c>
      <c r="AA81" s="159">
        <v>1200</v>
      </c>
      <c r="AB81" s="159">
        <v>2320</v>
      </c>
      <c r="AC81" s="159">
        <v>8195</v>
      </c>
      <c r="AD81" s="159">
        <v>5080</v>
      </c>
      <c r="AE81" s="159">
        <v>0</v>
      </c>
      <c r="AF81" s="203">
        <v>0</v>
      </c>
      <c r="AG81" s="237">
        <v>0</v>
      </c>
      <c r="AH81" s="233">
        <v>0</v>
      </c>
      <c r="AI81" s="233">
        <v>0</v>
      </c>
      <c r="AJ81" s="233">
        <v>0</v>
      </c>
      <c r="AK81" s="233">
        <v>0</v>
      </c>
      <c r="AL81" s="233">
        <v>1200</v>
      </c>
      <c r="AM81" s="233">
        <v>2170</v>
      </c>
      <c r="AN81" s="233">
        <v>4300</v>
      </c>
      <c r="AO81" s="233">
        <v>4045</v>
      </c>
      <c r="AP81" s="233">
        <v>2830</v>
      </c>
      <c r="AQ81" s="233">
        <v>2250</v>
      </c>
      <c r="AR81" s="238">
        <v>0</v>
      </c>
      <c r="AS81" s="217">
        <v>5908540.8714800142</v>
      </c>
      <c r="AT81" s="203">
        <v>2</v>
      </c>
      <c r="AU81" s="203">
        <v>447</v>
      </c>
      <c r="AV81" s="217">
        <v>13218.212240447459</v>
      </c>
      <c r="AW81" s="217">
        <v>0</v>
      </c>
      <c r="AX81" s="203">
        <v>0</v>
      </c>
      <c r="AY81" s="203">
        <v>0</v>
      </c>
      <c r="AZ81" s="217" t="s">
        <v>687</v>
      </c>
      <c r="BA81" s="217">
        <v>0</v>
      </c>
      <c r="BB81" s="203">
        <v>0</v>
      </c>
      <c r="BC81" s="203">
        <v>0</v>
      </c>
      <c r="BD81" s="307" t="s">
        <v>687</v>
      </c>
    </row>
    <row r="82" spans="1:56" x14ac:dyDescent="0.45">
      <c r="A82">
        <v>352</v>
      </c>
      <c r="B82" t="s">
        <v>77</v>
      </c>
      <c r="C82" s="238" t="s">
        <v>569</v>
      </c>
      <c r="D82" s="280">
        <v>333587176.19</v>
      </c>
      <c r="E82" s="203">
        <v>18023</v>
      </c>
      <c r="F82" s="282">
        <v>32834</v>
      </c>
      <c r="G82" s="286">
        <v>0.82178327692393049</v>
      </c>
      <c r="H82" s="160">
        <v>25613</v>
      </c>
      <c r="I82" s="159">
        <v>36147</v>
      </c>
      <c r="J82" s="159">
        <v>1280</v>
      </c>
      <c r="K82" s="159">
        <v>0</v>
      </c>
      <c r="L82" s="159">
        <v>1900</v>
      </c>
      <c r="M82" s="170">
        <v>5.4601204799363298E-2</v>
      </c>
      <c r="N82" s="270">
        <v>28027</v>
      </c>
      <c r="O82" s="273">
        <v>28446</v>
      </c>
      <c r="P82" s="274">
        <v>1.4949869768437599E-2</v>
      </c>
      <c r="Q82" s="273">
        <v>30266</v>
      </c>
      <c r="R82" s="272">
        <v>7.9887251578834695E-2</v>
      </c>
      <c r="S82" s="255">
        <v>76.7</v>
      </c>
      <c r="T82" s="256">
        <v>11.1</v>
      </c>
      <c r="U82" s="256">
        <v>4.2</v>
      </c>
      <c r="V82" s="257">
        <v>92.1</v>
      </c>
      <c r="W82" s="160">
        <v>0</v>
      </c>
      <c r="X82" s="159">
        <v>570</v>
      </c>
      <c r="Y82" s="159">
        <v>100</v>
      </c>
      <c r="Z82" s="159">
        <v>0</v>
      </c>
      <c r="AA82" s="159">
        <v>1200</v>
      </c>
      <c r="AB82" s="159">
        <v>6138</v>
      </c>
      <c r="AC82" s="159">
        <v>18199</v>
      </c>
      <c r="AD82" s="159">
        <v>3900</v>
      </c>
      <c r="AE82" s="159">
        <v>2550</v>
      </c>
      <c r="AF82" s="203">
        <v>2650</v>
      </c>
      <c r="AG82" s="237">
        <v>0</v>
      </c>
      <c r="AH82" s="233">
        <v>0</v>
      </c>
      <c r="AI82" s="233">
        <v>570</v>
      </c>
      <c r="AJ82" s="233">
        <v>0</v>
      </c>
      <c r="AK82" s="233">
        <v>100</v>
      </c>
      <c r="AL82" s="233">
        <v>1200</v>
      </c>
      <c r="AM82" s="233">
        <v>2652</v>
      </c>
      <c r="AN82" s="233">
        <v>4936</v>
      </c>
      <c r="AO82" s="233">
        <v>11439</v>
      </c>
      <c r="AP82" s="233">
        <v>3720</v>
      </c>
      <c r="AQ82" s="233">
        <v>6840</v>
      </c>
      <c r="AR82" s="238">
        <v>3850</v>
      </c>
      <c r="AS82" s="217">
        <v>20216570.02668874</v>
      </c>
      <c r="AT82" s="203">
        <v>3</v>
      </c>
      <c r="AU82" s="203">
        <v>1050</v>
      </c>
      <c r="AV82" s="217">
        <v>19253.876215894037</v>
      </c>
      <c r="AW82" s="217">
        <v>875869.29978234286</v>
      </c>
      <c r="AX82" s="203">
        <v>3</v>
      </c>
      <c r="AY82" s="203">
        <v>105</v>
      </c>
      <c r="AZ82" s="217">
        <v>8341.6123788794557</v>
      </c>
      <c r="BA82" s="217">
        <v>38010499.670214079</v>
      </c>
      <c r="BB82" s="203">
        <v>2</v>
      </c>
      <c r="BC82" s="203">
        <v>1200</v>
      </c>
      <c r="BD82" s="307">
        <v>31675.416391845065</v>
      </c>
    </row>
    <row r="83" spans="1:56" x14ac:dyDescent="0.45">
      <c r="A83">
        <v>887</v>
      </c>
      <c r="B83" t="s">
        <v>78</v>
      </c>
      <c r="C83" s="238" t="s">
        <v>570</v>
      </c>
      <c r="D83" s="280">
        <v>45512888.160000004</v>
      </c>
      <c r="E83" s="203">
        <v>15080</v>
      </c>
      <c r="F83" s="282">
        <v>17237</v>
      </c>
      <c r="G83" s="286">
        <v>0.14303713527851458</v>
      </c>
      <c r="H83" s="160">
        <v>21411</v>
      </c>
      <c r="I83" s="159">
        <v>22956</v>
      </c>
      <c r="J83" s="159">
        <v>600</v>
      </c>
      <c r="K83" s="159">
        <v>0</v>
      </c>
      <c r="L83" s="159">
        <v>2580</v>
      </c>
      <c r="M83" s="170">
        <v>0.13013991375049699</v>
      </c>
      <c r="N83" s="270">
        <v>16007</v>
      </c>
      <c r="O83" s="273">
        <v>16033</v>
      </c>
      <c r="P83" s="274">
        <v>1.6242893733991401E-3</v>
      </c>
      <c r="Q83" s="273">
        <v>16076</v>
      </c>
      <c r="R83" s="272">
        <v>4.3106141063284798E-3</v>
      </c>
      <c r="S83" s="255">
        <v>76.3</v>
      </c>
      <c r="T83" s="256">
        <v>12.7</v>
      </c>
      <c r="U83" s="256">
        <v>2.9</v>
      </c>
      <c r="V83" s="257">
        <v>91.9</v>
      </c>
      <c r="W83" s="160">
        <v>186</v>
      </c>
      <c r="X83" s="159">
        <v>0</v>
      </c>
      <c r="Y83" s="159">
        <v>0</v>
      </c>
      <c r="Z83" s="159">
        <v>0</v>
      </c>
      <c r="AA83" s="159">
        <v>0</v>
      </c>
      <c r="AB83" s="159">
        <v>4861</v>
      </c>
      <c r="AC83" s="159">
        <v>16150</v>
      </c>
      <c r="AD83" s="159">
        <v>949</v>
      </c>
      <c r="AE83" s="159">
        <v>600</v>
      </c>
      <c r="AF83" s="203">
        <v>0</v>
      </c>
      <c r="AG83" s="237">
        <v>0</v>
      </c>
      <c r="AH83" s="233">
        <v>186</v>
      </c>
      <c r="AI83" s="233">
        <v>0</v>
      </c>
      <c r="AJ83" s="233">
        <v>0</v>
      </c>
      <c r="AK83" s="233">
        <v>0</v>
      </c>
      <c r="AL83" s="233">
        <v>0</v>
      </c>
      <c r="AM83" s="233">
        <v>3568</v>
      </c>
      <c r="AN83" s="233">
        <v>5006</v>
      </c>
      <c r="AO83" s="233">
        <v>8620</v>
      </c>
      <c r="AP83" s="233">
        <v>3405</v>
      </c>
      <c r="AQ83" s="233">
        <v>1361</v>
      </c>
      <c r="AR83" s="238">
        <v>600</v>
      </c>
      <c r="AS83" s="217">
        <v>0</v>
      </c>
      <c r="AT83" s="203">
        <v>0</v>
      </c>
      <c r="AU83" s="203">
        <v>0</v>
      </c>
      <c r="AV83" s="217" t="s">
        <v>687</v>
      </c>
      <c r="AW83" s="217">
        <v>0</v>
      </c>
      <c r="AX83" s="203">
        <v>0</v>
      </c>
      <c r="AY83" s="203">
        <v>0</v>
      </c>
      <c r="AZ83" s="217" t="s">
        <v>687</v>
      </c>
      <c r="BA83" s="217">
        <v>0</v>
      </c>
      <c r="BB83" s="203">
        <v>0</v>
      </c>
      <c r="BC83" s="203">
        <v>0</v>
      </c>
      <c r="BD83" s="307" t="s">
        <v>687</v>
      </c>
    </row>
    <row r="84" spans="1:56" x14ac:dyDescent="0.45">
      <c r="A84">
        <v>315</v>
      </c>
      <c r="B84" t="s">
        <v>79</v>
      </c>
      <c r="C84" s="238" t="s">
        <v>564</v>
      </c>
      <c r="D84" s="280">
        <v>79031895.140000001</v>
      </c>
      <c r="E84" s="203">
        <v>6345</v>
      </c>
      <c r="F84" s="282">
        <v>9020</v>
      </c>
      <c r="G84" s="286">
        <v>0.42159180457052797</v>
      </c>
      <c r="H84" s="160">
        <v>9931</v>
      </c>
      <c r="I84" s="159">
        <v>11284</v>
      </c>
      <c r="J84" s="159">
        <v>175</v>
      </c>
      <c r="K84" s="159">
        <v>0</v>
      </c>
      <c r="L84" s="159">
        <v>530</v>
      </c>
      <c r="M84" s="170">
        <v>5.52918141923327E-2</v>
      </c>
      <c r="N84" s="270">
        <v>7885</v>
      </c>
      <c r="O84" s="273">
        <v>7887</v>
      </c>
      <c r="P84" s="274">
        <v>2.5364616360177601E-4</v>
      </c>
      <c r="Q84" s="273">
        <v>8277</v>
      </c>
      <c r="R84" s="272">
        <v>4.9714648065947997E-2</v>
      </c>
      <c r="S84" s="255">
        <v>63.6</v>
      </c>
      <c r="T84" s="256">
        <v>14.7</v>
      </c>
      <c r="U84" s="256">
        <v>7.3</v>
      </c>
      <c r="V84" s="257">
        <v>85.5</v>
      </c>
      <c r="W84" s="160">
        <v>0</v>
      </c>
      <c r="X84" s="159">
        <v>0</v>
      </c>
      <c r="Y84" s="159">
        <v>0</v>
      </c>
      <c r="Z84" s="159">
        <v>0</v>
      </c>
      <c r="AA84" s="159">
        <v>1150</v>
      </c>
      <c r="AB84" s="159">
        <v>6442</v>
      </c>
      <c r="AC84" s="159">
        <v>3692</v>
      </c>
      <c r="AD84" s="159">
        <v>0</v>
      </c>
      <c r="AE84" s="159">
        <v>0</v>
      </c>
      <c r="AF84" s="203">
        <v>0</v>
      </c>
      <c r="AG84" s="237">
        <v>0</v>
      </c>
      <c r="AH84" s="233">
        <v>0</v>
      </c>
      <c r="AI84" s="233">
        <v>0</v>
      </c>
      <c r="AJ84" s="233">
        <v>0</v>
      </c>
      <c r="AK84" s="233">
        <v>0</v>
      </c>
      <c r="AL84" s="233">
        <v>1150</v>
      </c>
      <c r="AM84" s="233">
        <v>6442</v>
      </c>
      <c r="AN84" s="233">
        <v>2312</v>
      </c>
      <c r="AO84" s="233">
        <v>1380</v>
      </c>
      <c r="AP84" s="233">
        <v>0</v>
      </c>
      <c r="AQ84" s="233">
        <v>0</v>
      </c>
      <c r="AR84" s="238">
        <v>0</v>
      </c>
      <c r="AS84" s="217">
        <v>3773043.5034466777</v>
      </c>
      <c r="AT84" s="203">
        <v>1</v>
      </c>
      <c r="AU84" s="203">
        <v>300</v>
      </c>
      <c r="AV84" s="217">
        <v>12576.811678155593</v>
      </c>
      <c r="AW84" s="217">
        <v>0</v>
      </c>
      <c r="AX84" s="203">
        <v>0</v>
      </c>
      <c r="AY84" s="203">
        <v>0</v>
      </c>
      <c r="AZ84" s="217" t="s">
        <v>687</v>
      </c>
      <c r="BA84" s="217">
        <v>0</v>
      </c>
      <c r="BB84" s="203">
        <v>0</v>
      </c>
      <c r="BC84" s="203">
        <v>0</v>
      </c>
      <c r="BD84" s="307" t="s">
        <v>687</v>
      </c>
    </row>
    <row r="85" spans="1:56" x14ac:dyDescent="0.45">
      <c r="A85">
        <v>806</v>
      </c>
      <c r="B85" t="s">
        <v>80</v>
      </c>
      <c r="C85" s="238" t="s">
        <v>572</v>
      </c>
      <c r="D85" s="280">
        <v>15720388.77</v>
      </c>
      <c r="E85" s="203">
        <v>4972</v>
      </c>
      <c r="F85" s="282">
        <v>8721</v>
      </c>
      <c r="G85" s="286">
        <v>0.75402252614641996</v>
      </c>
      <c r="H85" s="160">
        <v>10163</v>
      </c>
      <c r="I85" s="159">
        <v>9020</v>
      </c>
      <c r="J85" s="159">
        <v>450</v>
      </c>
      <c r="K85" s="159">
        <v>40</v>
      </c>
      <c r="L85" s="159">
        <v>130</v>
      </c>
      <c r="M85" s="170">
        <v>1.5296013903743201E-2</v>
      </c>
      <c r="N85" s="270">
        <v>7536</v>
      </c>
      <c r="O85" s="273">
        <v>7613</v>
      </c>
      <c r="P85" s="274">
        <v>1.02176220806794E-2</v>
      </c>
      <c r="Q85" s="273">
        <v>7534</v>
      </c>
      <c r="R85" s="272">
        <v>-2.6539278131634797E-4</v>
      </c>
      <c r="S85" s="255">
        <v>77.2</v>
      </c>
      <c r="T85" s="256">
        <v>9.6</v>
      </c>
      <c r="U85" s="256">
        <v>4.8</v>
      </c>
      <c r="V85" s="257">
        <v>91.6</v>
      </c>
      <c r="W85" s="160">
        <v>0</v>
      </c>
      <c r="X85" s="159">
        <v>175</v>
      </c>
      <c r="Y85" s="159">
        <v>0</v>
      </c>
      <c r="Z85" s="159">
        <v>0</v>
      </c>
      <c r="AA85" s="159">
        <v>0</v>
      </c>
      <c r="AB85" s="159">
        <v>0</v>
      </c>
      <c r="AC85" s="159">
        <v>6295</v>
      </c>
      <c r="AD85" s="159">
        <v>2550</v>
      </c>
      <c r="AE85" s="159">
        <v>0</v>
      </c>
      <c r="AF85" s="203">
        <v>0</v>
      </c>
      <c r="AG85" s="237">
        <v>0</v>
      </c>
      <c r="AH85" s="233">
        <v>0</v>
      </c>
      <c r="AI85" s="233">
        <v>0</v>
      </c>
      <c r="AJ85" s="233">
        <v>0</v>
      </c>
      <c r="AK85" s="233">
        <v>175</v>
      </c>
      <c r="AL85" s="233">
        <v>0</v>
      </c>
      <c r="AM85" s="233">
        <v>0</v>
      </c>
      <c r="AN85" s="233">
        <v>1470</v>
      </c>
      <c r="AO85" s="233">
        <v>2450</v>
      </c>
      <c r="AP85" s="233">
        <v>1050</v>
      </c>
      <c r="AQ85" s="233">
        <v>3875</v>
      </c>
      <c r="AR85" s="238">
        <v>0</v>
      </c>
      <c r="AS85" s="217">
        <v>0</v>
      </c>
      <c r="AT85" s="203">
        <v>0</v>
      </c>
      <c r="AU85" s="203">
        <v>0</v>
      </c>
      <c r="AV85" s="217" t="s">
        <v>687</v>
      </c>
      <c r="AW85" s="217">
        <v>0</v>
      </c>
      <c r="AX85" s="203">
        <v>0</v>
      </c>
      <c r="AY85" s="203">
        <v>0</v>
      </c>
      <c r="AZ85" s="217" t="s">
        <v>687</v>
      </c>
      <c r="BA85" s="217">
        <v>0</v>
      </c>
      <c r="BB85" s="203">
        <v>0</v>
      </c>
      <c r="BC85" s="203">
        <v>0</v>
      </c>
      <c r="BD85" s="307" t="s">
        <v>687</v>
      </c>
    </row>
    <row r="86" spans="1:56" x14ac:dyDescent="0.45">
      <c r="A86">
        <v>826</v>
      </c>
      <c r="B86" t="s">
        <v>81</v>
      </c>
      <c r="C86" s="238" t="s">
        <v>570</v>
      </c>
      <c r="D86" s="280">
        <v>170297698.30000001</v>
      </c>
      <c r="E86" s="203">
        <v>12784</v>
      </c>
      <c r="F86" s="282">
        <v>18432</v>
      </c>
      <c r="G86" s="286">
        <v>0.44180225281602004</v>
      </c>
      <c r="H86" s="160">
        <v>18675</v>
      </c>
      <c r="I86" s="159">
        <v>22914</v>
      </c>
      <c r="J86" s="159">
        <v>1990</v>
      </c>
      <c r="K86" s="159">
        <v>0</v>
      </c>
      <c r="L86" s="159">
        <v>2220</v>
      </c>
      <c r="M86" s="170">
        <v>0.107607437959772</v>
      </c>
      <c r="N86" s="270">
        <v>15532</v>
      </c>
      <c r="O86" s="273">
        <v>15776</v>
      </c>
      <c r="P86" s="274">
        <v>1.5709502961627601E-2</v>
      </c>
      <c r="Q86" s="273">
        <v>15942</v>
      </c>
      <c r="R86" s="272">
        <v>2.63971156322431E-2</v>
      </c>
      <c r="S86" s="255">
        <v>76.2</v>
      </c>
      <c r="T86" s="256">
        <v>10.3</v>
      </c>
      <c r="U86" s="256">
        <v>4.5</v>
      </c>
      <c r="V86" s="257">
        <v>91.1</v>
      </c>
      <c r="W86" s="160">
        <v>0</v>
      </c>
      <c r="X86" s="159">
        <v>0</v>
      </c>
      <c r="Y86" s="159">
        <v>0</v>
      </c>
      <c r="Z86" s="159">
        <v>0</v>
      </c>
      <c r="AA86" s="159">
        <v>750</v>
      </c>
      <c r="AB86" s="159">
        <v>0</v>
      </c>
      <c r="AC86" s="159">
        <v>15368</v>
      </c>
      <c r="AD86" s="159">
        <v>4275</v>
      </c>
      <c r="AE86" s="159">
        <v>0</v>
      </c>
      <c r="AF86" s="203">
        <v>0</v>
      </c>
      <c r="AG86" s="237">
        <v>0</v>
      </c>
      <c r="AH86" s="233">
        <v>0</v>
      </c>
      <c r="AI86" s="233">
        <v>0</v>
      </c>
      <c r="AJ86" s="233">
        <v>0</v>
      </c>
      <c r="AK86" s="233">
        <v>0</v>
      </c>
      <c r="AL86" s="233">
        <v>750</v>
      </c>
      <c r="AM86" s="233">
        <v>0</v>
      </c>
      <c r="AN86" s="233">
        <v>5800</v>
      </c>
      <c r="AO86" s="233">
        <v>8118</v>
      </c>
      <c r="AP86" s="233">
        <v>2725</v>
      </c>
      <c r="AQ86" s="233">
        <v>3000</v>
      </c>
      <c r="AR86" s="238">
        <v>0</v>
      </c>
      <c r="AS86" s="217">
        <v>20318588.235927105</v>
      </c>
      <c r="AT86" s="203">
        <v>3</v>
      </c>
      <c r="AU86" s="203">
        <v>988</v>
      </c>
      <c r="AV86" s="217">
        <v>20565.372708428244</v>
      </c>
      <c r="AW86" s="217">
        <v>0</v>
      </c>
      <c r="AX86" s="203">
        <v>0</v>
      </c>
      <c r="AY86" s="203">
        <v>0</v>
      </c>
      <c r="AZ86" s="217" t="s">
        <v>687</v>
      </c>
      <c r="BA86" s="217">
        <v>29076841.620393746</v>
      </c>
      <c r="BB86" s="203">
        <v>1</v>
      </c>
      <c r="BC86" s="203">
        <v>1600</v>
      </c>
      <c r="BD86" s="307">
        <v>18173.02601274609</v>
      </c>
    </row>
    <row r="87" spans="1:56" x14ac:dyDescent="0.45">
      <c r="A87">
        <v>391</v>
      </c>
      <c r="B87" t="s">
        <v>82</v>
      </c>
      <c r="C87" s="238" t="s">
        <v>572</v>
      </c>
      <c r="D87" s="280">
        <v>41581221.81000001</v>
      </c>
      <c r="E87" s="203">
        <v>11533</v>
      </c>
      <c r="F87" s="282">
        <v>14462</v>
      </c>
      <c r="G87" s="286">
        <v>0.25396687765542358</v>
      </c>
      <c r="H87" s="160">
        <v>18274</v>
      </c>
      <c r="I87" s="159">
        <v>18688</v>
      </c>
      <c r="J87" s="159">
        <v>109</v>
      </c>
      <c r="K87" s="159">
        <v>380</v>
      </c>
      <c r="L87" s="159">
        <v>940</v>
      </c>
      <c r="M87" s="170">
        <v>6.25605446130615E-2</v>
      </c>
      <c r="N87" s="270">
        <v>12860</v>
      </c>
      <c r="O87" s="273">
        <v>12961</v>
      </c>
      <c r="P87" s="274">
        <v>7.8538102643856897E-3</v>
      </c>
      <c r="Q87" s="273">
        <v>13380</v>
      </c>
      <c r="R87" s="272">
        <v>4.0435458786936197E-2</v>
      </c>
      <c r="S87" s="255">
        <v>75.3</v>
      </c>
      <c r="T87" s="256">
        <v>11.6</v>
      </c>
      <c r="U87" s="256">
        <v>3.5</v>
      </c>
      <c r="V87" s="257">
        <v>90.4</v>
      </c>
      <c r="W87" s="160">
        <v>30</v>
      </c>
      <c r="X87" s="159">
        <v>456</v>
      </c>
      <c r="Y87" s="159">
        <v>0</v>
      </c>
      <c r="Z87" s="159">
        <v>0</v>
      </c>
      <c r="AA87" s="159">
        <v>600</v>
      </c>
      <c r="AB87" s="159">
        <v>5958</v>
      </c>
      <c r="AC87" s="159">
        <v>3125</v>
      </c>
      <c r="AD87" s="159">
        <v>3644</v>
      </c>
      <c r="AE87" s="159">
        <v>3813</v>
      </c>
      <c r="AF87" s="203">
        <v>0</v>
      </c>
      <c r="AG87" s="237">
        <v>0</v>
      </c>
      <c r="AH87" s="233">
        <v>0</v>
      </c>
      <c r="AI87" s="233">
        <v>240</v>
      </c>
      <c r="AJ87" s="233">
        <v>0</v>
      </c>
      <c r="AK87" s="233">
        <v>216</v>
      </c>
      <c r="AL87" s="233">
        <v>630</v>
      </c>
      <c r="AM87" s="233">
        <v>0</v>
      </c>
      <c r="AN87" s="233">
        <v>2775</v>
      </c>
      <c r="AO87" s="233">
        <v>3418</v>
      </c>
      <c r="AP87" s="233">
        <v>1254</v>
      </c>
      <c r="AQ87" s="233">
        <v>6598</v>
      </c>
      <c r="AR87" s="238">
        <v>2495</v>
      </c>
      <c r="AS87" s="217">
        <v>0</v>
      </c>
      <c r="AT87" s="203">
        <v>0</v>
      </c>
      <c r="AU87" s="203">
        <v>0</v>
      </c>
      <c r="AV87" s="217" t="s">
        <v>687</v>
      </c>
      <c r="AW87" s="217">
        <v>0</v>
      </c>
      <c r="AX87" s="203">
        <v>0</v>
      </c>
      <c r="AY87" s="203">
        <v>0</v>
      </c>
      <c r="AZ87" s="217" t="s">
        <v>687</v>
      </c>
      <c r="BA87" s="217">
        <v>0</v>
      </c>
      <c r="BB87" s="203">
        <v>0</v>
      </c>
      <c r="BC87" s="203">
        <v>0</v>
      </c>
      <c r="BD87" s="307" t="s">
        <v>687</v>
      </c>
    </row>
    <row r="88" spans="1:56" x14ac:dyDescent="0.45">
      <c r="A88">
        <v>316</v>
      </c>
      <c r="B88" t="s">
        <v>83</v>
      </c>
      <c r="C88" s="238" t="s">
        <v>571</v>
      </c>
      <c r="D88" s="280">
        <v>229559561.78</v>
      </c>
      <c r="E88" s="203">
        <v>17637</v>
      </c>
      <c r="F88" s="282">
        <v>24077</v>
      </c>
      <c r="G88" s="286">
        <v>0.36514146396779495</v>
      </c>
      <c r="H88" s="160">
        <v>19633</v>
      </c>
      <c r="I88" s="159">
        <v>28173</v>
      </c>
      <c r="J88" s="159">
        <v>840</v>
      </c>
      <c r="K88" s="159">
        <v>50</v>
      </c>
      <c r="L88" s="159">
        <v>430</v>
      </c>
      <c r="M88" s="170">
        <v>1.7441216748493998E-2</v>
      </c>
      <c r="N88" s="270">
        <v>21455</v>
      </c>
      <c r="O88" s="273">
        <v>21572</v>
      </c>
      <c r="P88" s="274">
        <v>5.4532742950361198E-3</v>
      </c>
      <c r="Q88" s="273">
        <v>22406</v>
      </c>
      <c r="R88" s="272">
        <v>4.4325332090421797E-2</v>
      </c>
      <c r="S88" s="255">
        <v>65.2</v>
      </c>
      <c r="T88" s="256">
        <v>17</v>
      </c>
      <c r="U88" s="256">
        <v>6.6</v>
      </c>
      <c r="V88" s="257">
        <v>88.8</v>
      </c>
      <c r="W88" s="160">
        <v>90</v>
      </c>
      <c r="X88" s="159">
        <v>60</v>
      </c>
      <c r="Y88" s="159">
        <v>0</v>
      </c>
      <c r="Z88" s="159">
        <v>0</v>
      </c>
      <c r="AA88" s="159">
        <v>0</v>
      </c>
      <c r="AB88" s="159">
        <v>10423</v>
      </c>
      <c r="AC88" s="159">
        <v>10000</v>
      </c>
      <c r="AD88" s="159">
        <v>1555</v>
      </c>
      <c r="AE88" s="159">
        <v>0</v>
      </c>
      <c r="AF88" s="203">
        <v>1140</v>
      </c>
      <c r="AG88" s="237">
        <v>90</v>
      </c>
      <c r="AH88" s="233">
        <v>60</v>
      </c>
      <c r="AI88" s="233">
        <v>0</v>
      </c>
      <c r="AJ88" s="233">
        <v>0</v>
      </c>
      <c r="AK88" s="233">
        <v>0</v>
      </c>
      <c r="AL88" s="233">
        <v>0</v>
      </c>
      <c r="AM88" s="233">
        <v>5700</v>
      </c>
      <c r="AN88" s="233">
        <v>7261</v>
      </c>
      <c r="AO88" s="233">
        <v>6462</v>
      </c>
      <c r="AP88" s="233">
        <v>1000</v>
      </c>
      <c r="AQ88" s="233">
        <v>1200</v>
      </c>
      <c r="AR88" s="238">
        <v>1495</v>
      </c>
      <c r="AS88" s="217">
        <v>6240771.3120076451</v>
      </c>
      <c r="AT88" s="203">
        <v>3</v>
      </c>
      <c r="AU88" s="203">
        <v>450</v>
      </c>
      <c r="AV88" s="217">
        <v>13868.380693350322</v>
      </c>
      <c r="AW88" s="217">
        <v>0</v>
      </c>
      <c r="AX88" s="203">
        <v>0</v>
      </c>
      <c r="AY88" s="203">
        <v>0</v>
      </c>
      <c r="AZ88" s="217" t="s">
        <v>687</v>
      </c>
      <c r="BA88" s="217">
        <v>0</v>
      </c>
      <c r="BB88" s="203">
        <v>0</v>
      </c>
      <c r="BC88" s="203">
        <v>0</v>
      </c>
      <c r="BD88" s="307" t="s">
        <v>687</v>
      </c>
    </row>
    <row r="89" spans="1:56" x14ac:dyDescent="0.45">
      <c r="A89">
        <v>926</v>
      </c>
      <c r="B89" t="s">
        <v>84</v>
      </c>
      <c r="C89" s="238" t="s">
        <v>567</v>
      </c>
      <c r="D89" s="280">
        <v>145422781.15000001</v>
      </c>
      <c r="E89" s="203">
        <v>43170</v>
      </c>
      <c r="F89" s="282">
        <v>45183</v>
      </c>
      <c r="G89" s="286">
        <v>4.6629603891591383E-2</v>
      </c>
      <c r="H89" s="160">
        <v>53040</v>
      </c>
      <c r="I89" s="159">
        <v>56680</v>
      </c>
      <c r="J89" s="159">
        <v>510</v>
      </c>
      <c r="K89" s="159">
        <v>770</v>
      </c>
      <c r="L89" s="159">
        <v>6970</v>
      </c>
      <c r="M89" s="170">
        <v>0.13562016032656701</v>
      </c>
      <c r="N89" s="270">
        <v>40604</v>
      </c>
      <c r="O89" s="273">
        <v>41993</v>
      </c>
      <c r="P89" s="274">
        <v>3.42084523692247E-2</v>
      </c>
      <c r="Q89" s="273">
        <v>44925</v>
      </c>
      <c r="R89" s="272">
        <v>0.106418086887991</v>
      </c>
      <c r="S89" s="255">
        <v>90.7</v>
      </c>
      <c r="T89" s="256">
        <v>4.9000000000000004</v>
      </c>
      <c r="U89" s="256">
        <v>0.8</v>
      </c>
      <c r="V89" s="257">
        <v>96.4</v>
      </c>
      <c r="W89" s="160">
        <v>0</v>
      </c>
      <c r="X89" s="159">
        <v>236</v>
      </c>
      <c r="Y89" s="159">
        <v>150</v>
      </c>
      <c r="Z89" s="159">
        <v>0</v>
      </c>
      <c r="AA89" s="159">
        <v>0</v>
      </c>
      <c r="AB89" s="159">
        <v>7465</v>
      </c>
      <c r="AC89" s="159">
        <v>34528</v>
      </c>
      <c r="AD89" s="159">
        <v>9172</v>
      </c>
      <c r="AE89" s="159">
        <v>0</v>
      </c>
      <c r="AF89" s="203">
        <v>0</v>
      </c>
      <c r="AG89" s="237">
        <v>0</v>
      </c>
      <c r="AH89" s="233">
        <v>60</v>
      </c>
      <c r="AI89" s="233">
        <v>176</v>
      </c>
      <c r="AJ89" s="233">
        <v>150</v>
      </c>
      <c r="AK89" s="233">
        <v>0</v>
      </c>
      <c r="AL89" s="233">
        <v>0</v>
      </c>
      <c r="AM89" s="233">
        <v>2278</v>
      </c>
      <c r="AN89" s="233">
        <v>11411</v>
      </c>
      <c r="AO89" s="233">
        <v>28127</v>
      </c>
      <c r="AP89" s="233">
        <v>5378</v>
      </c>
      <c r="AQ89" s="233">
        <v>3371</v>
      </c>
      <c r="AR89" s="238">
        <v>600</v>
      </c>
      <c r="AS89" s="217">
        <v>1130921.9858156028</v>
      </c>
      <c r="AT89" s="203">
        <v>1</v>
      </c>
      <c r="AU89" s="203">
        <v>150</v>
      </c>
      <c r="AV89" s="217">
        <v>7539.4799054373525</v>
      </c>
      <c r="AW89" s="217">
        <v>0</v>
      </c>
      <c r="AX89" s="203">
        <v>0</v>
      </c>
      <c r="AY89" s="203">
        <v>0</v>
      </c>
      <c r="AZ89" s="217" t="s">
        <v>687</v>
      </c>
      <c r="BA89" s="217">
        <v>0</v>
      </c>
      <c r="BB89" s="203">
        <v>0</v>
      </c>
      <c r="BC89" s="203">
        <v>0</v>
      </c>
      <c r="BD89" s="307" t="s">
        <v>687</v>
      </c>
    </row>
    <row r="90" spans="1:56" x14ac:dyDescent="0.45">
      <c r="A90">
        <v>812</v>
      </c>
      <c r="B90" t="s">
        <v>85</v>
      </c>
      <c r="C90" s="238" t="s">
        <v>565</v>
      </c>
      <c r="D90" s="280">
        <v>16391675.26</v>
      </c>
      <c r="E90" s="203">
        <v>6990</v>
      </c>
      <c r="F90" s="282">
        <v>9383</v>
      </c>
      <c r="G90" s="286">
        <v>0.34234620886981404</v>
      </c>
      <c r="H90" s="160">
        <v>12797</v>
      </c>
      <c r="I90" s="159">
        <v>10191</v>
      </c>
      <c r="J90" s="159">
        <v>0</v>
      </c>
      <c r="K90" s="159">
        <v>30</v>
      </c>
      <c r="L90" s="159">
        <v>520</v>
      </c>
      <c r="M90" s="170">
        <v>5.2769966030498001E-2</v>
      </c>
      <c r="N90" s="270">
        <v>8140</v>
      </c>
      <c r="O90" s="273">
        <v>8517</v>
      </c>
      <c r="P90" s="274">
        <v>4.6314496314496301E-2</v>
      </c>
      <c r="Q90" s="273">
        <v>8928</v>
      </c>
      <c r="R90" s="272">
        <v>9.6805896805896796E-2</v>
      </c>
      <c r="S90" s="255">
        <v>90.3</v>
      </c>
      <c r="T90" s="256">
        <v>7</v>
      </c>
      <c r="U90" s="256">
        <v>1.1000000000000001</v>
      </c>
      <c r="V90" s="257">
        <v>98.5</v>
      </c>
      <c r="W90" s="160">
        <v>0</v>
      </c>
      <c r="X90" s="159">
        <v>0</v>
      </c>
      <c r="Y90" s="159">
        <v>0</v>
      </c>
      <c r="Z90" s="159">
        <v>0</v>
      </c>
      <c r="AA90" s="159">
        <v>0</v>
      </c>
      <c r="AB90" s="159">
        <v>4087</v>
      </c>
      <c r="AC90" s="159">
        <v>3200</v>
      </c>
      <c r="AD90" s="159">
        <v>2904</v>
      </c>
      <c r="AE90" s="159">
        <v>0</v>
      </c>
      <c r="AF90" s="203">
        <v>0</v>
      </c>
      <c r="AG90" s="237">
        <v>0</v>
      </c>
      <c r="AH90" s="233">
        <v>0</v>
      </c>
      <c r="AI90" s="233">
        <v>0</v>
      </c>
      <c r="AJ90" s="233">
        <v>0</v>
      </c>
      <c r="AK90" s="233">
        <v>0</v>
      </c>
      <c r="AL90" s="233">
        <v>0</v>
      </c>
      <c r="AM90" s="233">
        <v>750</v>
      </c>
      <c r="AN90" s="233">
        <v>4087</v>
      </c>
      <c r="AO90" s="233">
        <v>2300</v>
      </c>
      <c r="AP90" s="233">
        <v>2104</v>
      </c>
      <c r="AQ90" s="233">
        <v>950</v>
      </c>
      <c r="AR90" s="238">
        <v>0</v>
      </c>
      <c r="AS90" s="217">
        <v>0</v>
      </c>
      <c r="AT90" s="203">
        <v>0</v>
      </c>
      <c r="AU90" s="203">
        <v>0</v>
      </c>
      <c r="AV90" s="217" t="s">
        <v>687</v>
      </c>
      <c r="AW90" s="217">
        <v>0</v>
      </c>
      <c r="AX90" s="203">
        <v>0</v>
      </c>
      <c r="AY90" s="203">
        <v>0</v>
      </c>
      <c r="AZ90" s="217" t="s">
        <v>687</v>
      </c>
      <c r="BA90" s="217">
        <v>0</v>
      </c>
      <c r="BB90" s="203">
        <v>0</v>
      </c>
      <c r="BC90" s="203">
        <v>0</v>
      </c>
      <c r="BD90" s="307" t="s">
        <v>687</v>
      </c>
    </row>
    <row r="91" spans="1:56" x14ac:dyDescent="0.45">
      <c r="A91">
        <v>813</v>
      </c>
      <c r="B91" t="s">
        <v>86</v>
      </c>
      <c r="C91" s="238" t="s">
        <v>565</v>
      </c>
      <c r="D91" s="280">
        <v>11310270.360000001</v>
      </c>
      <c r="E91" s="203">
        <v>9221</v>
      </c>
      <c r="F91" s="282">
        <v>10571</v>
      </c>
      <c r="G91" s="286">
        <v>0.14640494523370567</v>
      </c>
      <c r="H91" s="160">
        <v>11969</v>
      </c>
      <c r="I91" s="159">
        <v>11993</v>
      </c>
      <c r="J91" s="159">
        <v>30</v>
      </c>
      <c r="K91" s="159">
        <v>120</v>
      </c>
      <c r="L91" s="159">
        <v>1060</v>
      </c>
      <c r="M91" s="170">
        <v>9.2404631104121199E-2</v>
      </c>
      <c r="N91" s="270">
        <v>9469</v>
      </c>
      <c r="O91" s="273">
        <v>9639</v>
      </c>
      <c r="P91" s="274">
        <v>1.79533213644524E-2</v>
      </c>
      <c r="Q91" s="273">
        <v>9426</v>
      </c>
      <c r="R91" s="272">
        <v>-4.5411342274791402E-3</v>
      </c>
      <c r="S91" s="255">
        <v>93.5</v>
      </c>
      <c r="T91" s="256">
        <v>4.7</v>
      </c>
      <c r="U91" s="256">
        <v>0.4</v>
      </c>
      <c r="V91" s="257">
        <v>98.6</v>
      </c>
      <c r="W91" s="160">
        <v>0</v>
      </c>
      <c r="X91" s="159">
        <v>0</v>
      </c>
      <c r="Y91" s="159">
        <v>0</v>
      </c>
      <c r="Z91" s="159">
        <v>0</v>
      </c>
      <c r="AA91" s="159">
        <v>0</v>
      </c>
      <c r="AB91" s="159">
        <v>0</v>
      </c>
      <c r="AC91" s="159">
        <v>11027</v>
      </c>
      <c r="AD91" s="159">
        <v>870</v>
      </c>
      <c r="AE91" s="159">
        <v>0</v>
      </c>
      <c r="AF91" s="203">
        <v>96</v>
      </c>
      <c r="AG91" s="237">
        <v>0</v>
      </c>
      <c r="AH91" s="233">
        <v>0</v>
      </c>
      <c r="AI91" s="233">
        <v>0</v>
      </c>
      <c r="AJ91" s="233">
        <v>0</v>
      </c>
      <c r="AK91" s="233">
        <v>0</v>
      </c>
      <c r="AL91" s="233">
        <v>0</v>
      </c>
      <c r="AM91" s="233">
        <v>1065</v>
      </c>
      <c r="AN91" s="233">
        <v>2720</v>
      </c>
      <c r="AO91" s="233">
        <v>4757</v>
      </c>
      <c r="AP91" s="233">
        <v>1885</v>
      </c>
      <c r="AQ91" s="233">
        <v>870</v>
      </c>
      <c r="AR91" s="238">
        <v>696</v>
      </c>
      <c r="AS91" s="217">
        <v>0</v>
      </c>
      <c r="AT91" s="203">
        <v>0</v>
      </c>
      <c r="AU91" s="203">
        <v>0</v>
      </c>
      <c r="AV91" s="217" t="s">
        <v>687</v>
      </c>
      <c r="AW91" s="217">
        <v>0</v>
      </c>
      <c r="AX91" s="203">
        <v>0</v>
      </c>
      <c r="AY91" s="203">
        <v>0</v>
      </c>
      <c r="AZ91" s="217" t="s">
        <v>687</v>
      </c>
      <c r="BA91" s="217">
        <v>0</v>
      </c>
      <c r="BB91" s="203">
        <v>0</v>
      </c>
      <c r="BC91" s="203">
        <v>0</v>
      </c>
      <c r="BD91" s="307" t="s">
        <v>687</v>
      </c>
    </row>
    <row r="92" spans="1:56" x14ac:dyDescent="0.45">
      <c r="A92">
        <v>802</v>
      </c>
      <c r="B92" t="s">
        <v>87</v>
      </c>
      <c r="C92" s="238" t="s">
        <v>566</v>
      </c>
      <c r="D92" s="280">
        <v>63268315.32</v>
      </c>
      <c r="E92" s="203">
        <v>11236</v>
      </c>
      <c r="F92" s="282">
        <v>12333</v>
      </c>
      <c r="G92" s="286">
        <v>9.763260946956212E-2</v>
      </c>
      <c r="H92" s="160">
        <v>13487</v>
      </c>
      <c r="I92" s="159">
        <v>14941</v>
      </c>
      <c r="J92" s="159">
        <v>808</v>
      </c>
      <c r="K92" s="159">
        <v>110</v>
      </c>
      <c r="L92" s="159">
        <v>1720</v>
      </c>
      <c r="M92" s="170">
        <v>0.123244957293903</v>
      </c>
      <c r="N92" s="270">
        <v>11203</v>
      </c>
      <c r="O92" s="273">
        <v>11243</v>
      </c>
      <c r="P92" s="274">
        <v>3.57047219494778E-3</v>
      </c>
      <c r="Q92" s="273">
        <v>11950</v>
      </c>
      <c r="R92" s="272">
        <v>6.6678568240649799E-2</v>
      </c>
      <c r="S92" s="255">
        <v>96.9</v>
      </c>
      <c r="T92" s="256">
        <v>2.2999999999999998</v>
      </c>
      <c r="U92" s="256">
        <v>0.2</v>
      </c>
      <c r="V92" s="257">
        <v>99.3</v>
      </c>
      <c r="W92" s="160">
        <v>440</v>
      </c>
      <c r="X92" s="159">
        <v>0</v>
      </c>
      <c r="Y92" s="159">
        <v>0</v>
      </c>
      <c r="Z92" s="159">
        <v>0</v>
      </c>
      <c r="AA92" s="159">
        <v>0</v>
      </c>
      <c r="AB92" s="159">
        <v>7851</v>
      </c>
      <c r="AC92" s="159">
        <v>2500</v>
      </c>
      <c r="AD92" s="159">
        <v>1750</v>
      </c>
      <c r="AE92" s="159">
        <v>0</v>
      </c>
      <c r="AF92" s="203">
        <v>900</v>
      </c>
      <c r="AG92" s="237">
        <v>0</v>
      </c>
      <c r="AH92" s="233">
        <v>140</v>
      </c>
      <c r="AI92" s="233">
        <v>300</v>
      </c>
      <c r="AJ92" s="233">
        <v>0</v>
      </c>
      <c r="AK92" s="233">
        <v>0</v>
      </c>
      <c r="AL92" s="233">
        <v>0</v>
      </c>
      <c r="AM92" s="233">
        <v>0</v>
      </c>
      <c r="AN92" s="233">
        <v>1940</v>
      </c>
      <c r="AO92" s="233">
        <v>6556</v>
      </c>
      <c r="AP92" s="233">
        <v>2505</v>
      </c>
      <c r="AQ92" s="233">
        <v>2000</v>
      </c>
      <c r="AR92" s="238">
        <v>0</v>
      </c>
      <c r="AS92" s="217">
        <v>0</v>
      </c>
      <c r="AT92" s="203">
        <v>0</v>
      </c>
      <c r="AU92" s="203">
        <v>0</v>
      </c>
      <c r="AV92" s="217" t="s">
        <v>687</v>
      </c>
      <c r="AW92" s="217">
        <v>0</v>
      </c>
      <c r="AX92" s="203">
        <v>0</v>
      </c>
      <c r="AY92" s="203">
        <v>0</v>
      </c>
      <c r="AZ92" s="217" t="s">
        <v>687</v>
      </c>
      <c r="BA92" s="217">
        <v>0</v>
      </c>
      <c r="BB92" s="203">
        <v>0</v>
      </c>
      <c r="BC92" s="203">
        <v>0</v>
      </c>
      <c r="BD92" s="307" t="s">
        <v>687</v>
      </c>
    </row>
    <row r="93" spans="1:56" x14ac:dyDescent="0.45">
      <c r="A93">
        <v>392</v>
      </c>
      <c r="B93" t="s">
        <v>88</v>
      </c>
      <c r="C93" s="238" t="s">
        <v>572</v>
      </c>
      <c r="D93" s="280">
        <v>10503944.650000002</v>
      </c>
      <c r="E93" s="203">
        <v>10577</v>
      </c>
      <c r="F93" s="282">
        <v>11108</v>
      </c>
      <c r="G93" s="286">
        <v>5.0203271248936372E-2</v>
      </c>
      <c r="H93" s="160">
        <v>14245</v>
      </c>
      <c r="I93" s="159">
        <v>15578</v>
      </c>
      <c r="J93" s="159">
        <v>0</v>
      </c>
      <c r="K93" s="159">
        <v>10</v>
      </c>
      <c r="L93" s="159">
        <v>1440</v>
      </c>
      <c r="M93" s="170">
        <v>0.115195678539061</v>
      </c>
      <c r="N93" s="270">
        <v>10314</v>
      </c>
      <c r="O93" s="273">
        <v>10383</v>
      </c>
      <c r="P93" s="274">
        <v>6.68993600930774E-3</v>
      </c>
      <c r="Q93" s="273">
        <v>10363</v>
      </c>
      <c r="R93" s="272">
        <v>4.7508241225518704E-3</v>
      </c>
      <c r="S93" s="255">
        <v>84</v>
      </c>
      <c r="T93" s="256">
        <v>6.9</v>
      </c>
      <c r="U93" s="256">
        <v>1.6</v>
      </c>
      <c r="V93" s="257">
        <v>92.5</v>
      </c>
      <c r="W93" s="160">
        <v>0</v>
      </c>
      <c r="X93" s="159">
        <v>0</v>
      </c>
      <c r="Y93" s="159">
        <v>0</v>
      </c>
      <c r="Z93" s="159">
        <v>0</v>
      </c>
      <c r="AA93" s="159">
        <v>0</v>
      </c>
      <c r="AB93" s="159">
        <v>2006</v>
      </c>
      <c r="AC93" s="159">
        <v>6662</v>
      </c>
      <c r="AD93" s="159">
        <v>4012</v>
      </c>
      <c r="AE93" s="159">
        <v>450</v>
      </c>
      <c r="AF93" s="203">
        <v>0</v>
      </c>
      <c r="AG93" s="237">
        <v>0</v>
      </c>
      <c r="AH93" s="233">
        <v>0</v>
      </c>
      <c r="AI93" s="233">
        <v>0</v>
      </c>
      <c r="AJ93" s="233">
        <v>0</v>
      </c>
      <c r="AK93" s="233">
        <v>0</v>
      </c>
      <c r="AL93" s="233">
        <v>0</v>
      </c>
      <c r="AM93" s="233">
        <v>0</v>
      </c>
      <c r="AN93" s="233">
        <v>825</v>
      </c>
      <c r="AO93" s="233">
        <v>3715</v>
      </c>
      <c r="AP93" s="233">
        <v>2660</v>
      </c>
      <c r="AQ93" s="233">
        <v>2357</v>
      </c>
      <c r="AR93" s="238">
        <v>3573</v>
      </c>
      <c r="AS93" s="217">
        <v>0</v>
      </c>
      <c r="AT93" s="203">
        <v>0</v>
      </c>
      <c r="AU93" s="203">
        <v>0</v>
      </c>
      <c r="AV93" s="217" t="s">
        <v>687</v>
      </c>
      <c r="AW93" s="217">
        <v>0</v>
      </c>
      <c r="AX93" s="203">
        <v>0</v>
      </c>
      <c r="AY93" s="203">
        <v>0</v>
      </c>
      <c r="AZ93" s="217" t="s">
        <v>687</v>
      </c>
      <c r="BA93" s="217">
        <v>0</v>
      </c>
      <c r="BB93" s="203">
        <v>0</v>
      </c>
      <c r="BC93" s="203">
        <v>0</v>
      </c>
      <c r="BD93" s="307" t="s">
        <v>687</v>
      </c>
    </row>
    <row r="94" spans="1:56" x14ac:dyDescent="0.45">
      <c r="A94">
        <v>815</v>
      </c>
      <c r="B94" t="s">
        <v>89</v>
      </c>
      <c r="C94" s="238" t="s">
        <v>565</v>
      </c>
      <c r="D94" s="280">
        <v>66915138.379999995</v>
      </c>
      <c r="E94" s="203">
        <v>33816</v>
      </c>
      <c r="F94" s="282">
        <v>32675</v>
      </c>
      <c r="G94" s="286">
        <v>-3.3741424177903948E-2</v>
      </c>
      <c r="H94" s="160">
        <v>46653</v>
      </c>
      <c r="I94" s="159">
        <v>44640</v>
      </c>
      <c r="J94" s="159">
        <v>140</v>
      </c>
      <c r="K94" s="159">
        <v>320</v>
      </c>
      <c r="L94" s="159">
        <v>6800</v>
      </c>
      <c r="M94" s="170">
        <v>0.17368108195889501</v>
      </c>
      <c r="N94" s="270">
        <v>31039</v>
      </c>
      <c r="O94" s="273">
        <v>31684</v>
      </c>
      <c r="P94" s="274">
        <v>2.0780308643964001E-2</v>
      </c>
      <c r="Q94" s="273">
        <v>32335</v>
      </c>
      <c r="R94" s="272">
        <v>4.1753922484616103E-2</v>
      </c>
      <c r="S94" s="255">
        <v>88.8</v>
      </c>
      <c r="T94" s="256">
        <v>5.2</v>
      </c>
      <c r="U94" s="256">
        <v>1.3</v>
      </c>
      <c r="V94" s="257">
        <v>95.3</v>
      </c>
      <c r="W94" s="160">
        <v>111</v>
      </c>
      <c r="X94" s="159">
        <v>50</v>
      </c>
      <c r="Y94" s="159">
        <v>315</v>
      </c>
      <c r="Z94" s="159">
        <v>0</v>
      </c>
      <c r="AA94" s="159">
        <v>0</v>
      </c>
      <c r="AB94" s="159">
        <v>13005</v>
      </c>
      <c r="AC94" s="159">
        <v>20956</v>
      </c>
      <c r="AD94" s="159">
        <v>5283</v>
      </c>
      <c r="AE94" s="159">
        <v>1304</v>
      </c>
      <c r="AF94" s="203">
        <v>0</v>
      </c>
      <c r="AG94" s="237">
        <v>111</v>
      </c>
      <c r="AH94" s="233">
        <v>0</v>
      </c>
      <c r="AI94" s="233">
        <v>50</v>
      </c>
      <c r="AJ94" s="233">
        <v>0</v>
      </c>
      <c r="AK94" s="233">
        <v>15</v>
      </c>
      <c r="AL94" s="233">
        <v>300</v>
      </c>
      <c r="AM94" s="233">
        <v>5996</v>
      </c>
      <c r="AN94" s="233">
        <v>12277</v>
      </c>
      <c r="AO94" s="233">
        <v>17244</v>
      </c>
      <c r="AP94" s="233">
        <v>2619</v>
      </c>
      <c r="AQ94" s="233">
        <v>2112</v>
      </c>
      <c r="AR94" s="238">
        <v>300</v>
      </c>
      <c r="AS94" s="217">
        <v>0</v>
      </c>
      <c r="AT94" s="203">
        <v>0</v>
      </c>
      <c r="AU94" s="203">
        <v>0</v>
      </c>
      <c r="AV94" s="217" t="s">
        <v>687</v>
      </c>
      <c r="AW94" s="217">
        <v>0</v>
      </c>
      <c r="AX94" s="203">
        <v>0</v>
      </c>
      <c r="AY94" s="203">
        <v>0</v>
      </c>
      <c r="AZ94" s="217" t="s">
        <v>687</v>
      </c>
      <c r="BA94" s="217">
        <v>0</v>
      </c>
      <c r="BB94" s="203">
        <v>0</v>
      </c>
      <c r="BC94" s="203">
        <v>0</v>
      </c>
      <c r="BD94" s="307" t="s">
        <v>687</v>
      </c>
    </row>
    <row r="95" spans="1:56" x14ac:dyDescent="0.45">
      <c r="A95">
        <v>928</v>
      </c>
      <c r="B95" t="s">
        <v>90</v>
      </c>
      <c r="C95" s="238" t="s">
        <v>573</v>
      </c>
      <c r="D95" s="280">
        <v>106745115.98000002</v>
      </c>
      <c r="E95" s="203">
        <v>34432</v>
      </c>
      <c r="F95" s="282">
        <v>44902</v>
      </c>
      <c r="G95" s="286">
        <v>0.30407760223048325</v>
      </c>
      <c r="H95" s="160">
        <v>53703</v>
      </c>
      <c r="I95" s="159">
        <v>58936</v>
      </c>
      <c r="J95" s="159">
        <v>1085</v>
      </c>
      <c r="K95" s="159">
        <v>140</v>
      </c>
      <c r="L95" s="159">
        <v>5110</v>
      </c>
      <c r="M95" s="170">
        <v>0.102378260278575</v>
      </c>
      <c r="N95" s="270">
        <v>40024</v>
      </c>
      <c r="O95" s="273">
        <v>40664</v>
      </c>
      <c r="P95" s="274">
        <v>1.5990405756546099E-2</v>
      </c>
      <c r="Q95" s="273">
        <v>41490</v>
      </c>
      <c r="R95" s="272">
        <v>3.66280231860883E-2</v>
      </c>
      <c r="S95" s="255">
        <v>76.900000000000006</v>
      </c>
      <c r="T95" s="256">
        <v>13</v>
      </c>
      <c r="U95" s="256">
        <v>3.9</v>
      </c>
      <c r="V95" s="257">
        <v>93.9</v>
      </c>
      <c r="W95" s="160">
        <v>94</v>
      </c>
      <c r="X95" s="159">
        <v>0</v>
      </c>
      <c r="Y95" s="159">
        <v>0</v>
      </c>
      <c r="Z95" s="159">
        <v>0</v>
      </c>
      <c r="AA95" s="159">
        <v>0</v>
      </c>
      <c r="AB95" s="159">
        <v>10323</v>
      </c>
      <c r="AC95" s="159">
        <v>26125</v>
      </c>
      <c r="AD95" s="159">
        <v>16137</v>
      </c>
      <c r="AE95" s="159">
        <v>2430</v>
      </c>
      <c r="AF95" s="203">
        <v>0</v>
      </c>
      <c r="AG95" s="237">
        <v>94</v>
      </c>
      <c r="AH95" s="233">
        <v>0</v>
      </c>
      <c r="AI95" s="233">
        <v>0</v>
      </c>
      <c r="AJ95" s="233">
        <v>0</v>
      </c>
      <c r="AK95" s="233">
        <v>0</v>
      </c>
      <c r="AL95" s="233">
        <v>0</v>
      </c>
      <c r="AM95" s="233">
        <v>9099</v>
      </c>
      <c r="AN95" s="233">
        <v>7078</v>
      </c>
      <c r="AO95" s="233">
        <v>22470</v>
      </c>
      <c r="AP95" s="233">
        <v>10451</v>
      </c>
      <c r="AQ95" s="233">
        <v>1230</v>
      </c>
      <c r="AR95" s="238">
        <v>4687</v>
      </c>
      <c r="AS95" s="217">
        <v>0</v>
      </c>
      <c r="AT95" s="203">
        <v>0</v>
      </c>
      <c r="AU95" s="203">
        <v>0</v>
      </c>
      <c r="AV95" s="217" t="s">
        <v>687</v>
      </c>
      <c r="AW95" s="217">
        <v>0</v>
      </c>
      <c r="AX95" s="203">
        <v>0</v>
      </c>
      <c r="AY95" s="203">
        <v>0</v>
      </c>
      <c r="AZ95" s="217" t="s">
        <v>687</v>
      </c>
      <c r="BA95" s="217">
        <v>0</v>
      </c>
      <c r="BB95" s="203">
        <v>0</v>
      </c>
      <c r="BC95" s="203">
        <v>0</v>
      </c>
      <c r="BD95" s="307" t="s">
        <v>687</v>
      </c>
    </row>
    <row r="96" spans="1:56" x14ac:dyDescent="0.45">
      <c r="A96">
        <v>929</v>
      </c>
      <c r="B96" t="s">
        <v>91</v>
      </c>
      <c r="C96" s="238" t="s">
        <v>572</v>
      </c>
      <c r="D96" s="280">
        <v>18313907.600000001</v>
      </c>
      <c r="E96" s="203">
        <v>16516</v>
      </c>
      <c r="F96" s="282">
        <v>16110</v>
      </c>
      <c r="G96" s="286">
        <v>-2.4582223298619522E-2</v>
      </c>
      <c r="H96" s="160">
        <v>34304</v>
      </c>
      <c r="I96" s="159">
        <v>27191</v>
      </c>
      <c r="J96" s="159">
        <v>0</v>
      </c>
      <c r="K96" s="159">
        <v>0</v>
      </c>
      <c r="L96" s="159">
        <v>3540</v>
      </c>
      <c r="M96" s="170">
        <v>0.18025604633588399</v>
      </c>
      <c r="N96" s="270">
        <v>15560</v>
      </c>
      <c r="O96" s="273">
        <v>15659</v>
      </c>
      <c r="P96" s="274">
        <v>6.3624678663239103E-3</v>
      </c>
      <c r="Q96" s="273">
        <v>15939</v>
      </c>
      <c r="R96" s="272">
        <v>2.4357326478149099E-2</v>
      </c>
      <c r="S96" s="255">
        <v>98.4</v>
      </c>
      <c r="T96" s="256">
        <v>0.6</v>
      </c>
      <c r="U96" s="256">
        <v>0.1</v>
      </c>
      <c r="V96" s="257">
        <v>99.1</v>
      </c>
      <c r="W96" s="160">
        <v>0</v>
      </c>
      <c r="X96" s="159">
        <v>44</v>
      </c>
      <c r="Y96" s="159">
        <v>24</v>
      </c>
      <c r="Z96" s="159">
        <v>0</v>
      </c>
      <c r="AA96" s="159">
        <v>0</v>
      </c>
      <c r="AB96" s="159">
        <v>1758</v>
      </c>
      <c r="AC96" s="159">
        <v>11397</v>
      </c>
      <c r="AD96" s="159">
        <v>5429</v>
      </c>
      <c r="AE96" s="159">
        <v>1820</v>
      </c>
      <c r="AF96" s="203">
        <v>0</v>
      </c>
      <c r="AG96" s="237">
        <v>0</v>
      </c>
      <c r="AH96" s="233">
        <v>0</v>
      </c>
      <c r="AI96" s="233">
        <v>0</v>
      </c>
      <c r="AJ96" s="233">
        <v>0</v>
      </c>
      <c r="AK96" s="233">
        <v>0</v>
      </c>
      <c r="AL96" s="233">
        <v>68</v>
      </c>
      <c r="AM96" s="233">
        <v>0</v>
      </c>
      <c r="AN96" s="233">
        <v>0</v>
      </c>
      <c r="AO96" s="233">
        <v>5100</v>
      </c>
      <c r="AP96" s="233">
        <v>2769</v>
      </c>
      <c r="AQ96" s="233">
        <v>2715</v>
      </c>
      <c r="AR96" s="238">
        <v>9820</v>
      </c>
      <c r="AS96" s="217">
        <v>0</v>
      </c>
      <c r="AT96" s="203">
        <v>0</v>
      </c>
      <c r="AU96" s="203">
        <v>0</v>
      </c>
      <c r="AV96" s="217" t="s">
        <v>687</v>
      </c>
      <c r="AW96" s="217">
        <v>0</v>
      </c>
      <c r="AX96" s="203">
        <v>0</v>
      </c>
      <c r="AY96" s="203">
        <v>0</v>
      </c>
      <c r="AZ96" s="217" t="s">
        <v>687</v>
      </c>
      <c r="BA96" s="217">
        <v>0</v>
      </c>
      <c r="BB96" s="203">
        <v>0</v>
      </c>
      <c r="BC96" s="203">
        <v>0</v>
      </c>
      <c r="BD96" s="307" t="s">
        <v>687</v>
      </c>
    </row>
    <row r="97" spans="1:57" x14ac:dyDescent="0.45">
      <c r="A97">
        <v>892</v>
      </c>
      <c r="B97" t="s">
        <v>92</v>
      </c>
      <c r="C97" s="238" t="s">
        <v>573</v>
      </c>
      <c r="D97" s="280">
        <v>59129957.469999999</v>
      </c>
      <c r="E97" s="203">
        <v>9089</v>
      </c>
      <c r="F97" s="282">
        <v>16427</v>
      </c>
      <c r="G97" s="286">
        <v>0.80734954340411491</v>
      </c>
      <c r="H97" s="160">
        <v>17223</v>
      </c>
      <c r="I97" s="159">
        <v>19847</v>
      </c>
      <c r="J97" s="159">
        <v>568</v>
      </c>
      <c r="K97" s="159">
        <v>160</v>
      </c>
      <c r="L97" s="159">
        <v>1450</v>
      </c>
      <c r="M97" s="170">
        <v>8.1821912258601304E-2</v>
      </c>
      <c r="N97" s="270">
        <v>14560</v>
      </c>
      <c r="O97" s="273">
        <v>14764</v>
      </c>
      <c r="P97" s="274">
        <v>1.4010989010988999E-2</v>
      </c>
      <c r="Q97" s="273">
        <v>14698</v>
      </c>
      <c r="R97" s="272">
        <v>9.4780219780219808E-3</v>
      </c>
      <c r="S97" s="255">
        <v>75.8</v>
      </c>
      <c r="T97" s="256">
        <v>10</v>
      </c>
      <c r="U97" s="256">
        <v>4.7</v>
      </c>
      <c r="V97" s="257">
        <v>90.5</v>
      </c>
      <c r="W97" s="160">
        <v>0</v>
      </c>
      <c r="X97" s="159">
        <v>387</v>
      </c>
      <c r="Y97" s="159">
        <v>0</v>
      </c>
      <c r="Z97" s="159">
        <v>0</v>
      </c>
      <c r="AA97" s="159">
        <v>0</v>
      </c>
      <c r="AB97" s="159">
        <v>1800</v>
      </c>
      <c r="AC97" s="159">
        <v>11260</v>
      </c>
      <c r="AD97" s="159">
        <v>750</v>
      </c>
      <c r="AE97" s="159">
        <v>0</v>
      </c>
      <c r="AF97" s="203">
        <v>0</v>
      </c>
      <c r="AG97" s="237">
        <v>230</v>
      </c>
      <c r="AH97" s="233">
        <v>157</v>
      </c>
      <c r="AI97" s="233">
        <v>0</v>
      </c>
      <c r="AJ97" s="233">
        <v>0</v>
      </c>
      <c r="AK97" s="233">
        <v>0</v>
      </c>
      <c r="AL97" s="233">
        <v>0</v>
      </c>
      <c r="AM97" s="233">
        <v>790</v>
      </c>
      <c r="AN97" s="233">
        <v>6970</v>
      </c>
      <c r="AO97" s="233">
        <v>0</v>
      </c>
      <c r="AP97" s="233">
        <v>4350</v>
      </c>
      <c r="AQ97" s="233">
        <v>900</v>
      </c>
      <c r="AR97" s="238">
        <v>800</v>
      </c>
      <c r="AS97" s="217">
        <v>0</v>
      </c>
      <c r="AT97" s="203">
        <v>0</v>
      </c>
      <c r="AU97" s="203">
        <v>0</v>
      </c>
      <c r="AV97" s="217" t="s">
        <v>687</v>
      </c>
      <c r="AW97" s="217">
        <v>0</v>
      </c>
      <c r="AX97" s="203">
        <v>0</v>
      </c>
      <c r="AY97" s="203">
        <v>0</v>
      </c>
      <c r="AZ97" s="217" t="s">
        <v>687</v>
      </c>
      <c r="BA97" s="217">
        <v>0</v>
      </c>
      <c r="BB97" s="203">
        <v>0</v>
      </c>
      <c r="BC97" s="203">
        <v>0</v>
      </c>
      <c r="BD97" s="307" t="s">
        <v>687</v>
      </c>
    </row>
    <row r="98" spans="1:57" x14ac:dyDescent="0.45">
      <c r="A98">
        <v>891</v>
      </c>
      <c r="B98" s="208" t="s">
        <v>93</v>
      </c>
      <c r="C98" s="238" t="s">
        <v>573</v>
      </c>
      <c r="D98" s="280">
        <v>102343680.46000001</v>
      </c>
      <c r="E98" s="203">
        <v>43237</v>
      </c>
      <c r="F98" s="282">
        <v>46571</v>
      </c>
      <c r="G98" s="286">
        <v>7.7109882739320484E-2</v>
      </c>
      <c r="H98" s="160">
        <v>58377</v>
      </c>
      <c r="I98" s="159">
        <v>60225</v>
      </c>
      <c r="J98" s="159">
        <v>300</v>
      </c>
      <c r="K98" s="159">
        <v>890</v>
      </c>
      <c r="L98" s="159">
        <v>7240</v>
      </c>
      <c r="M98" s="170">
        <v>0.136756819437588</v>
      </c>
      <c r="N98" s="270">
        <v>41684</v>
      </c>
      <c r="O98" s="273">
        <v>43278</v>
      </c>
      <c r="P98" s="274">
        <v>3.8240092121677401E-2</v>
      </c>
      <c r="Q98" s="273">
        <v>42282</v>
      </c>
      <c r="R98" s="272">
        <v>1.4346032050666899E-2</v>
      </c>
      <c r="S98" s="255">
        <v>92.2</v>
      </c>
      <c r="T98" s="256">
        <v>4.5</v>
      </c>
      <c r="U98" s="256">
        <v>0.8</v>
      </c>
      <c r="V98" s="257">
        <v>97.5</v>
      </c>
      <c r="W98" s="160">
        <v>1446</v>
      </c>
      <c r="X98" s="159">
        <v>2066</v>
      </c>
      <c r="Y98" s="159">
        <v>197</v>
      </c>
      <c r="Z98" s="159">
        <v>186</v>
      </c>
      <c r="AA98" s="159">
        <v>270</v>
      </c>
      <c r="AB98" s="159">
        <v>14023</v>
      </c>
      <c r="AC98" s="159">
        <v>33071</v>
      </c>
      <c r="AD98" s="159">
        <v>4122</v>
      </c>
      <c r="AE98" s="159">
        <v>1615</v>
      </c>
      <c r="AF98" s="203">
        <v>600</v>
      </c>
      <c r="AG98" s="237">
        <v>961</v>
      </c>
      <c r="AH98" s="233">
        <v>1012</v>
      </c>
      <c r="AI98" s="233">
        <v>1107</v>
      </c>
      <c r="AJ98" s="233">
        <v>411</v>
      </c>
      <c r="AK98" s="233">
        <v>243</v>
      </c>
      <c r="AL98" s="233">
        <v>431</v>
      </c>
      <c r="AM98" s="233">
        <v>6072</v>
      </c>
      <c r="AN98" s="233">
        <v>13418</v>
      </c>
      <c r="AO98" s="233">
        <v>18676</v>
      </c>
      <c r="AP98" s="233">
        <v>6071</v>
      </c>
      <c r="AQ98" s="233">
        <v>5442</v>
      </c>
      <c r="AR98" s="238">
        <v>3752</v>
      </c>
      <c r="AS98" s="217">
        <v>1420225.3291583573</v>
      </c>
      <c r="AT98" s="203">
        <v>2</v>
      </c>
      <c r="AU98" s="203">
        <v>84</v>
      </c>
      <c r="AV98" s="217">
        <v>16907.44439474235</v>
      </c>
      <c r="AW98" s="217">
        <v>0</v>
      </c>
      <c r="AX98" s="203">
        <v>0</v>
      </c>
      <c r="AY98" s="203">
        <v>0</v>
      </c>
      <c r="AZ98" s="217" t="s">
        <v>687</v>
      </c>
      <c r="BA98" s="217">
        <v>0</v>
      </c>
      <c r="BB98" s="203">
        <v>0</v>
      </c>
      <c r="BC98" s="203">
        <v>0</v>
      </c>
      <c r="BD98" s="307" t="s">
        <v>687</v>
      </c>
    </row>
    <row r="99" spans="1:57" x14ac:dyDescent="0.45">
      <c r="A99">
        <v>353</v>
      </c>
      <c r="B99" t="s">
        <v>94</v>
      </c>
      <c r="C99" s="238" t="s">
        <v>569</v>
      </c>
      <c r="D99" s="280">
        <v>80818192.620000005</v>
      </c>
      <c r="E99" s="203">
        <v>15064</v>
      </c>
      <c r="F99" s="282">
        <v>17783</v>
      </c>
      <c r="G99" s="286">
        <v>0.18049654806160381</v>
      </c>
      <c r="H99" s="160">
        <v>17368</v>
      </c>
      <c r="I99" s="159">
        <v>18326</v>
      </c>
      <c r="J99" s="159">
        <v>858</v>
      </c>
      <c r="K99" s="159">
        <v>190</v>
      </c>
      <c r="L99" s="159">
        <v>270</v>
      </c>
      <c r="M99" s="170">
        <v>1.49652163602528E-2</v>
      </c>
      <c r="N99" s="270">
        <v>15755</v>
      </c>
      <c r="O99" s="273">
        <v>16352</v>
      </c>
      <c r="P99" s="274">
        <v>3.7892732465883802E-2</v>
      </c>
      <c r="Q99" s="273">
        <v>17096</v>
      </c>
      <c r="R99" s="272">
        <v>8.5115836242462703E-2</v>
      </c>
      <c r="S99" s="255">
        <v>74.599999999999994</v>
      </c>
      <c r="T99" s="256">
        <v>10.8</v>
      </c>
      <c r="U99" s="256">
        <v>3.7</v>
      </c>
      <c r="V99" s="257">
        <v>89.1</v>
      </c>
      <c r="W99" s="160">
        <v>0</v>
      </c>
      <c r="X99" s="159">
        <v>150</v>
      </c>
      <c r="Y99" s="159">
        <v>0</v>
      </c>
      <c r="Z99" s="159">
        <v>0</v>
      </c>
      <c r="AA99" s="159">
        <v>1500</v>
      </c>
      <c r="AB99" s="159">
        <v>3037</v>
      </c>
      <c r="AC99" s="159">
        <v>7939</v>
      </c>
      <c r="AD99" s="159">
        <v>1500</v>
      </c>
      <c r="AE99" s="159">
        <v>1500</v>
      </c>
      <c r="AF99" s="203">
        <v>0</v>
      </c>
      <c r="AG99" s="237">
        <v>0</v>
      </c>
      <c r="AH99" s="233">
        <v>0</v>
      </c>
      <c r="AI99" s="233">
        <v>0</v>
      </c>
      <c r="AJ99" s="233">
        <v>150</v>
      </c>
      <c r="AK99" s="233">
        <v>0</v>
      </c>
      <c r="AL99" s="233">
        <v>1500</v>
      </c>
      <c r="AM99" s="233">
        <v>0</v>
      </c>
      <c r="AN99" s="233">
        <v>1537</v>
      </c>
      <c r="AO99" s="233">
        <v>2250</v>
      </c>
      <c r="AP99" s="233">
        <v>7339</v>
      </c>
      <c r="AQ99" s="233">
        <v>2850</v>
      </c>
      <c r="AR99" s="238">
        <v>0</v>
      </c>
      <c r="AS99" s="217">
        <v>0</v>
      </c>
      <c r="AT99" s="203">
        <v>0</v>
      </c>
      <c r="AU99" s="203">
        <v>0</v>
      </c>
      <c r="AV99" s="217" t="s">
        <v>687</v>
      </c>
      <c r="AW99" s="217">
        <v>0</v>
      </c>
      <c r="AX99" s="203">
        <v>0</v>
      </c>
      <c r="AY99" s="203">
        <v>0</v>
      </c>
      <c r="AZ99" s="217" t="s">
        <v>687</v>
      </c>
      <c r="BA99" s="217">
        <v>0</v>
      </c>
      <c r="BB99" s="203">
        <v>0</v>
      </c>
      <c r="BC99" s="203">
        <v>0</v>
      </c>
      <c r="BD99" s="307" t="s">
        <v>687</v>
      </c>
    </row>
    <row r="100" spans="1:57" x14ac:dyDescent="0.45">
      <c r="A100">
        <v>931</v>
      </c>
      <c r="B100" t="s">
        <v>95</v>
      </c>
      <c r="C100" s="238" t="s">
        <v>570</v>
      </c>
      <c r="D100" s="280">
        <v>98809779.25</v>
      </c>
      <c r="E100" s="203">
        <v>29470</v>
      </c>
      <c r="F100" s="282">
        <v>36252</v>
      </c>
      <c r="G100" s="286">
        <v>0.23013233797081778</v>
      </c>
      <c r="H100" s="160">
        <v>42694</v>
      </c>
      <c r="I100" s="159">
        <v>49031</v>
      </c>
      <c r="J100" s="159">
        <v>1450</v>
      </c>
      <c r="K100" s="159">
        <v>350</v>
      </c>
      <c r="L100" s="159">
        <v>6850</v>
      </c>
      <c r="M100" s="170">
        <v>0.16024790724426899</v>
      </c>
      <c r="N100" s="270">
        <v>32435</v>
      </c>
      <c r="O100" s="273">
        <v>32894</v>
      </c>
      <c r="P100" s="274">
        <v>1.41513796824418E-2</v>
      </c>
      <c r="Q100" s="273">
        <v>33006</v>
      </c>
      <c r="R100" s="272">
        <v>1.76044396485278E-2</v>
      </c>
      <c r="S100" s="255">
        <v>85.5</v>
      </c>
      <c r="T100" s="256">
        <v>6.7</v>
      </c>
      <c r="U100" s="256">
        <v>1.8</v>
      </c>
      <c r="V100" s="257">
        <v>94</v>
      </c>
      <c r="W100" s="160">
        <v>0</v>
      </c>
      <c r="X100" s="159">
        <v>290</v>
      </c>
      <c r="Y100" s="159">
        <v>0</v>
      </c>
      <c r="Z100" s="159">
        <v>0</v>
      </c>
      <c r="AA100" s="159">
        <v>0</v>
      </c>
      <c r="AB100" s="159">
        <v>6889</v>
      </c>
      <c r="AC100" s="159">
        <v>32315</v>
      </c>
      <c r="AD100" s="159">
        <v>4654</v>
      </c>
      <c r="AE100" s="159">
        <v>1275</v>
      </c>
      <c r="AF100" s="203">
        <v>0</v>
      </c>
      <c r="AG100" s="237">
        <v>0</v>
      </c>
      <c r="AH100" s="233">
        <v>0</v>
      </c>
      <c r="AI100" s="233">
        <v>150</v>
      </c>
      <c r="AJ100" s="233">
        <v>0</v>
      </c>
      <c r="AK100" s="233">
        <v>0</v>
      </c>
      <c r="AL100" s="233">
        <v>140</v>
      </c>
      <c r="AM100" s="233">
        <v>6389</v>
      </c>
      <c r="AN100" s="233">
        <v>4452</v>
      </c>
      <c r="AO100" s="233">
        <v>28036</v>
      </c>
      <c r="AP100" s="233">
        <v>2281</v>
      </c>
      <c r="AQ100" s="233">
        <v>1322</v>
      </c>
      <c r="AR100" s="238">
        <v>2653</v>
      </c>
      <c r="AS100" s="217">
        <v>13934078.252611609</v>
      </c>
      <c r="AT100" s="203">
        <v>4</v>
      </c>
      <c r="AU100" s="203">
        <v>750</v>
      </c>
      <c r="AV100" s="217">
        <v>18578.771003482147</v>
      </c>
      <c r="AW100" s="217">
        <v>0</v>
      </c>
      <c r="AX100" s="203">
        <v>0</v>
      </c>
      <c r="AY100" s="203">
        <v>0</v>
      </c>
      <c r="AZ100" s="217" t="s">
        <v>687</v>
      </c>
      <c r="BA100" s="217">
        <v>23918637.981022667</v>
      </c>
      <c r="BB100" s="203">
        <v>1</v>
      </c>
      <c r="BC100" s="203">
        <v>1140</v>
      </c>
      <c r="BD100" s="307">
        <v>20981.261386861988</v>
      </c>
    </row>
    <row r="101" spans="1:57" x14ac:dyDescent="0.45">
      <c r="A101">
        <v>874</v>
      </c>
      <c r="B101" t="s">
        <v>96</v>
      </c>
      <c r="C101" s="238" t="s">
        <v>567</v>
      </c>
      <c r="D101" s="280">
        <v>62670289.299999997</v>
      </c>
      <c r="E101" s="203">
        <v>8761</v>
      </c>
      <c r="F101" s="282">
        <v>14780</v>
      </c>
      <c r="G101" s="286">
        <v>0.68702202944869306</v>
      </c>
      <c r="H101" s="160">
        <v>14649</v>
      </c>
      <c r="I101" s="159">
        <v>20379</v>
      </c>
      <c r="J101" s="159">
        <v>0</v>
      </c>
      <c r="K101" s="159">
        <v>0</v>
      </c>
      <c r="L101" s="159">
        <v>1660</v>
      </c>
      <c r="M101" s="170">
        <v>0.10074102398546</v>
      </c>
      <c r="N101" s="270">
        <v>12720</v>
      </c>
      <c r="O101" s="273">
        <v>12788</v>
      </c>
      <c r="P101" s="274">
        <v>5.3459119496855299E-3</v>
      </c>
      <c r="Q101" s="273">
        <v>13320</v>
      </c>
      <c r="R101" s="272">
        <v>4.71698113207547E-2</v>
      </c>
      <c r="S101" s="255">
        <v>84.1</v>
      </c>
      <c r="T101" s="256">
        <v>10.5</v>
      </c>
      <c r="U101" s="256">
        <v>2.4</v>
      </c>
      <c r="V101" s="257">
        <v>97</v>
      </c>
      <c r="W101" s="160">
        <v>0</v>
      </c>
      <c r="X101" s="159">
        <v>780</v>
      </c>
      <c r="Y101" s="159">
        <v>0</v>
      </c>
      <c r="Z101" s="159">
        <v>0</v>
      </c>
      <c r="AA101" s="159">
        <v>300</v>
      </c>
      <c r="AB101" s="159">
        <v>2810</v>
      </c>
      <c r="AC101" s="159">
        <v>11199</v>
      </c>
      <c r="AD101" s="159">
        <v>1600</v>
      </c>
      <c r="AE101" s="159">
        <v>0</v>
      </c>
      <c r="AF101" s="203">
        <v>1200</v>
      </c>
      <c r="AG101" s="237">
        <v>30</v>
      </c>
      <c r="AH101" s="233">
        <v>0</v>
      </c>
      <c r="AI101" s="233">
        <v>450</v>
      </c>
      <c r="AJ101" s="233">
        <v>300</v>
      </c>
      <c r="AK101" s="233">
        <v>0</v>
      </c>
      <c r="AL101" s="233">
        <v>300</v>
      </c>
      <c r="AM101" s="233">
        <v>1875</v>
      </c>
      <c r="AN101" s="233">
        <v>0</v>
      </c>
      <c r="AO101" s="233">
        <v>7773</v>
      </c>
      <c r="AP101" s="233">
        <v>5461</v>
      </c>
      <c r="AQ101" s="233">
        <v>0</v>
      </c>
      <c r="AR101" s="238">
        <v>1700</v>
      </c>
      <c r="AS101" s="217">
        <v>0</v>
      </c>
      <c r="AT101" s="203">
        <v>0</v>
      </c>
      <c r="AU101" s="203">
        <v>0</v>
      </c>
      <c r="AV101" s="217" t="s">
        <v>687</v>
      </c>
      <c r="AW101" s="217">
        <v>0</v>
      </c>
      <c r="AX101" s="203">
        <v>0</v>
      </c>
      <c r="AY101" s="203">
        <v>0</v>
      </c>
      <c r="AZ101" s="217" t="s">
        <v>687</v>
      </c>
      <c r="BA101" s="217">
        <v>0</v>
      </c>
      <c r="BB101" s="203">
        <v>0</v>
      </c>
      <c r="BC101" s="203">
        <v>0</v>
      </c>
      <c r="BD101" s="307" t="s">
        <v>687</v>
      </c>
    </row>
    <row r="102" spans="1:57" x14ac:dyDescent="0.45">
      <c r="A102">
        <v>879</v>
      </c>
      <c r="B102" t="s">
        <v>97</v>
      </c>
      <c r="C102" s="238" t="s">
        <v>566</v>
      </c>
      <c r="D102" s="280">
        <v>30115363.390000001</v>
      </c>
      <c r="E102" s="203">
        <v>14494</v>
      </c>
      <c r="F102" s="282">
        <v>14661</v>
      </c>
      <c r="G102" s="286">
        <v>1.1522009107216779E-2</v>
      </c>
      <c r="H102" s="160">
        <v>18891</v>
      </c>
      <c r="I102" s="159">
        <v>21127</v>
      </c>
      <c r="J102" s="159">
        <v>290</v>
      </c>
      <c r="K102" s="159">
        <v>0</v>
      </c>
      <c r="L102" s="159">
        <v>3270</v>
      </c>
      <c r="M102" s="170">
        <v>0.182299553159083</v>
      </c>
      <c r="N102" s="270">
        <v>13473</v>
      </c>
      <c r="O102" s="273">
        <v>13653</v>
      </c>
      <c r="P102" s="274">
        <v>1.33600534402138E-2</v>
      </c>
      <c r="Q102" s="273">
        <v>13600</v>
      </c>
      <c r="R102" s="272">
        <v>9.4262599272619298E-3</v>
      </c>
      <c r="S102" s="255">
        <v>88.8</v>
      </c>
      <c r="T102" s="256">
        <v>7.1</v>
      </c>
      <c r="U102" s="256">
        <v>2</v>
      </c>
      <c r="V102" s="257">
        <v>97.8</v>
      </c>
      <c r="W102" s="160">
        <v>30</v>
      </c>
      <c r="X102" s="159">
        <v>0</v>
      </c>
      <c r="Y102" s="159">
        <v>0</v>
      </c>
      <c r="Z102" s="159">
        <v>0</v>
      </c>
      <c r="AA102" s="159">
        <v>0</v>
      </c>
      <c r="AB102" s="159">
        <v>1160</v>
      </c>
      <c r="AC102" s="159">
        <v>9462</v>
      </c>
      <c r="AD102" s="159">
        <v>5159</v>
      </c>
      <c r="AE102" s="159">
        <v>4521</v>
      </c>
      <c r="AF102" s="203">
        <v>375</v>
      </c>
      <c r="AG102" s="237">
        <v>0</v>
      </c>
      <c r="AH102" s="233">
        <v>0</v>
      </c>
      <c r="AI102" s="233">
        <v>30</v>
      </c>
      <c r="AJ102" s="233">
        <v>0</v>
      </c>
      <c r="AK102" s="233">
        <v>0</v>
      </c>
      <c r="AL102" s="233">
        <v>0</v>
      </c>
      <c r="AM102" s="233">
        <v>840</v>
      </c>
      <c r="AN102" s="233">
        <v>0</v>
      </c>
      <c r="AO102" s="233">
        <v>12118</v>
      </c>
      <c r="AP102" s="233">
        <v>2830</v>
      </c>
      <c r="AQ102" s="233">
        <v>3864</v>
      </c>
      <c r="AR102" s="238">
        <v>1025</v>
      </c>
      <c r="AS102" s="217">
        <v>0</v>
      </c>
      <c r="AT102" s="203">
        <v>0</v>
      </c>
      <c r="AU102" s="203">
        <v>0</v>
      </c>
      <c r="AV102" s="217" t="s">
        <v>687</v>
      </c>
      <c r="AW102" s="217">
        <v>0</v>
      </c>
      <c r="AX102" s="203">
        <v>0</v>
      </c>
      <c r="AY102" s="203">
        <v>0</v>
      </c>
      <c r="AZ102" s="217" t="s">
        <v>687</v>
      </c>
      <c r="BA102" s="217">
        <v>0</v>
      </c>
      <c r="BB102" s="203">
        <v>0</v>
      </c>
      <c r="BC102" s="203">
        <v>0</v>
      </c>
      <c r="BD102" s="307" t="s">
        <v>687</v>
      </c>
    </row>
    <row r="103" spans="1:57" s="208" customFormat="1" x14ac:dyDescent="0.45">
      <c r="A103" s="208">
        <v>836</v>
      </c>
      <c r="B103" s="208" t="s">
        <v>725</v>
      </c>
      <c r="C103" s="316" t="s">
        <v>566</v>
      </c>
      <c r="D103" s="290">
        <v>25249525</v>
      </c>
      <c r="E103" s="227">
        <v>7477</v>
      </c>
      <c r="F103" s="291" t="s">
        <v>687</v>
      </c>
      <c r="G103" s="292" t="s">
        <v>687</v>
      </c>
      <c r="H103" s="293">
        <v>8523</v>
      </c>
      <c r="I103" s="294" t="s">
        <v>687</v>
      </c>
      <c r="J103" s="294" t="s">
        <v>687</v>
      </c>
      <c r="K103" s="294" t="s">
        <v>687</v>
      </c>
      <c r="L103" s="294" t="s">
        <v>687</v>
      </c>
      <c r="M103" s="295" t="s">
        <v>687</v>
      </c>
      <c r="N103" s="296" t="s">
        <v>687</v>
      </c>
      <c r="O103" s="297">
        <v>6767</v>
      </c>
      <c r="P103" s="298" t="s">
        <v>687</v>
      </c>
      <c r="Q103" s="297">
        <v>7120</v>
      </c>
      <c r="R103" s="299" t="s">
        <v>687</v>
      </c>
      <c r="S103" s="300">
        <v>78.7</v>
      </c>
      <c r="T103" s="300">
        <v>9</v>
      </c>
      <c r="U103" s="300">
        <v>1.6</v>
      </c>
      <c r="V103" s="300">
        <v>89.4</v>
      </c>
      <c r="W103" s="293" t="s">
        <v>687</v>
      </c>
      <c r="X103" s="294" t="s">
        <v>687</v>
      </c>
      <c r="Y103" s="294" t="s">
        <v>687</v>
      </c>
      <c r="Z103" s="294" t="s">
        <v>687</v>
      </c>
      <c r="AA103" s="294" t="s">
        <v>687</v>
      </c>
      <c r="AB103" s="294" t="s">
        <v>687</v>
      </c>
      <c r="AC103" s="294" t="s">
        <v>687</v>
      </c>
      <c r="AD103" s="294" t="s">
        <v>687</v>
      </c>
      <c r="AE103" s="294" t="s">
        <v>687</v>
      </c>
      <c r="AF103" s="301" t="s">
        <v>687</v>
      </c>
      <c r="AG103" s="227" t="s">
        <v>687</v>
      </c>
      <c r="AH103" s="227" t="s">
        <v>687</v>
      </c>
      <c r="AI103" s="227" t="s">
        <v>687</v>
      </c>
      <c r="AJ103" s="227" t="s">
        <v>687</v>
      </c>
      <c r="AK103" s="227" t="s">
        <v>687</v>
      </c>
      <c r="AL103" s="227" t="s">
        <v>687</v>
      </c>
      <c r="AM103" s="227" t="s">
        <v>687</v>
      </c>
      <c r="AN103" s="227" t="s">
        <v>687</v>
      </c>
      <c r="AO103" s="227" t="s">
        <v>687</v>
      </c>
      <c r="AP103" s="227" t="s">
        <v>687</v>
      </c>
      <c r="AQ103" s="227" t="s">
        <v>687</v>
      </c>
      <c r="AR103" s="227" t="s">
        <v>687</v>
      </c>
      <c r="AS103" s="293">
        <v>0</v>
      </c>
      <c r="AT103" s="227">
        <v>0</v>
      </c>
      <c r="AU103" s="227">
        <v>0</v>
      </c>
      <c r="AV103" s="305" t="s">
        <v>687</v>
      </c>
      <c r="AW103" s="227">
        <v>0</v>
      </c>
      <c r="AX103" s="227">
        <v>0</v>
      </c>
      <c r="AY103" s="227">
        <v>0</v>
      </c>
      <c r="AZ103" s="305" t="s">
        <v>687</v>
      </c>
      <c r="BA103" s="227">
        <v>0</v>
      </c>
      <c r="BB103" s="227">
        <v>0</v>
      </c>
      <c r="BC103" s="227">
        <v>0</v>
      </c>
      <c r="BD103" s="305" t="s">
        <v>687</v>
      </c>
      <c r="BE103" s="249"/>
    </row>
    <row r="104" spans="1:57" x14ac:dyDescent="0.45">
      <c r="A104">
        <v>851</v>
      </c>
      <c r="B104" t="s">
        <v>98</v>
      </c>
      <c r="C104" s="238" t="s">
        <v>570</v>
      </c>
      <c r="D104" s="280">
        <v>38790371.260000005</v>
      </c>
      <c r="E104" s="203">
        <v>8728</v>
      </c>
      <c r="F104" s="282">
        <v>10115</v>
      </c>
      <c r="G104" s="286">
        <v>0.15891384051329055</v>
      </c>
      <c r="H104" s="160">
        <v>10310</v>
      </c>
      <c r="I104" s="159">
        <v>11240</v>
      </c>
      <c r="J104" s="159">
        <v>810</v>
      </c>
      <c r="K104" s="159">
        <v>90</v>
      </c>
      <c r="L104" s="159">
        <v>1300</v>
      </c>
      <c r="M104" s="170">
        <v>0.115092674315975</v>
      </c>
      <c r="N104" s="270">
        <v>8878</v>
      </c>
      <c r="O104" s="273">
        <v>9049</v>
      </c>
      <c r="P104" s="274">
        <v>1.9261094841180399E-2</v>
      </c>
      <c r="Q104" s="273">
        <v>9143</v>
      </c>
      <c r="R104" s="272">
        <v>2.9849065104753301E-2</v>
      </c>
      <c r="S104" s="255">
        <v>87.7</v>
      </c>
      <c r="T104" s="256">
        <v>8.1999999999999993</v>
      </c>
      <c r="U104" s="256">
        <v>1.2</v>
      </c>
      <c r="V104" s="257">
        <v>97.1</v>
      </c>
      <c r="W104" s="160">
        <v>0</v>
      </c>
      <c r="X104" s="159">
        <v>115</v>
      </c>
      <c r="Y104" s="159">
        <v>0</v>
      </c>
      <c r="Z104" s="159">
        <v>0</v>
      </c>
      <c r="AA104" s="159">
        <v>150</v>
      </c>
      <c r="AB104" s="159">
        <v>1040</v>
      </c>
      <c r="AC104" s="159">
        <v>8065</v>
      </c>
      <c r="AD104" s="159">
        <v>1000</v>
      </c>
      <c r="AE104" s="159">
        <v>0</v>
      </c>
      <c r="AF104" s="203">
        <v>450</v>
      </c>
      <c r="AG104" s="237">
        <v>0</v>
      </c>
      <c r="AH104" s="233">
        <v>0</v>
      </c>
      <c r="AI104" s="233">
        <v>75</v>
      </c>
      <c r="AJ104" s="233">
        <v>0</v>
      </c>
      <c r="AK104" s="233">
        <v>40</v>
      </c>
      <c r="AL104" s="233">
        <v>150</v>
      </c>
      <c r="AM104" s="233">
        <v>0</v>
      </c>
      <c r="AN104" s="233">
        <v>1040</v>
      </c>
      <c r="AO104" s="233">
        <v>2000</v>
      </c>
      <c r="AP104" s="233">
        <v>3135</v>
      </c>
      <c r="AQ104" s="233">
        <v>3930</v>
      </c>
      <c r="AR104" s="238">
        <v>450</v>
      </c>
      <c r="AS104" s="217">
        <v>530571.68096920755</v>
      </c>
      <c r="AT104" s="203">
        <v>1</v>
      </c>
      <c r="AU104" s="203">
        <v>95</v>
      </c>
      <c r="AV104" s="217">
        <v>5584.965062833764</v>
      </c>
      <c r="AW104" s="217">
        <v>0</v>
      </c>
      <c r="AX104" s="203">
        <v>0</v>
      </c>
      <c r="AY104" s="203">
        <v>0</v>
      </c>
      <c r="AZ104" s="217" t="s">
        <v>687</v>
      </c>
      <c r="BA104" s="217">
        <v>0</v>
      </c>
      <c r="BB104" s="203">
        <v>0</v>
      </c>
      <c r="BC104" s="203">
        <v>0</v>
      </c>
      <c r="BD104" s="307" t="s">
        <v>687</v>
      </c>
    </row>
    <row r="105" spans="1:57" x14ac:dyDescent="0.45">
      <c r="A105">
        <v>870</v>
      </c>
      <c r="B105" t="s">
        <v>99</v>
      </c>
      <c r="C105" s="238" t="s">
        <v>570</v>
      </c>
      <c r="D105" s="280">
        <v>62103202.440000005</v>
      </c>
      <c r="E105" s="203">
        <v>4329</v>
      </c>
      <c r="F105" s="282">
        <v>8081</v>
      </c>
      <c r="G105" s="286">
        <v>0.86671286671286674</v>
      </c>
      <c r="H105" s="160">
        <v>7436</v>
      </c>
      <c r="I105" s="159">
        <v>10432</v>
      </c>
      <c r="J105" s="159">
        <v>715</v>
      </c>
      <c r="K105" s="159">
        <v>70</v>
      </c>
      <c r="L105" s="159">
        <v>1450</v>
      </c>
      <c r="M105" s="170">
        <v>0.15283436002859499</v>
      </c>
      <c r="N105" s="270">
        <v>6404</v>
      </c>
      <c r="O105" s="273">
        <v>6414</v>
      </c>
      <c r="P105" s="274">
        <v>1.5615240474703301E-3</v>
      </c>
      <c r="Q105" s="273">
        <v>6475</v>
      </c>
      <c r="R105" s="272">
        <v>1.1086820737039401E-2</v>
      </c>
      <c r="S105" s="255">
        <v>64.400000000000006</v>
      </c>
      <c r="T105" s="256">
        <v>14.1</v>
      </c>
      <c r="U105" s="256">
        <v>5.8</v>
      </c>
      <c r="V105" s="257">
        <v>84.3</v>
      </c>
      <c r="W105" s="160">
        <v>0</v>
      </c>
      <c r="X105" s="159">
        <v>0</v>
      </c>
      <c r="Y105" s="159">
        <v>150</v>
      </c>
      <c r="Z105" s="159">
        <v>0</v>
      </c>
      <c r="AA105" s="159">
        <v>0</v>
      </c>
      <c r="AB105" s="159">
        <v>2247</v>
      </c>
      <c r="AC105" s="159">
        <v>4438</v>
      </c>
      <c r="AD105" s="159">
        <v>2650</v>
      </c>
      <c r="AE105" s="159">
        <v>0</v>
      </c>
      <c r="AF105" s="203">
        <v>0</v>
      </c>
      <c r="AG105" s="237">
        <v>0</v>
      </c>
      <c r="AH105" s="233">
        <v>0</v>
      </c>
      <c r="AI105" s="233">
        <v>0</v>
      </c>
      <c r="AJ105" s="233">
        <v>0</v>
      </c>
      <c r="AK105" s="233">
        <v>150</v>
      </c>
      <c r="AL105" s="233">
        <v>0</v>
      </c>
      <c r="AM105" s="233">
        <v>1647</v>
      </c>
      <c r="AN105" s="233">
        <v>0</v>
      </c>
      <c r="AO105" s="233">
        <v>2362</v>
      </c>
      <c r="AP105" s="233">
        <v>0</v>
      </c>
      <c r="AQ105" s="233">
        <v>2650</v>
      </c>
      <c r="AR105" s="238">
        <v>2676</v>
      </c>
      <c r="AS105" s="217">
        <v>0</v>
      </c>
      <c r="AT105" s="203">
        <v>0</v>
      </c>
      <c r="AU105" s="203">
        <v>0</v>
      </c>
      <c r="AV105" s="217" t="s">
        <v>687</v>
      </c>
      <c r="AW105" s="217">
        <v>0</v>
      </c>
      <c r="AX105" s="203">
        <v>0</v>
      </c>
      <c r="AY105" s="203">
        <v>0</v>
      </c>
      <c r="AZ105" s="217" t="s">
        <v>687</v>
      </c>
      <c r="BA105" s="217">
        <v>0</v>
      </c>
      <c r="BB105" s="203">
        <v>0</v>
      </c>
      <c r="BC105" s="203">
        <v>0</v>
      </c>
      <c r="BD105" s="307" t="s">
        <v>687</v>
      </c>
    </row>
    <row r="106" spans="1:57" x14ac:dyDescent="0.45">
      <c r="A106">
        <v>317</v>
      </c>
      <c r="B106" t="s">
        <v>100</v>
      </c>
      <c r="C106" s="238" t="s">
        <v>564</v>
      </c>
      <c r="D106" s="280">
        <v>194310596.70999998</v>
      </c>
      <c r="E106" s="203">
        <v>16417</v>
      </c>
      <c r="F106" s="282">
        <v>20765</v>
      </c>
      <c r="G106" s="286">
        <v>0.26484741426570019</v>
      </c>
      <c r="H106" s="160">
        <v>20590</v>
      </c>
      <c r="I106" s="159">
        <v>30412</v>
      </c>
      <c r="J106" s="159">
        <v>0</v>
      </c>
      <c r="K106" s="159">
        <v>0</v>
      </c>
      <c r="L106" s="159">
        <v>670</v>
      </c>
      <c r="M106" s="170">
        <v>3.1233886496288998E-2</v>
      </c>
      <c r="N106" s="270">
        <v>19122</v>
      </c>
      <c r="O106" s="273">
        <v>19319</v>
      </c>
      <c r="P106" s="274">
        <v>1.0302269637067299E-2</v>
      </c>
      <c r="Q106" s="273">
        <v>19961</v>
      </c>
      <c r="R106" s="272">
        <v>4.3876163581215398E-2</v>
      </c>
      <c r="S106" s="255">
        <v>66.099999999999994</v>
      </c>
      <c r="T106" s="256">
        <v>14.3</v>
      </c>
      <c r="U106" s="256">
        <v>6.1</v>
      </c>
      <c r="V106" s="257">
        <v>86.5</v>
      </c>
      <c r="W106" s="160">
        <v>0</v>
      </c>
      <c r="X106" s="159">
        <v>0</v>
      </c>
      <c r="Y106" s="159">
        <v>0</v>
      </c>
      <c r="Z106" s="159">
        <v>0</v>
      </c>
      <c r="AA106" s="159">
        <v>0</v>
      </c>
      <c r="AB106" s="159">
        <v>16446</v>
      </c>
      <c r="AC106" s="159">
        <v>9992</v>
      </c>
      <c r="AD106" s="159">
        <v>1244</v>
      </c>
      <c r="AE106" s="159">
        <v>0</v>
      </c>
      <c r="AF106" s="203">
        <v>0</v>
      </c>
      <c r="AG106" s="237">
        <v>0</v>
      </c>
      <c r="AH106" s="233">
        <v>0</v>
      </c>
      <c r="AI106" s="233">
        <v>0</v>
      </c>
      <c r="AJ106" s="233">
        <v>0</v>
      </c>
      <c r="AK106" s="233">
        <v>0</v>
      </c>
      <c r="AL106" s="233">
        <v>0</v>
      </c>
      <c r="AM106" s="233">
        <v>12931</v>
      </c>
      <c r="AN106" s="233">
        <v>8373</v>
      </c>
      <c r="AO106" s="233">
        <v>5778</v>
      </c>
      <c r="AP106" s="233">
        <v>0</v>
      </c>
      <c r="AQ106" s="233">
        <v>0</v>
      </c>
      <c r="AR106" s="238">
        <v>600</v>
      </c>
      <c r="AS106" s="217">
        <v>35001531.109563902</v>
      </c>
      <c r="AT106" s="203">
        <v>3</v>
      </c>
      <c r="AU106" s="203">
        <v>1260</v>
      </c>
      <c r="AV106" s="217">
        <v>27778.992944098336</v>
      </c>
      <c r="AW106" s="217">
        <v>0</v>
      </c>
      <c r="AX106" s="203">
        <v>0</v>
      </c>
      <c r="AY106" s="203">
        <v>0</v>
      </c>
      <c r="AZ106" s="217" t="s">
        <v>687</v>
      </c>
      <c r="BA106" s="217">
        <v>0</v>
      </c>
      <c r="BB106" s="203">
        <v>0</v>
      </c>
      <c r="BC106" s="203">
        <v>0</v>
      </c>
      <c r="BD106" s="307" t="s">
        <v>687</v>
      </c>
    </row>
    <row r="107" spans="1:57" x14ac:dyDescent="0.45">
      <c r="A107">
        <v>807</v>
      </c>
      <c r="B107" t="s">
        <v>101</v>
      </c>
      <c r="C107" s="238" t="s">
        <v>572</v>
      </c>
      <c r="D107" s="280">
        <v>4621265.5699999994</v>
      </c>
      <c r="E107" s="203">
        <v>9132</v>
      </c>
      <c r="F107" s="282">
        <v>8195</v>
      </c>
      <c r="G107" s="286">
        <v>-0.10260621988611476</v>
      </c>
      <c r="H107" s="160">
        <v>11503</v>
      </c>
      <c r="I107" s="159">
        <v>9472</v>
      </c>
      <c r="J107" s="159">
        <v>0</v>
      </c>
      <c r="K107" s="159">
        <v>10</v>
      </c>
      <c r="L107" s="159">
        <v>1100</v>
      </c>
      <c r="M107" s="170">
        <v>0.117996882874919</v>
      </c>
      <c r="N107" s="270">
        <v>8037</v>
      </c>
      <c r="O107" s="273">
        <v>8009</v>
      </c>
      <c r="P107" s="274">
        <v>-3.48388702252084E-3</v>
      </c>
      <c r="Q107" s="273">
        <v>8098</v>
      </c>
      <c r="R107" s="272">
        <v>7.58989672763469E-3</v>
      </c>
      <c r="S107" s="255">
        <v>86.6</v>
      </c>
      <c r="T107" s="256">
        <v>7.3</v>
      </c>
      <c r="U107" s="256">
        <v>2</v>
      </c>
      <c r="V107" s="257">
        <v>95.9</v>
      </c>
      <c r="W107" s="160">
        <v>0</v>
      </c>
      <c r="X107" s="159">
        <v>0</v>
      </c>
      <c r="Y107" s="159">
        <v>0</v>
      </c>
      <c r="Z107" s="159">
        <v>0</v>
      </c>
      <c r="AA107" s="159">
        <v>0</v>
      </c>
      <c r="AB107" s="159">
        <v>806</v>
      </c>
      <c r="AC107" s="159">
        <v>2238</v>
      </c>
      <c r="AD107" s="159">
        <v>1362</v>
      </c>
      <c r="AE107" s="159">
        <v>2993</v>
      </c>
      <c r="AF107" s="203">
        <v>0</v>
      </c>
      <c r="AG107" s="237">
        <v>0</v>
      </c>
      <c r="AH107" s="233">
        <v>0</v>
      </c>
      <c r="AI107" s="233">
        <v>0</v>
      </c>
      <c r="AJ107" s="233">
        <v>0</v>
      </c>
      <c r="AK107" s="233">
        <v>0</v>
      </c>
      <c r="AL107" s="233">
        <v>0</v>
      </c>
      <c r="AM107" s="233">
        <v>806</v>
      </c>
      <c r="AN107" s="233">
        <v>0</v>
      </c>
      <c r="AO107" s="233">
        <v>563</v>
      </c>
      <c r="AP107" s="233">
        <v>1675</v>
      </c>
      <c r="AQ107" s="233">
        <v>4355</v>
      </c>
      <c r="AR107" s="238">
        <v>0</v>
      </c>
      <c r="AS107" s="217">
        <v>0</v>
      </c>
      <c r="AT107" s="203">
        <v>0</v>
      </c>
      <c r="AU107" s="203">
        <v>0</v>
      </c>
      <c r="AV107" s="217" t="s">
        <v>687</v>
      </c>
      <c r="AW107" s="217">
        <v>0</v>
      </c>
      <c r="AX107" s="203">
        <v>0</v>
      </c>
      <c r="AY107" s="203">
        <v>0</v>
      </c>
      <c r="AZ107" s="217" t="s">
        <v>687</v>
      </c>
      <c r="BA107" s="217">
        <v>0</v>
      </c>
      <c r="BB107" s="203">
        <v>0</v>
      </c>
      <c r="BC107" s="203">
        <v>0</v>
      </c>
      <c r="BD107" s="307" t="s">
        <v>687</v>
      </c>
    </row>
    <row r="108" spans="1:57" x14ac:dyDescent="0.45">
      <c r="A108">
        <v>318</v>
      </c>
      <c r="B108" t="s">
        <v>102</v>
      </c>
      <c r="C108" s="238" t="s">
        <v>564</v>
      </c>
      <c r="D108" s="280">
        <v>51590080.700000003</v>
      </c>
      <c r="E108" s="203">
        <v>6661</v>
      </c>
      <c r="F108" s="282">
        <v>9765</v>
      </c>
      <c r="G108" s="286">
        <v>0.46599609668217984</v>
      </c>
      <c r="H108" s="160">
        <v>7922</v>
      </c>
      <c r="I108" s="159">
        <v>12164</v>
      </c>
      <c r="J108" s="159">
        <v>30</v>
      </c>
      <c r="K108" s="159">
        <v>190</v>
      </c>
      <c r="L108" s="159">
        <v>920</v>
      </c>
      <c r="M108" s="170">
        <v>8.7338160016372998E-2</v>
      </c>
      <c r="N108" s="270">
        <v>8581</v>
      </c>
      <c r="O108" s="273">
        <v>8653</v>
      </c>
      <c r="P108" s="274">
        <v>8.3906304626500394E-3</v>
      </c>
      <c r="Q108" s="273">
        <v>8670</v>
      </c>
      <c r="R108" s="272">
        <v>1.03717515441091E-2</v>
      </c>
      <c r="S108" s="255">
        <v>60.8</v>
      </c>
      <c r="T108" s="256">
        <v>14.3</v>
      </c>
      <c r="U108" s="256">
        <v>7.4</v>
      </c>
      <c r="V108" s="257">
        <v>82.5</v>
      </c>
      <c r="W108" s="160">
        <v>0</v>
      </c>
      <c r="X108" s="159">
        <v>0</v>
      </c>
      <c r="Y108" s="159">
        <v>150</v>
      </c>
      <c r="Z108" s="159">
        <v>0</v>
      </c>
      <c r="AA108" s="159">
        <v>0</v>
      </c>
      <c r="AB108" s="159">
        <v>4714</v>
      </c>
      <c r="AC108" s="159">
        <v>4150</v>
      </c>
      <c r="AD108" s="159">
        <v>2250</v>
      </c>
      <c r="AE108" s="159">
        <v>0</v>
      </c>
      <c r="AF108" s="203">
        <v>900</v>
      </c>
      <c r="AG108" s="237">
        <v>0</v>
      </c>
      <c r="AH108" s="233">
        <v>150</v>
      </c>
      <c r="AI108" s="233">
        <v>0</v>
      </c>
      <c r="AJ108" s="233">
        <v>0</v>
      </c>
      <c r="AK108" s="233">
        <v>0</v>
      </c>
      <c r="AL108" s="233">
        <v>0</v>
      </c>
      <c r="AM108" s="233">
        <v>3914</v>
      </c>
      <c r="AN108" s="233">
        <v>2000</v>
      </c>
      <c r="AO108" s="233">
        <v>4150</v>
      </c>
      <c r="AP108" s="233">
        <v>0</v>
      </c>
      <c r="AQ108" s="233">
        <v>0</v>
      </c>
      <c r="AR108" s="238">
        <v>1950</v>
      </c>
      <c r="AS108" s="217">
        <v>0</v>
      </c>
      <c r="AT108" s="203">
        <v>0</v>
      </c>
      <c r="AU108" s="203">
        <v>0</v>
      </c>
      <c r="AV108" s="217" t="s">
        <v>687</v>
      </c>
      <c r="AW108" s="217">
        <v>0</v>
      </c>
      <c r="AX108" s="203">
        <v>0</v>
      </c>
      <c r="AY108" s="203">
        <v>0</v>
      </c>
      <c r="AZ108" s="217" t="s">
        <v>687</v>
      </c>
      <c r="BA108" s="217">
        <v>0</v>
      </c>
      <c r="BB108" s="203">
        <v>0</v>
      </c>
      <c r="BC108" s="203">
        <v>0</v>
      </c>
      <c r="BD108" s="307" t="s">
        <v>687</v>
      </c>
    </row>
    <row r="109" spans="1:57" x14ac:dyDescent="0.45">
      <c r="A109">
        <v>354</v>
      </c>
      <c r="B109" t="s">
        <v>103</v>
      </c>
      <c r="C109" s="238" t="s">
        <v>569</v>
      </c>
      <c r="D109" s="280">
        <v>62594960.490000002</v>
      </c>
      <c r="E109" s="203">
        <v>11900</v>
      </c>
      <c r="F109" s="282">
        <v>14255</v>
      </c>
      <c r="G109" s="286">
        <v>0.19789915966386554</v>
      </c>
      <c r="H109" s="160">
        <v>15361</v>
      </c>
      <c r="I109" s="159">
        <v>14130</v>
      </c>
      <c r="J109" s="159">
        <v>120</v>
      </c>
      <c r="K109" s="159">
        <v>540</v>
      </c>
      <c r="L109" s="159">
        <v>360</v>
      </c>
      <c r="M109" s="170">
        <v>2.5496353390358401E-2</v>
      </c>
      <c r="N109" s="270">
        <v>12712</v>
      </c>
      <c r="O109" s="273">
        <v>12865</v>
      </c>
      <c r="P109" s="274">
        <v>1.20358716173694E-2</v>
      </c>
      <c r="Q109" s="273">
        <v>13166</v>
      </c>
      <c r="R109" s="272">
        <v>3.5714285714285698E-2</v>
      </c>
      <c r="S109" s="255">
        <v>87.9</v>
      </c>
      <c r="T109" s="256">
        <v>6.7</v>
      </c>
      <c r="U109" s="256">
        <v>1.3</v>
      </c>
      <c r="V109" s="257">
        <v>95.9</v>
      </c>
      <c r="W109" s="160">
        <v>0</v>
      </c>
      <c r="X109" s="159">
        <v>300</v>
      </c>
      <c r="Y109" s="159">
        <v>0</v>
      </c>
      <c r="Z109" s="159">
        <v>0</v>
      </c>
      <c r="AA109" s="159">
        <v>0</v>
      </c>
      <c r="AB109" s="159">
        <v>1350</v>
      </c>
      <c r="AC109" s="159">
        <v>7830</v>
      </c>
      <c r="AD109" s="159">
        <v>4650</v>
      </c>
      <c r="AE109" s="159">
        <v>0</v>
      </c>
      <c r="AF109" s="203">
        <v>0</v>
      </c>
      <c r="AG109" s="237">
        <v>0</v>
      </c>
      <c r="AH109" s="233">
        <v>0</v>
      </c>
      <c r="AI109" s="233">
        <v>0</v>
      </c>
      <c r="AJ109" s="233">
        <v>300</v>
      </c>
      <c r="AK109" s="233">
        <v>0</v>
      </c>
      <c r="AL109" s="233">
        <v>0</v>
      </c>
      <c r="AM109" s="233">
        <v>750</v>
      </c>
      <c r="AN109" s="233">
        <v>0</v>
      </c>
      <c r="AO109" s="233">
        <v>4800</v>
      </c>
      <c r="AP109" s="233">
        <v>5130</v>
      </c>
      <c r="AQ109" s="233">
        <v>3150</v>
      </c>
      <c r="AR109" s="238">
        <v>0</v>
      </c>
      <c r="AS109" s="217">
        <v>4444978.5141468961</v>
      </c>
      <c r="AT109" s="203">
        <v>5</v>
      </c>
      <c r="AU109" s="203">
        <v>460</v>
      </c>
      <c r="AV109" s="217">
        <v>9662.9967698845576</v>
      </c>
      <c r="AW109" s="217">
        <v>0</v>
      </c>
      <c r="AX109" s="203">
        <v>0</v>
      </c>
      <c r="AY109" s="203">
        <v>0</v>
      </c>
      <c r="AZ109" s="217" t="s">
        <v>687</v>
      </c>
      <c r="BA109" s="217">
        <v>0</v>
      </c>
      <c r="BB109" s="203">
        <v>0</v>
      </c>
      <c r="BC109" s="203">
        <v>0</v>
      </c>
      <c r="BD109" s="307" t="s">
        <v>687</v>
      </c>
    </row>
    <row r="110" spans="1:57" x14ac:dyDescent="0.45">
      <c r="A110">
        <v>372</v>
      </c>
      <c r="B110" t="s">
        <v>104</v>
      </c>
      <c r="C110" s="238" t="s">
        <v>565</v>
      </c>
      <c r="D110" s="280">
        <v>31058098.27</v>
      </c>
      <c r="E110" s="203">
        <v>16336</v>
      </c>
      <c r="F110" s="282">
        <v>17827</v>
      </c>
      <c r="G110" s="286">
        <v>9.1270812928501463E-2</v>
      </c>
      <c r="H110" s="160">
        <v>20245</v>
      </c>
      <c r="I110" s="159">
        <v>20936</v>
      </c>
      <c r="J110" s="159">
        <v>375</v>
      </c>
      <c r="K110" s="159">
        <v>330</v>
      </c>
      <c r="L110" s="159">
        <v>1840</v>
      </c>
      <c r="M110" s="170">
        <v>9.5190898116273195E-2</v>
      </c>
      <c r="N110" s="270">
        <v>16307</v>
      </c>
      <c r="O110" s="273">
        <v>16636</v>
      </c>
      <c r="P110" s="274">
        <v>2.01753848040719E-2</v>
      </c>
      <c r="Q110" s="273">
        <v>16574</v>
      </c>
      <c r="R110" s="272">
        <v>1.6373336603912401E-2</v>
      </c>
      <c r="S110" s="255">
        <v>92.5</v>
      </c>
      <c r="T110" s="256">
        <v>4</v>
      </c>
      <c r="U110" s="256">
        <v>0.9</v>
      </c>
      <c r="V110" s="257">
        <v>97.3</v>
      </c>
      <c r="W110" s="160">
        <v>0</v>
      </c>
      <c r="X110" s="159">
        <v>150</v>
      </c>
      <c r="Y110" s="159">
        <v>0</v>
      </c>
      <c r="Z110" s="159">
        <v>0</v>
      </c>
      <c r="AA110" s="159">
        <v>0</v>
      </c>
      <c r="AB110" s="159">
        <v>2980</v>
      </c>
      <c r="AC110" s="159">
        <v>10928</v>
      </c>
      <c r="AD110" s="159">
        <v>1444</v>
      </c>
      <c r="AE110" s="159">
        <v>704</v>
      </c>
      <c r="AF110" s="203">
        <v>0</v>
      </c>
      <c r="AG110" s="237">
        <v>0</v>
      </c>
      <c r="AH110" s="233">
        <v>0</v>
      </c>
      <c r="AI110" s="233">
        <v>0</v>
      </c>
      <c r="AJ110" s="233">
        <v>150</v>
      </c>
      <c r="AK110" s="233">
        <v>0</v>
      </c>
      <c r="AL110" s="233">
        <v>0</v>
      </c>
      <c r="AM110" s="233">
        <v>0</v>
      </c>
      <c r="AN110" s="233">
        <v>2280</v>
      </c>
      <c r="AO110" s="233">
        <v>4605</v>
      </c>
      <c r="AP110" s="233">
        <v>8467</v>
      </c>
      <c r="AQ110" s="233">
        <v>704</v>
      </c>
      <c r="AR110" s="238">
        <v>0</v>
      </c>
      <c r="AS110" s="217">
        <v>4440501.1331081418</v>
      </c>
      <c r="AT110" s="203">
        <v>1</v>
      </c>
      <c r="AU110" s="203">
        <v>275</v>
      </c>
      <c r="AV110" s="217">
        <v>16147.276847665969</v>
      </c>
      <c r="AW110" s="217">
        <v>0</v>
      </c>
      <c r="AX110" s="203">
        <v>0</v>
      </c>
      <c r="AY110" s="203">
        <v>0</v>
      </c>
      <c r="AZ110" s="217" t="s">
        <v>687</v>
      </c>
      <c r="BA110" s="217">
        <v>0</v>
      </c>
      <c r="BB110" s="203">
        <v>0</v>
      </c>
      <c r="BC110" s="203">
        <v>0</v>
      </c>
      <c r="BD110" s="307" t="s">
        <v>687</v>
      </c>
    </row>
    <row r="111" spans="1:57" x14ac:dyDescent="0.45">
      <c r="A111">
        <v>857</v>
      </c>
      <c r="B111" t="s">
        <v>105</v>
      </c>
      <c r="C111" s="238" t="s">
        <v>573</v>
      </c>
      <c r="D111" s="280">
        <v>5972824.2599999998</v>
      </c>
      <c r="E111" s="203">
        <v>2377</v>
      </c>
      <c r="F111" s="282">
        <v>2826</v>
      </c>
      <c r="G111" s="286">
        <v>0.18889356331510307</v>
      </c>
      <c r="H111" s="160">
        <v>2751</v>
      </c>
      <c r="I111" s="159">
        <v>2865</v>
      </c>
      <c r="J111" s="159">
        <v>0</v>
      </c>
      <c r="K111" s="159">
        <v>40</v>
      </c>
      <c r="L111" s="159">
        <v>80</v>
      </c>
      <c r="M111" s="170">
        <v>2.8621291448516599E-2</v>
      </c>
      <c r="N111" s="270">
        <v>2591</v>
      </c>
      <c r="O111" s="273">
        <v>2624</v>
      </c>
      <c r="P111" s="274">
        <v>1.2736395214203E-2</v>
      </c>
      <c r="Q111" s="273">
        <v>2734</v>
      </c>
      <c r="R111" s="272">
        <v>5.5191045928213001E-2</v>
      </c>
      <c r="S111" s="255">
        <v>90.7</v>
      </c>
      <c r="T111" s="256">
        <v>4.4000000000000004</v>
      </c>
      <c r="U111" s="256">
        <v>0.3</v>
      </c>
      <c r="V111" s="257">
        <v>95.3</v>
      </c>
      <c r="W111" s="160">
        <v>150</v>
      </c>
      <c r="X111" s="159">
        <v>0</v>
      </c>
      <c r="Y111" s="159">
        <v>0</v>
      </c>
      <c r="Z111" s="159">
        <v>0</v>
      </c>
      <c r="AA111" s="159">
        <v>0</v>
      </c>
      <c r="AB111" s="159">
        <v>900</v>
      </c>
      <c r="AC111" s="159">
        <v>1815</v>
      </c>
      <c r="AD111" s="159">
        <v>0</v>
      </c>
      <c r="AE111" s="159">
        <v>0</v>
      </c>
      <c r="AF111" s="203">
        <v>0</v>
      </c>
      <c r="AG111" s="237">
        <v>150</v>
      </c>
      <c r="AH111" s="233">
        <v>0</v>
      </c>
      <c r="AI111" s="233">
        <v>0</v>
      </c>
      <c r="AJ111" s="233">
        <v>0</v>
      </c>
      <c r="AK111" s="233">
        <v>0</v>
      </c>
      <c r="AL111" s="233">
        <v>0</v>
      </c>
      <c r="AM111" s="233">
        <v>1800</v>
      </c>
      <c r="AN111" s="233">
        <v>0</v>
      </c>
      <c r="AO111" s="233">
        <v>915</v>
      </c>
      <c r="AP111" s="233">
        <v>0</v>
      </c>
      <c r="AQ111" s="233">
        <v>0</v>
      </c>
      <c r="AR111" s="238">
        <v>0</v>
      </c>
      <c r="AS111" s="217">
        <v>0</v>
      </c>
      <c r="AT111" s="203">
        <v>0</v>
      </c>
      <c r="AU111" s="203">
        <v>0</v>
      </c>
      <c r="AV111" s="217" t="s">
        <v>687</v>
      </c>
      <c r="AW111" s="217">
        <v>0</v>
      </c>
      <c r="AX111" s="203">
        <v>0</v>
      </c>
      <c r="AY111" s="203">
        <v>0</v>
      </c>
      <c r="AZ111" s="217" t="s">
        <v>687</v>
      </c>
      <c r="BA111" s="217">
        <v>0</v>
      </c>
      <c r="BB111" s="203">
        <v>0</v>
      </c>
      <c r="BC111" s="203">
        <v>0</v>
      </c>
      <c r="BD111" s="307" t="s">
        <v>687</v>
      </c>
    </row>
    <row r="112" spans="1:57" x14ac:dyDescent="0.45">
      <c r="A112">
        <v>355</v>
      </c>
      <c r="B112" t="s">
        <v>106</v>
      </c>
      <c r="C112" s="238" t="s">
        <v>569</v>
      </c>
      <c r="D112" s="280">
        <v>58319403.429999992</v>
      </c>
      <c r="E112" s="203">
        <v>9738</v>
      </c>
      <c r="F112" s="282">
        <v>12159</v>
      </c>
      <c r="G112" s="286">
        <v>0.24861367837338263</v>
      </c>
      <c r="H112" s="160">
        <v>13153</v>
      </c>
      <c r="I112" s="159">
        <v>12960</v>
      </c>
      <c r="J112" s="159">
        <v>135</v>
      </c>
      <c r="K112" s="159">
        <v>50</v>
      </c>
      <c r="L112" s="159">
        <v>740</v>
      </c>
      <c r="M112" s="170">
        <v>5.7431349328475399E-2</v>
      </c>
      <c r="N112" s="270">
        <v>11274</v>
      </c>
      <c r="O112" s="273">
        <v>11135</v>
      </c>
      <c r="P112" s="274">
        <v>-1.2329253148837999E-2</v>
      </c>
      <c r="Q112" s="273">
        <v>11058</v>
      </c>
      <c r="R112" s="272">
        <v>-1.9159127195316698E-2</v>
      </c>
      <c r="S112" s="255">
        <v>80.599999999999994</v>
      </c>
      <c r="T112" s="256">
        <v>8.1999999999999993</v>
      </c>
      <c r="U112" s="256">
        <v>2.5</v>
      </c>
      <c r="V112" s="257">
        <v>91.3</v>
      </c>
      <c r="W112" s="160">
        <v>0</v>
      </c>
      <c r="X112" s="159">
        <v>0</v>
      </c>
      <c r="Y112" s="159">
        <v>50</v>
      </c>
      <c r="Z112" s="159">
        <v>0</v>
      </c>
      <c r="AA112" s="159">
        <v>0</v>
      </c>
      <c r="AB112" s="159">
        <v>900</v>
      </c>
      <c r="AC112" s="159">
        <v>5375</v>
      </c>
      <c r="AD112" s="159">
        <v>4775</v>
      </c>
      <c r="AE112" s="159">
        <v>960</v>
      </c>
      <c r="AF112" s="203">
        <v>0</v>
      </c>
      <c r="AG112" s="237">
        <v>0</v>
      </c>
      <c r="AH112" s="233">
        <v>0</v>
      </c>
      <c r="AI112" s="233">
        <v>0</v>
      </c>
      <c r="AJ112" s="233">
        <v>0</v>
      </c>
      <c r="AK112" s="233">
        <v>0</v>
      </c>
      <c r="AL112" s="233">
        <v>50</v>
      </c>
      <c r="AM112" s="233">
        <v>1175</v>
      </c>
      <c r="AN112" s="233">
        <v>600</v>
      </c>
      <c r="AO112" s="233">
        <v>2400</v>
      </c>
      <c r="AP112" s="233">
        <v>0</v>
      </c>
      <c r="AQ112" s="233">
        <v>5010</v>
      </c>
      <c r="AR112" s="238">
        <v>2825</v>
      </c>
      <c r="AS112" s="217">
        <v>0</v>
      </c>
      <c r="AT112" s="203">
        <v>0</v>
      </c>
      <c r="AU112" s="203">
        <v>0</v>
      </c>
      <c r="AV112" s="217" t="s">
        <v>687</v>
      </c>
      <c r="AW112" s="217">
        <v>175973.81606594464</v>
      </c>
      <c r="AX112" s="203">
        <v>1</v>
      </c>
      <c r="AY112" s="203">
        <v>30</v>
      </c>
      <c r="AZ112" s="217">
        <v>5865.7938688648219</v>
      </c>
      <c r="BA112" s="217">
        <v>0</v>
      </c>
      <c r="BB112" s="203">
        <v>0</v>
      </c>
      <c r="BC112" s="203">
        <v>0</v>
      </c>
      <c r="BD112" s="307" t="s">
        <v>687</v>
      </c>
    </row>
    <row r="113" spans="1:56" x14ac:dyDescent="0.45">
      <c r="A113">
        <v>333</v>
      </c>
      <c r="B113" t="s">
        <v>107</v>
      </c>
      <c r="C113" s="238" t="s">
        <v>568</v>
      </c>
      <c r="D113" s="280">
        <v>111350997.27</v>
      </c>
      <c r="E113" s="203">
        <v>13080</v>
      </c>
      <c r="F113" s="282">
        <v>22574</v>
      </c>
      <c r="G113" s="286">
        <v>0.72584097859327212</v>
      </c>
      <c r="H113" s="160">
        <v>21792</v>
      </c>
      <c r="I113" s="159">
        <v>24371</v>
      </c>
      <c r="J113" s="159">
        <v>1415</v>
      </c>
      <c r="K113" s="159">
        <v>460</v>
      </c>
      <c r="L113" s="159">
        <v>1290</v>
      </c>
      <c r="M113" s="170">
        <v>5.5041256993542002E-2</v>
      </c>
      <c r="N113" s="270">
        <v>19849</v>
      </c>
      <c r="O113" s="273">
        <v>20084</v>
      </c>
      <c r="P113" s="274">
        <v>1.18393873746788E-2</v>
      </c>
      <c r="Q113" s="273">
        <v>20421</v>
      </c>
      <c r="R113" s="272">
        <v>2.8817572673686301E-2</v>
      </c>
      <c r="S113" s="255">
        <v>73.3</v>
      </c>
      <c r="T113" s="256">
        <v>11.9</v>
      </c>
      <c r="U113" s="256">
        <v>4.4000000000000004</v>
      </c>
      <c r="V113" s="257">
        <v>89.6</v>
      </c>
      <c r="W113" s="160">
        <v>0</v>
      </c>
      <c r="X113" s="159">
        <v>0</v>
      </c>
      <c r="Y113" s="159">
        <v>0</v>
      </c>
      <c r="Z113" s="159">
        <v>0</v>
      </c>
      <c r="AA113" s="159">
        <v>0</v>
      </c>
      <c r="AB113" s="159">
        <v>4000</v>
      </c>
      <c r="AC113" s="159">
        <v>12602</v>
      </c>
      <c r="AD113" s="159">
        <v>4855</v>
      </c>
      <c r="AE113" s="159">
        <v>1476</v>
      </c>
      <c r="AF113" s="203">
        <v>0</v>
      </c>
      <c r="AG113" s="237">
        <v>0</v>
      </c>
      <c r="AH113" s="233">
        <v>0</v>
      </c>
      <c r="AI113" s="233">
        <v>0</v>
      </c>
      <c r="AJ113" s="233">
        <v>0</v>
      </c>
      <c r="AK113" s="233">
        <v>0</v>
      </c>
      <c r="AL113" s="233">
        <v>0</v>
      </c>
      <c r="AM113" s="233">
        <v>0</v>
      </c>
      <c r="AN113" s="233">
        <v>2153</v>
      </c>
      <c r="AO113" s="233">
        <v>10573</v>
      </c>
      <c r="AP113" s="233">
        <v>7583</v>
      </c>
      <c r="AQ113" s="233">
        <v>1394</v>
      </c>
      <c r="AR113" s="238">
        <v>1230</v>
      </c>
      <c r="AS113" s="217">
        <v>6787035.9880669406</v>
      </c>
      <c r="AT113" s="203">
        <v>1</v>
      </c>
      <c r="AU113" s="203">
        <v>300</v>
      </c>
      <c r="AV113" s="217">
        <v>22623.453293556468</v>
      </c>
      <c r="AW113" s="217">
        <v>0</v>
      </c>
      <c r="AX113" s="203">
        <v>0</v>
      </c>
      <c r="AY113" s="203">
        <v>0</v>
      </c>
      <c r="AZ113" s="217" t="s">
        <v>687</v>
      </c>
      <c r="BA113" s="217">
        <v>19625670.483509026</v>
      </c>
      <c r="BB113" s="203">
        <v>1</v>
      </c>
      <c r="BC113" s="203">
        <v>720</v>
      </c>
      <c r="BD113" s="307">
        <v>27257.875671540314</v>
      </c>
    </row>
    <row r="114" spans="1:56" x14ac:dyDescent="0.45">
      <c r="A114">
        <v>343</v>
      </c>
      <c r="B114" t="s">
        <v>108</v>
      </c>
      <c r="C114" s="238" t="s">
        <v>569</v>
      </c>
      <c r="D114" s="280">
        <v>11696194.91</v>
      </c>
      <c r="E114" s="203">
        <v>16760</v>
      </c>
      <c r="F114" s="282">
        <v>14961</v>
      </c>
      <c r="G114" s="286">
        <v>-0.10733890214797136</v>
      </c>
      <c r="H114" s="160">
        <v>21574</v>
      </c>
      <c r="I114" s="159">
        <v>19395</v>
      </c>
      <c r="J114" s="159">
        <v>0</v>
      </c>
      <c r="K114" s="159">
        <v>60</v>
      </c>
      <c r="L114" s="159">
        <v>2720</v>
      </c>
      <c r="M114" s="170">
        <v>0.15445332475894599</v>
      </c>
      <c r="N114" s="270">
        <v>14176</v>
      </c>
      <c r="O114" s="273">
        <v>14438</v>
      </c>
      <c r="P114" s="274">
        <v>1.8481941309255099E-2</v>
      </c>
      <c r="Q114" s="273">
        <v>14525</v>
      </c>
      <c r="R114" s="272">
        <v>2.46190744920993E-2</v>
      </c>
      <c r="S114" s="255">
        <v>86.6</v>
      </c>
      <c r="T114" s="256">
        <v>9</v>
      </c>
      <c r="U114" s="256">
        <v>1.7</v>
      </c>
      <c r="V114" s="257">
        <v>97.3</v>
      </c>
      <c r="W114" s="160">
        <v>0</v>
      </c>
      <c r="X114" s="159">
        <v>0</v>
      </c>
      <c r="Y114" s="159">
        <v>0</v>
      </c>
      <c r="Z114" s="159">
        <v>0</v>
      </c>
      <c r="AA114" s="159">
        <v>0</v>
      </c>
      <c r="AB114" s="159">
        <v>2936</v>
      </c>
      <c r="AC114" s="159">
        <v>5444</v>
      </c>
      <c r="AD114" s="159">
        <v>8483</v>
      </c>
      <c r="AE114" s="159">
        <v>1779</v>
      </c>
      <c r="AF114" s="203">
        <v>0</v>
      </c>
      <c r="AG114" s="237">
        <v>0</v>
      </c>
      <c r="AH114" s="233">
        <v>0</v>
      </c>
      <c r="AI114" s="233">
        <v>0</v>
      </c>
      <c r="AJ114" s="233">
        <v>0</v>
      </c>
      <c r="AK114" s="233">
        <v>0</v>
      </c>
      <c r="AL114" s="233">
        <v>0</v>
      </c>
      <c r="AM114" s="233">
        <v>0</v>
      </c>
      <c r="AN114" s="233">
        <v>1030</v>
      </c>
      <c r="AO114" s="233">
        <v>6614</v>
      </c>
      <c r="AP114" s="233">
        <v>5891</v>
      </c>
      <c r="AQ114" s="233">
        <v>5107</v>
      </c>
      <c r="AR114" s="238">
        <v>0</v>
      </c>
      <c r="AS114" s="217">
        <v>0</v>
      </c>
      <c r="AT114" s="203">
        <v>0</v>
      </c>
      <c r="AU114" s="203">
        <v>0</v>
      </c>
      <c r="AV114" s="217" t="s">
        <v>687</v>
      </c>
      <c r="AW114" s="217">
        <v>0</v>
      </c>
      <c r="AX114" s="203">
        <v>0</v>
      </c>
      <c r="AY114" s="203">
        <v>0</v>
      </c>
      <c r="AZ114" s="217" t="s">
        <v>687</v>
      </c>
      <c r="BA114" s="217">
        <v>0</v>
      </c>
      <c r="BB114" s="203">
        <v>0</v>
      </c>
      <c r="BC114" s="203">
        <v>0</v>
      </c>
      <c r="BD114" s="307" t="s">
        <v>687</v>
      </c>
    </row>
    <row r="115" spans="1:56" x14ac:dyDescent="0.45">
      <c r="A115">
        <v>373</v>
      </c>
      <c r="B115" t="s">
        <v>109</v>
      </c>
      <c r="C115" s="238" t="s">
        <v>565</v>
      </c>
      <c r="D115" s="280">
        <v>122132505.71000001</v>
      </c>
      <c r="E115" s="203">
        <v>24753</v>
      </c>
      <c r="F115" s="282">
        <v>29897</v>
      </c>
      <c r="G115" s="286">
        <v>0.20781319436027956</v>
      </c>
      <c r="H115" s="160">
        <v>31616</v>
      </c>
      <c r="I115" s="159">
        <v>37299</v>
      </c>
      <c r="J115" s="159">
        <v>135</v>
      </c>
      <c r="K115" s="159">
        <v>620</v>
      </c>
      <c r="L115" s="159">
        <v>2560</v>
      </c>
      <c r="M115" s="170">
        <v>8.0340374642415405E-2</v>
      </c>
      <c r="N115" s="270">
        <v>27458</v>
      </c>
      <c r="O115" s="273">
        <v>27817</v>
      </c>
      <c r="P115" s="274">
        <v>1.3074513802899E-2</v>
      </c>
      <c r="Q115" s="273">
        <v>28084</v>
      </c>
      <c r="R115" s="272">
        <v>2.2798455823439399E-2</v>
      </c>
      <c r="S115" s="255">
        <v>89.8</v>
      </c>
      <c r="T115" s="256">
        <v>5.3</v>
      </c>
      <c r="U115" s="256">
        <v>1.7</v>
      </c>
      <c r="V115" s="257">
        <v>96.9</v>
      </c>
      <c r="W115" s="160">
        <v>120</v>
      </c>
      <c r="X115" s="159">
        <v>1326</v>
      </c>
      <c r="Y115" s="159">
        <v>0</v>
      </c>
      <c r="Z115" s="159">
        <v>0</v>
      </c>
      <c r="AA115" s="159">
        <v>1950</v>
      </c>
      <c r="AB115" s="159">
        <v>6599</v>
      </c>
      <c r="AC115" s="159">
        <v>14816</v>
      </c>
      <c r="AD115" s="159">
        <v>7228</v>
      </c>
      <c r="AE115" s="159">
        <v>0</v>
      </c>
      <c r="AF115" s="203">
        <v>0</v>
      </c>
      <c r="AG115" s="237">
        <v>120</v>
      </c>
      <c r="AH115" s="233">
        <v>306</v>
      </c>
      <c r="AI115" s="233">
        <v>30</v>
      </c>
      <c r="AJ115" s="233">
        <v>0</v>
      </c>
      <c r="AK115" s="233">
        <v>0</v>
      </c>
      <c r="AL115" s="233">
        <v>2940</v>
      </c>
      <c r="AM115" s="233">
        <v>2473</v>
      </c>
      <c r="AN115" s="233">
        <v>8402</v>
      </c>
      <c r="AO115" s="233">
        <v>13455</v>
      </c>
      <c r="AP115" s="233">
        <v>2213</v>
      </c>
      <c r="AQ115" s="233">
        <v>900</v>
      </c>
      <c r="AR115" s="238">
        <v>1200</v>
      </c>
      <c r="AS115" s="217">
        <v>25158046.586618043</v>
      </c>
      <c r="AT115" s="203">
        <v>1</v>
      </c>
      <c r="AU115" s="203">
        <v>1222</v>
      </c>
      <c r="AV115" s="217">
        <v>20587.599498050771</v>
      </c>
      <c r="AW115" s="217">
        <v>644473.49353942834</v>
      </c>
      <c r="AX115" s="203">
        <v>1</v>
      </c>
      <c r="AY115" s="203">
        <v>60</v>
      </c>
      <c r="AZ115" s="217">
        <v>10741.224892323806</v>
      </c>
      <c r="BA115" s="217">
        <v>0</v>
      </c>
      <c r="BB115" s="203">
        <v>0</v>
      </c>
      <c r="BC115" s="203">
        <v>0</v>
      </c>
      <c r="BD115" s="307" t="s">
        <v>687</v>
      </c>
    </row>
    <row r="116" spans="1:56" x14ac:dyDescent="0.45">
      <c r="A116">
        <v>893</v>
      </c>
      <c r="B116" t="s">
        <v>110</v>
      </c>
      <c r="C116" s="238" t="s">
        <v>568</v>
      </c>
      <c r="D116" s="280">
        <v>19171734.800000001</v>
      </c>
      <c r="E116" s="203">
        <v>15994</v>
      </c>
      <c r="F116" s="282">
        <v>15621</v>
      </c>
      <c r="G116" s="286">
        <v>-2.3321245467050142E-2</v>
      </c>
      <c r="H116" s="160">
        <v>18782</v>
      </c>
      <c r="I116" s="159">
        <v>18426</v>
      </c>
      <c r="J116" s="159">
        <v>150</v>
      </c>
      <c r="K116" s="159">
        <v>250</v>
      </c>
      <c r="L116" s="159">
        <v>2000</v>
      </c>
      <c r="M116" s="170">
        <v>0.11518430232683601</v>
      </c>
      <c r="N116" s="270">
        <v>14808</v>
      </c>
      <c r="O116" s="273">
        <v>14978</v>
      </c>
      <c r="P116" s="274">
        <v>1.1480280929227401E-2</v>
      </c>
      <c r="Q116" s="273">
        <v>15043</v>
      </c>
      <c r="R116" s="272">
        <v>1.5869800108049701E-2</v>
      </c>
      <c r="S116" s="255">
        <v>90.3</v>
      </c>
      <c r="T116" s="256">
        <v>5.3</v>
      </c>
      <c r="U116" s="256">
        <v>1.1000000000000001</v>
      </c>
      <c r="V116" s="257">
        <v>96.6</v>
      </c>
      <c r="W116" s="160">
        <v>0</v>
      </c>
      <c r="X116" s="159">
        <v>0</v>
      </c>
      <c r="Y116" s="159">
        <v>0</v>
      </c>
      <c r="Z116" s="159">
        <v>0</v>
      </c>
      <c r="AA116" s="159">
        <v>0</v>
      </c>
      <c r="AB116" s="159">
        <v>1680</v>
      </c>
      <c r="AC116" s="159">
        <v>13695</v>
      </c>
      <c r="AD116" s="159">
        <v>1656</v>
      </c>
      <c r="AE116" s="159">
        <v>1185</v>
      </c>
      <c r="AF116" s="203">
        <v>0</v>
      </c>
      <c r="AG116" s="237">
        <v>0</v>
      </c>
      <c r="AH116" s="233">
        <v>0</v>
      </c>
      <c r="AI116" s="233">
        <v>0</v>
      </c>
      <c r="AJ116" s="233">
        <v>0</v>
      </c>
      <c r="AK116" s="233">
        <v>0</v>
      </c>
      <c r="AL116" s="233">
        <v>0</v>
      </c>
      <c r="AM116" s="233">
        <v>771</v>
      </c>
      <c r="AN116" s="233">
        <v>3829</v>
      </c>
      <c r="AO116" s="233">
        <v>6196</v>
      </c>
      <c r="AP116" s="233">
        <v>2370</v>
      </c>
      <c r="AQ116" s="233">
        <v>1185</v>
      </c>
      <c r="AR116" s="238">
        <v>3865</v>
      </c>
      <c r="AS116" s="217">
        <v>0</v>
      </c>
      <c r="AT116" s="203">
        <v>0</v>
      </c>
      <c r="AU116" s="203">
        <v>0</v>
      </c>
      <c r="AV116" s="217" t="s">
        <v>687</v>
      </c>
      <c r="AW116" s="217">
        <v>0</v>
      </c>
      <c r="AX116" s="203">
        <v>0</v>
      </c>
      <c r="AY116" s="203">
        <v>0</v>
      </c>
      <c r="AZ116" s="217" t="s">
        <v>687</v>
      </c>
      <c r="BA116" s="217">
        <v>0</v>
      </c>
      <c r="BB116" s="203">
        <v>0</v>
      </c>
      <c r="BC116" s="203">
        <v>0</v>
      </c>
      <c r="BD116" s="307" t="s">
        <v>687</v>
      </c>
    </row>
    <row r="117" spans="1:56" x14ac:dyDescent="0.45">
      <c r="A117">
        <v>871</v>
      </c>
      <c r="B117" t="s">
        <v>111</v>
      </c>
      <c r="C117" s="238" t="s">
        <v>570</v>
      </c>
      <c r="D117" s="280">
        <v>82225167.239999995</v>
      </c>
      <c r="E117" s="203">
        <v>7250</v>
      </c>
      <c r="F117" s="282">
        <v>12292</v>
      </c>
      <c r="G117" s="286">
        <v>0.69544827586206892</v>
      </c>
      <c r="H117" s="160">
        <v>10444</v>
      </c>
      <c r="I117" s="159">
        <v>17001</v>
      </c>
      <c r="J117" s="159">
        <v>0</v>
      </c>
      <c r="K117" s="159">
        <v>0</v>
      </c>
      <c r="L117" s="159">
        <v>970</v>
      </c>
      <c r="M117" s="170">
        <v>7.3191662946061303E-2</v>
      </c>
      <c r="N117" s="270">
        <v>10536</v>
      </c>
      <c r="O117" s="273">
        <v>10446</v>
      </c>
      <c r="P117" s="274">
        <v>-8.5421412300683407E-3</v>
      </c>
      <c r="Q117" s="273">
        <v>10630</v>
      </c>
      <c r="R117" s="272">
        <v>8.9217919514047103E-3</v>
      </c>
      <c r="S117" s="255">
        <v>62.8</v>
      </c>
      <c r="T117" s="256">
        <v>13.7</v>
      </c>
      <c r="U117" s="256">
        <v>6.3</v>
      </c>
      <c r="V117" s="257">
        <v>82.8</v>
      </c>
      <c r="W117" s="160">
        <v>335</v>
      </c>
      <c r="X117" s="159">
        <v>409</v>
      </c>
      <c r="Y117" s="159">
        <v>0</v>
      </c>
      <c r="Z117" s="159">
        <v>0</v>
      </c>
      <c r="AA117" s="159">
        <v>0</v>
      </c>
      <c r="AB117" s="159">
        <v>8129</v>
      </c>
      <c r="AC117" s="159">
        <v>4143</v>
      </c>
      <c r="AD117" s="159">
        <v>905</v>
      </c>
      <c r="AE117" s="159">
        <v>1140</v>
      </c>
      <c r="AF117" s="203">
        <v>1100</v>
      </c>
      <c r="AG117" s="237">
        <v>0</v>
      </c>
      <c r="AH117" s="233">
        <v>335</v>
      </c>
      <c r="AI117" s="233">
        <v>0</v>
      </c>
      <c r="AJ117" s="233">
        <v>0</v>
      </c>
      <c r="AK117" s="233">
        <v>409</v>
      </c>
      <c r="AL117" s="233">
        <v>0</v>
      </c>
      <c r="AM117" s="233">
        <v>5929</v>
      </c>
      <c r="AN117" s="233">
        <v>3054</v>
      </c>
      <c r="AO117" s="233">
        <v>2260</v>
      </c>
      <c r="AP117" s="233">
        <v>905</v>
      </c>
      <c r="AQ117" s="233">
        <v>1029</v>
      </c>
      <c r="AR117" s="238">
        <v>2240</v>
      </c>
      <c r="AS117" s="217">
        <v>0</v>
      </c>
      <c r="AT117" s="203">
        <v>0</v>
      </c>
      <c r="AU117" s="203">
        <v>0</v>
      </c>
      <c r="AV117" s="217" t="s">
        <v>687</v>
      </c>
      <c r="AW117" s="217">
        <v>0</v>
      </c>
      <c r="AX117" s="203">
        <v>0</v>
      </c>
      <c r="AY117" s="203">
        <v>0</v>
      </c>
      <c r="AZ117" s="217" t="s">
        <v>687</v>
      </c>
      <c r="BA117" s="217">
        <v>0</v>
      </c>
      <c r="BB117" s="203">
        <v>0</v>
      </c>
      <c r="BC117" s="203">
        <v>0</v>
      </c>
      <c r="BD117" s="307" t="s">
        <v>687</v>
      </c>
    </row>
    <row r="118" spans="1:56" x14ac:dyDescent="0.45">
      <c r="A118">
        <v>334</v>
      </c>
      <c r="B118" t="s">
        <v>112</v>
      </c>
      <c r="C118" s="238" t="s">
        <v>568</v>
      </c>
      <c r="D118" s="280">
        <v>32580117.679999996</v>
      </c>
      <c r="E118" s="203">
        <v>12318</v>
      </c>
      <c r="F118" s="282">
        <v>16497</v>
      </c>
      <c r="G118" s="286">
        <v>0.33925962006819288</v>
      </c>
      <c r="H118" s="160">
        <v>18286</v>
      </c>
      <c r="I118" s="159">
        <v>19532</v>
      </c>
      <c r="J118" s="159">
        <v>150</v>
      </c>
      <c r="K118" s="159">
        <v>20</v>
      </c>
      <c r="L118" s="159">
        <v>1360</v>
      </c>
      <c r="M118" s="170">
        <v>7.6469693564751806E-2</v>
      </c>
      <c r="N118" s="270">
        <v>15625</v>
      </c>
      <c r="O118" s="273">
        <v>15880</v>
      </c>
      <c r="P118" s="274">
        <v>1.6320000000000001E-2</v>
      </c>
      <c r="Q118" s="273">
        <v>16194</v>
      </c>
      <c r="R118" s="272">
        <v>3.6415999999999997E-2</v>
      </c>
      <c r="S118" s="255">
        <v>79.3</v>
      </c>
      <c r="T118" s="256">
        <v>9.1</v>
      </c>
      <c r="U118" s="256">
        <v>4</v>
      </c>
      <c r="V118" s="257">
        <v>92.4</v>
      </c>
      <c r="W118" s="160">
        <v>30</v>
      </c>
      <c r="X118" s="159">
        <v>55</v>
      </c>
      <c r="Y118" s="159">
        <v>0</v>
      </c>
      <c r="Z118" s="159">
        <v>0</v>
      </c>
      <c r="AA118" s="159">
        <v>0</v>
      </c>
      <c r="AB118" s="159">
        <v>4557</v>
      </c>
      <c r="AC118" s="159">
        <v>9310</v>
      </c>
      <c r="AD118" s="159">
        <v>4030</v>
      </c>
      <c r="AE118" s="159">
        <v>0</v>
      </c>
      <c r="AF118" s="203">
        <v>0</v>
      </c>
      <c r="AG118" s="237">
        <v>30</v>
      </c>
      <c r="AH118" s="233">
        <v>0</v>
      </c>
      <c r="AI118" s="233">
        <v>55</v>
      </c>
      <c r="AJ118" s="233">
        <v>0</v>
      </c>
      <c r="AK118" s="233">
        <v>0</v>
      </c>
      <c r="AL118" s="233">
        <v>0</v>
      </c>
      <c r="AM118" s="233">
        <v>1500</v>
      </c>
      <c r="AN118" s="233">
        <v>4231</v>
      </c>
      <c r="AO118" s="233">
        <v>9196</v>
      </c>
      <c r="AP118" s="233">
        <v>1250</v>
      </c>
      <c r="AQ118" s="233">
        <v>1400</v>
      </c>
      <c r="AR118" s="238">
        <v>320</v>
      </c>
      <c r="AS118" s="217">
        <v>2133503.1644310071</v>
      </c>
      <c r="AT118" s="203">
        <v>1</v>
      </c>
      <c r="AU118" s="203">
        <v>150</v>
      </c>
      <c r="AV118" s="217">
        <v>14223.354429540048</v>
      </c>
      <c r="AW118" s="217">
        <v>0</v>
      </c>
      <c r="AX118" s="203">
        <v>0</v>
      </c>
      <c r="AY118" s="203">
        <v>0</v>
      </c>
      <c r="AZ118" s="217" t="s">
        <v>687</v>
      </c>
      <c r="BA118" s="217">
        <v>0</v>
      </c>
      <c r="BB118" s="203">
        <v>0</v>
      </c>
      <c r="BC118" s="203">
        <v>0</v>
      </c>
      <c r="BD118" s="307" t="s">
        <v>687</v>
      </c>
    </row>
    <row r="119" spans="1:56" x14ac:dyDescent="0.45">
      <c r="A119">
        <v>933</v>
      </c>
      <c r="B119" t="s">
        <v>113</v>
      </c>
      <c r="C119" s="238" t="s">
        <v>566</v>
      </c>
      <c r="D119" s="280">
        <v>52166213.619999997</v>
      </c>
      <c r="E119" s="203">
        <v>27300</v>
      </c>
      <c r="F119" s="282">
        <v>27096</v>
      </c>
      <c r="G119" s="286">
        <v>-7.4725274725274725E-3</v>
      </c>
      <c r="H119" s="160">
        <v>33848</v>
      </c>
      <c r="I119" s="159">
        <v>35820</v>
      </c>
      <c r="J119" s="159">
        <v>691</v>
      </c>
      <c r="K119" s="159">
        <v>90</v>
      </c>
      <c r="L119" s="159">
        <v>4580</v>
      </c>
      <c r="M119" s="170">
        <v>0.14513761197185701</v>
      </c>
      <c r="N119" s="270">
        <v>25393</v>
      </c>
      <c r="O119" s="273">
        <v>25653</v>
      </c>
      <c r="P119" s="274">
        <v>1.0239042255739799E-2</v>
      </c>
      <c r="Q119" s="273">
        <v>26097</v>
      </c>
      <c r="R119" s="272">
        <v>2.7724175954003099E-2</v>
      </c>
      <c r="S119" s="255">
        <v>93.8</v>
      </c>
      <c r="T119" s="256">
        <v>2.7</v>
      </c>
      <c r="U119" s="256">
        <v>0.5</v>
      </c>
      <c r="V119" s="257">
        <v>97</v>
      </c>
      <c r="W119" s="160">
        <v>225</v>
      </c>
      <c r="X119" s="159">
        <v>0</v>
      </c>
      <c r="Y119" s="159">
        <v>0</v>
      </c>
      <c r="Z119" s="159">
        <v>63</v>
      </c>
      <c r="AA119" s="159">
        <v>0</v>
      </c>
      <c r="AB119" s="159">
        <v>4001</v>
      </c>
      <c r="AC119" s="159">
        <v>22145</v>
      </c>
      <c r="AD119" s="159">
        <v>3171</v>
      </c>
      <c r="AE119" s="159">
        <v>862</v>
      </c>
      <c r="AF119" s="203">
        <v>0</v>
      </c>
      <c r="AG119" s="237">
        <v>0</v>
      </c>
      <c r="AH119" s="233">
        <v>0</v>
      </c>
      <c r="AI119" s="233">
        <v>288</v>
      </c>
      <c r="AJ119" s="233">
        <v>0</v>
      </c>
      <c r="AK119" s="233">
        <v>0</v>
      </c>
      <c r="AL119" s="233">
        <v>0</v>
      </c>
      <c r="AM119" s="233">
        <v>0</v>
      </c>
      <c r="AN119" s="233">
        <v>1498</v>
      </c>
      <c r="AO119" s="233">
        <v>11119</v>
      </c>
      <c r="AP119" s="233">
        <v>6205</v>
      </c>
      <c r="AQ119" s="233">
        <v>3860</v>
      </c>
      <c r="AR119" s="238">
        <v>7497</v>
      </c>
      <c r="AS119" s="217">
        <v>1006220.194510157</v>
      </c>
      <c r="AT119" s="203">
        <v>1</v>
      </c>
      <c r="AU119" s="203">
        <v>150</v>
      </c>
      <c r="AV119" s="217">
        <v>6708.1346300677133</v>
      </c>
      <c r="AW119" s="217">
        <v>0</v>
      </c>
      <c r="AX119" s="203">
        <v>0</v>
      </c>
      <c r="AY119" s="203">
        <v>0</v>
      </c>
      <c r="AZ119" s="217" t="s">
        <v>687</v>
      </c>
      <c r="BA119" s="217">
        <v>0</v>
      </c>
      <c r="BB119" s="203">
        <v>0</v>
      </c>
      <c r="BC119" s="203">
        <v>0</v>
      </c>
      <c r="BD119" s="307" t="s">
        <v>687</v>
      </c>
    </row>
    <row r="120" spans="1:56" x14ac:dyDescent="0.45">
      <c r="A120">
        <v>803</v>
      </c>
      <c r="B120" t="s">
        <v>114</v>
      </c>
      <c r="C120" s="238" t="s">
        <v>566</v>
      </c>
      <c r="D120" s="280">
        <v>42195404.549999997</v>
      </c>
      <c r="E120" s="203">
        <v>12830</v>
      </c>
      <c r="F120" s="282">
        <v>14055</v>
      </c>
      <c r="G120" s="286">
        <v>9.5479345284489481E-2</v>
      </c>
      <c r="H120" s="160">
        <v>21092</v>
      </c>
      <c r="I120" s="159">
        <v>20704</v>
      </c>
      <c r="J120" s="159">
        <v>45</v>
      </c>
      <c r="K120" s="159">
        <v>20</v>
      </c>
      <c r="L120" s="159">
        <v>3360</v>
      </c>
      <c r="M120" s="170">
        <v>0.19292098528552401</v>
      </c>
      <c r="N120" s="270">
        <v>12934</v>
      </c>
      <c r="O120" s="273">
        <v>13318</v>
      </c>
      <c r="P120" s="274">
        <v>2.9689191278800101E-2</v>
      </c>
      <c r="Q120" s="273">
        <v>13817</v>
      </c>
      <c r="R120" s="272">
        <v>6.8269676820782402E-2</v>
      </c>
      <c r="S120" s="255">
        <v>81.900000000000006</v>
      </c>
      <c r="T120" s="256">
        <v>10</v>
      </c>
      <c r="U120" s="256">
        <v>2.7</v>
      </c>
      <c r="V120" s="257">
        <v>94.6</v>
      </c>
      <c r="W120" s="160">
        <v>0</v>
      </c>
      <c r="X120" s="159">
        <v>0</v>
      </c>
      <c r="Y120" s="159">
        <v>0</v>
      </c>
      <c r="Z120" s="159">
        <v>0</v>
      </c>
      <c r="AA120" s="159">
        <v>0</v>
      </c>
      <c r="AB120" s="159">
        <v>0</v>
      </c>
      <c r="AC120" s="159">
        <v>8661</v>
      </c>
      <c r="AD120" s="159">
        <v>5660</v>
      </c>
      <c r="AE120" s="159">
        <v>3518</v>
      </c>
      <c r="AF120" s="203">
        <v>0</v>
      </c>
      <c r="AG120" s="237">
        <v>0</v>
      </c>
      <c r="AH120" s="233">
        <v>0</v>
      </c>
      <c r="AI120" s="233">
        <v>0</v>
      </c>
      <c r="AJ120" s="233">
        <v>0</v>
      </c>
      <c r="AK120" s="233">
        <v>0</v>
      </c>
      <c r="AL120" s="233">
        <v>0</v>
      </c>
      <c r="AM120" s="233">
        <v>900</v>
      </c>
      <c r="AN120" s="233">
        <v>1114</v>
      </c>
      <c r="AO120" s="233">
        <v>7914</v>
      </c>
      <c r="AP120" s="233">
        <v>6331</v>
      </c>
      <c r="AQ120" s="233">
        <v>780</v>
      </c>
      <c r="AR120" s="238">
        <v>800</v>
      </c>
      <c r="AS120" s="217">
        <v>0</v>
      </c>
      <c r="AT120" s="203">
        <v>0</v>
      </c>
      <c r="AU120" s="203">
        <v>0</v>
      </c>
      <c r="AV120" s="217" t="s">
        <v>687</v>
      </c>
      <c r="AW120" s="217">
        <v>0</v>
      </c>
      <c r="AX120" s="203">
        <v>0</v>
      </c>
      <c r="AY120" s="203">
        <v>0</v>
      </c>
      <c r="AZ120" s="217" t="s">
        <v>687</v>
      </c>
      <c r="BA120" s="217">
        <v>0</v>
      </c>
      <c r="BB120" s="203">
        <v>0</v>
      </c>
      <c r="BC120" s="203">
        <v>0</v>
      </c>
      <c r="BD120" s="307" t="s">
        <v>687</v>
      </c>
    </row>
    <row r="121" spans="1:56" x14ac:dyDescent="0.45">
      <c r="A121">
        <v>393</v>
      </c>
      <c r="B121" t="s">
        <v>115</v>
      </c>
      <c r="C121" s="238" t="s">
        <v>572</v>
      </c>
      <c r="D121" s="280">
        <v>7189364.3799999999</v>
      </c>
      <c r="E121" s="203">
        <v>8555</v>
      </c>
      <c r="F121" s="282">
        <v>8464</v>
      </c>
      <c r="G121" s="286">
        <v>-1.0637054354178842E-2</v>
      </c>
      <c r="H121" s="160">
        <v>10255</v>
      </c>
      <c r="I121" s="159">
        <v>10240</v>
      </c>
      <c r="J121" s="159">
        <v>0</v>
      </c>
      <c r="K121" s="159">
        <v>0</v>
      </c>
      <c r="L121" s="159">
        <v>960</v>
      </c>
      <c r="M121" s="170">
        <v>0.101963101688888</v>
      </c>
      <c r="N121" s="270">
        <v>7718</v>
      </c>
      <c r="O121" s="273">
        <v>7845</v>
      </c>
      <c r="P121" s="274">
        <v>1.6455040165846101E-2</v>
      </c>
      <c r="Q121" s="273">
        <v>8058</v>
      </c>
      <c r="R121" s="272">
        <v>4.4052863436123399E-2</v>
      </c>
      <c r="S121" s="255">
        <v>89</v>
      </c>
      <c r="T121" s="256">
        <v>6.5</v>
      </c>
      <c r="U121" s="256">
        <v>0.9</v>
      </c>
      <c r="V121" s="257">
        <v>96.4</v>
      </c>
      <c r="W121" s="160">
        <v>0</v>
      </c>
      <c r="X121" s="159">
        <v>0</v>
      </c>
      <c r="Y121" s="159">
        <v>0</v>
      </c>
      <c r="Z121" s="159">
        <v>0</v>
      </c>
      <c r="AA121" s="159">
        <v>0</v>
      </c>
      <c r="AB121" s="159">
        <v>3978</v>
      </c>
      <c r="AC121" s="159">
        <v>1820</v>
      </c>
      <c r="AD121" s="159">
        <v>4442</v>
      </c>
      <c r="AE121" s="159">
        <v>0</v>
      </c>
      <c r="AF121" s="203">
        <v>0</v>
      </c>
      <c r="AG121" s="237">
        <v>0</v>
      </c>
      <c r="AH121" s="233">
        <v>0</v>
      </c>
      <c r="AI121" s="233">
        <v>0</v>
      </c>
      <c r="AJ121" s="233">
        <v>0</v>
      </c>
      <c r="AK121" s="233">
        <v>0</v>
      </c>
      <c r="AL121" s="233">
        <v>0</v>
      </c>
      <c r="AM121" s="233">
        <v>0</v>
      </c>
      <c r="AN121" s="233">
        <v>1100</v>
      </c>
      <c r="AO121" s="233">
        <v>6235</v>
      </c>
      <c r="AP121" s="233">
        <v>1905</v>
      </c>
      <c r="AQ121" s="233">
        <v>1000</v>
      </c>
      <c r="AR121" s="238">
        <v>0</v>
      </c>
      <c r="AS121" s="217">
        <v>0</v>
      </c>
      <c r="AT121" s="203">
        <v>0</v>
      </c>
      <c r="AU121" s="203">
        <v>0</v>
      </c>
      <c r="AV121" s="217" t="s">
        <v>687</v>
      </c>
      <c r="AW121" s="217">
        <v>0</v>
      </c>
      <c r="AX121" s="203">
        <v>0</v>
      </c>
      <c r="AY121" s="203">
        <v>0</v>
      </c>
      <c r="AZ121" s="217" t="s">
        <v>687</v>
      </c>
      <c r="BA121" s="217">
        <v>0</v>
      </c>
      <c r="BB121" s="203">
        <v>0</v>
      </c>
      <c r="BC121" s="203">
        <v>0</v>
      </c>
      <c r="BD121" s="307" t="s">
        <v>687</v>
      </c>
    </row>
    <row r="122" spans="1:56" x14ac:dyDescent="0.45">
      <c r="A122">
        <v>852</v>
      </c>
      <c r="B122" t="s">
        <v>116</v>
      </c>
      <c r="C122" s="238" t="s">
        <v>570</v>
      </c>
      <c r="D122" s="280">
        <v>65358574.580000006</v>
      </c>
      <c r="E122" s="203">
        <v>8585</v>
      </c>
      <c r="F122" s="282">
        <v>12408</v>
      </c>
      <c r="G122" s="286">
        <v>0.44531158998252768</v>
      </c>
      <c r="H122" s="160">
        <v>12272</v>
      </c>
      <c r="I122" s="159">
        <v>12768</v>
      </c>
      <c r="J122" s="159">
        <v>84</v>
      </c>
      <c r="K122" s="159">
        <v>780</v>
      </c>
      <c r="L122" s="159">
        <v>970</v>
      </c>
      <c r="M122" s="170">
        <v>7.6925912130996907E-2</v>
      </c>
      <c r="N122" s="270">
        <v>10624</v>
      </c>
      <c r="O122" s="273">
        <v>10590</v>
      </c>
      <c r="P122" s="274">
        <v>-3.20030120481928E-3</v>
      </c>
      <c r="Q122" s="273">
        <v>10996</v>
      </c>
      <c r="R122" s="272">
        <v>3.5015060240963902E-2</v>
      </c>
      <c r="S122" s="255">
        <v>78.599999999999994</v>
      </c>
      <c r="T122" s="256">
        <v>8.3000000000000007</v>
      </c>
      <c r="U122" s="256">
        <v>3.6</v>
      </c>
      <c r="V122" s="257">
        <v>90.4</v>
      </c>
      <c r="W122" s="160">
        <v>121</v>
      </c>
      <c r="X122" s="159">
        <v>120</v>
      </c>
      <c r="Y122" s="159">
        <v>0</v>
      </c>
      <c r="Z122" s="159">
        <v>0</v>
      </c>
      <c r="AA122" s="159">
        <v>0</v>
      </c>
      <c r="AB122" s="159">
        <v>1079</v>
      </c>
      <c r="AC122" s="159">
        <v>8284</v>
      </c>
      <c r="AD122" s="159">
        <v>2114</v>
      </c>
      <c r="AE122" s="159">
        <v>0</v>
      </c>
      <c r="AF122" s="203">
        <v>0</v>
      </c>
      <c r="AG122" s="237">
        <v>241</v>
      </c>
      <c r="AH122" s="233">
        <v>0</v>
      </c>
      <c r="AI122" s="233">
        <v>0</v>
      </c>
      <c r="AJ122" s="233">
        <v>0</v>
      </c>
      <c r="AK122" s="233">
        <v>0</v>
      </c>
      <c r="AL122" s="233">
        <v>0</v>
      </c>
      <c r="AM122" s="233">
        <v>1829</v>
      </c>
      <c r="AN122" s="233">
        <v>1938</v>
      </c>
      <c r="AO122" s="233">
        <v>2746</v>
      </c>
      <c r="AP122" s="233">
        <v>2003</v>
      </c>
      <c r="AQ122" s="233">
        <v>2961</v>
      </c>
      <c r="AR122" s="238">
        <v>0</v>
      </c>
      <c r="AS122" s="217">
        <v>0</v>
      </c>
      <c r="AT122" s="203">
        <v>0</v>
      </c>
      <c r="AU122" s="203">
        <v>0</v>
      </c>
      <c r="AV122" s="217" t="s">
        <v>687</v>
      </c>
      <c r="AW122" s="217">
        <v>0</v>
      </c>
      <c r="AX122" s="203">
        <v>0</v>
      </c>
      <c r="AY122" s="203">
        <v>0</v>
      </c>
      <c r="AZ122" s="217" t="s">
        <v>687</v>
      </c>
      <c r="BA122" s="217">
        <v>0</v>
      </c>
      <c r="BB122" s="203">
        <v>0</v>
      </c>
      <c r="BC122" s="203">
        <v>0</v>
      </c>
      <c r="BD122" s="307" t="s">
        <v>687</v>
      </c>
    </row>
    <row r="123" spans="1:56" x14ac:dyDescent="0.45">
      <c r="A123">
        <v>882</v>
      </c>
      <c r="B123" t="s">
        <v>117</v>
      </c>
      <c r="C123" s="238" t="s">
        <v>567</v>
      </c>
      <c r="D123" s="280">
        <v>39765667.660000004</v>
      </c>
      <c r="E123" s="203">
        <v>10743</v>
      </c>
      <c r="F123" s="282">
        <v>11990</v>
      </c>
      <c r="G123" s="286">
        <v>0.11607558410127525</v>
      </c>
      <c r="H123" s="160">
        <v>13216</v>
      </c>
      <c r="I123" s="159">
        <v>14396</v>
      </c>
      <c r="J123" s="159">
        <v>240</v>
      </c>
      <c r="K123" s="159">
        <v>40</v>
      </c>
      <c r="L123" s="159">
        <v>270</v>
      </c>
      <c r="M123" s="170">
        <v>2.1869739068178198E-2</v>
      </c>
      <c r="N123" s="270">
        <v>10851</v>
      </c>
      <c r="O123" s="273">
        <v>11034</v>
      </c>
      <c r="P123" s="274">
        <v>1.6864805087088701E-2</v>
      </c>
      <c r="Q123" s="273">
        <v>11140</v>
      </c>
      <c r="R123" s="272">
        <v>2.6633490000921599E-2</v>
      </c>
      <c r="S123" s="255">
        <v>78.599999999999994</v>
      </c>
      <c r="T123" s="256">
        <v>9.6</v>
      </c>
      <c r="U123" s="256">
        <v>4.2</v>
      </c>
      <c r="V123" s="257">
        <v>92.3</v>
      </c>
      <c r="W123" s="160">
        <v>183</v>
      </c>
      <c r="X123" s="159">
        <v>60</v>
      </c>
      <c r="Y123" s="159">
        <v>0</v>
      </c>
      <c r="Z123" s="159">
        <v>0</v>
      </c>
      <c r="AA123" s="159">
        <v>0</v>
      </c>
      <c r="AB123" s="159">
        <v>5852</v>
      </c>
      <c r="AC123" s="159">
        <v>5165</v>
      </c>
      <c r="AD123" s="159">
        <v>1156</v>
      </c>
      <c r="AE123" s="159">
        <v>0</v>
      </c>
      <c r="AF123" s="203">
        <v>0</v>
      </c>
      <c r="AG123" s="237">
        <v>153</v>
      </c>
      <c r="AH123" s="233">
        <v>30</v>
      </c>
      <c r="AI123" s="233">
        <v>60</v>
      </c>
      <c r="AJ123" s="233">
        <v>0</v>
      </c>
      <c r="AK123" s="233">
        <v>0</v>
      </c>
      <c r="AL123" s="233">
        <v>0</v>
      </c>
      <c r="AM123" s="233">
        <v>6837</v>
      </c>
      <c r="AN123" s="233">
        <v>970</v>
      </c>
      <c r="AO123" s="233">
        <v>1440</v>
      </c>
      <c r="AP123" s="233">
        <v>1770</v>
      </c>
      <c r="AQ123" s="233">
        <v>1156</v>
      </c>
      <c r="AR123" s="238">
        <v>0</v>
      </c>
      <c r="AS123" s="217">
        <v>0</v>
      </c>
      <c r="AT123" s="203">
        <v>0</v>
      </c>
      <c r="AU123" s="203">
        <v>0</v>
      </c>
      <c r="AV123" s="217" t="s">
        <v>687</v>
      </c>
      <c r="AW123" s="217">
        <v>0</v>
      </c>
      <c r="AX123" s="203">
        <v>0</v>
      </c>
      <c r="AY123" s="203">
        <v>0</v>
      </c>
      <c r="AZ123" s="217" t="s">
        <v>687</v>
      </c>
      <c r="BA123" s="217">
        <v>0</v>
      </c>
      <c r="BB123" s="203">
        <v>0</v>
      </c>
      <c r="BC123" s="203">
        <v>0</v>
      </c>
      <c r="BD123" s="307" t="s">
        <v>687</v>
      </c>
    </row>
    <row r="124" spans="1:56" x14ac:dyDescent="0.45">
      <c r="A124">
        <v>210</v>
      </c>
      <c r="B124" t="s">
        <v>118</v>
      </c>
      <c r="C124" s="238" t="s">
        <v>571</v>
      </c>
      <c r="D124" s="280">
        <v>70111011.330000013</v>
      </c>
      <c r="E124" s="203">
        <v>5391</v>
      </c>
      <c r="F124" s="282">
        <v>15416</v>
      </c>
      <c r="G124" s="286">
        <v>1.859580782786125</v>
      </c>
      <c r="H124" s="160">
        <v>15292</v>
      </c>
      <c r="I124" s="159">
        <v>20542</v>
      </c>
      <c r="J124" s="159">
        <v>540</v>
      </c>
      <c r="K124" s="159">
        <v>0</v>
      </c>
      <c r="L124" s="159">
        <v>2300</v>
      </c>
      <c r="M124" s="170">
        <v>0.12961863934502399</v>
      </c>
      <c r="N124" s="270">
        <v>14422</v>
      </c>
      <c r="O124" s="273">
        <v>14391</v>
      </c>
      <c r="P124" s="274">
        <v>-2.1494938288725601E-3</v>
      </c>
      <c r="Q124" s="273">
        <v>14363</v>
      </c>
      <c r="R124" s="272">
        <v>-4.0909721259187399E-3</v>
      </c>
      <c r="S124" s="255">
        <v>60</v>
      </c>
      <c r="T124" s="256">
        <v>15.4</v>
      </c>
      <c r="U124" s="256">
        <v>8</v>
      </c>
      <c r="V124" s="257">
        <v>83.4</v>
      </c>
      <c r="W124" s="160">
        <v>513</v>
      </c>
      <c r="X124" s="159">
        <v>150</v>
      </c>
      <c r="Y124" s="159">
        <v>0</v>
      </c>
      <c r="Z124" s="159">
        <v>0</v>
      </c>
      <c r="AA124" s="159">
        <v>0</v>
      </c>
      <c r="AB124" s="159">
        <v>9584</v>
      </c>
      <c r="AC124" s="159">
        <v>8675</v>
      </c>
      <c r="AD124" s="159">
        <v>0</v>
      </c>
      <c r="AE124" s="159">
        <v>0</v>
      </c>
      <c r="AF124" s="203">
        <v>0</v>
      </c>
      <c r="AG124" s="237">
        <v>110</v>
      </c>
      <c r="AH124" s="233">
        <v>0</v>
      </c>
      <c r="AI124" s="233">
        <v>0</v>
      </c>
      <c r="AJ124" s="233">
        <v>553</v>
      </c>
      <c r="AK124" s="233">
        <v>0</v>
      </c>
      <c r="AL124" s="233">
        <v>0</v>
      </c>
      <c r="AM124" s="233">
        <v>7405</v>
      </c>
      <c r="AN124" s="233">
        <v>1845</v>
      </c>
      <c r="AO124" s="233">
        <v>3800</v>
      </c>
      <c r="AP124" s="233">
        <v>2909</v>
      </c>
      <c r="AQ124" s="233">
        <v>900</v>
      </c>
      <c r="AR124" s="238">
        <v>1400</v>
      </c>
      <c r="AS124" s="217">
        <v>2359819.6675119749</v>
      </c>
      <c r="AT124" s="203">
        <v>1</v>
      </c>
      <c r="AU124" s="203">
        <v>150</v>
      </c>
      <c r="AV124" s="217">
        <v>15732.131116746499</v>
      </c>
      <c r="AW124" s="217">
        <v>0</v>
      </c>
      <c r="AX124" s="203">
        <v>0</v>
      </c>
      <c r="AY124" s="203">
        <v>0</v>
      </c>
      <c r="AZ124" s="217" t="s">
        <v>687</v>
      </c>
      <c r="BA124" s="217">
        <v>0</v>
      </c>
      <c r="BB124" s="203">
        <v>0</v>
      </c>
      <c r="BC124" s="203">
        <v>0</v>
      </c>
      <c r="BD124" s="307" t="s">
        <v>687</v>
      </c>
    </row>
    <row r="125" spans="1:56" x14ac:dyDescent="0.45">
      <c r="A125">
        <v>342</v>
      </c>
      <c r="B125" t="s">
        <v>119</v>
      </c>
      <c r="C125" s="238" t="s">
        <v>569</v>
      </c>
      <c r="D125" s="280">
        <v>21182518.190000001</v>
      </c>
      <c r="E125" s="203">
        <v>9671</v>
      </c>
      <c r="F125" s="282">
        <v>10290</v>
      </c>
      <c r="G125" s="286">
        <v>6.4005790507703442E-2</v>
      </c>
      <c r="H125" s="160">
        <v>11179</v>
      </c>
      <c r="I125" s="159">
        <v>11759</v>
      </c>
      <c r="J125" s="159">
        <v>0</v>
      </c>
      <c r="K125" s="159">
        <v>310</v>
      </c>
      <c r="L125" s="159">
        <v>870</v>
      </c>
      <c r="M125" s="170">
        <v>8.0169843735221097E-2</v>
      </c>
      <c r="N125" s="270">
        <v>9303</v>
      </c>
      <c r="O125" s="273">
        <v>9312</v>
      </c>
      <c r="P125" s="274">
        <v>9.6742986133505299E-4</v>
      </c>
      <c r="Q125" s="273">
        <v>9263</v>
      </c>
      <c r="R125" s="272">
        <v>-4.2996882726002404E-3</v>
      </c>
      <c r="S125" s="255">
        <v>90.8</v>
      </c>
      <c r="T125" s="256">
        <v>4.5999999999999996</v>
      </c>
      <c r="U125" s="256">
        <v>1.2</v>
      </c>
      <c r="V125" s="257">
        <v>96.6</v>
      </c>
      <c r="W125" s="160">
        <v>0</v>
      </c>
      <c r="X125" s="159">
        <v>0</v>
      </c>
      <c r="Y125" s="159">
        <v>0</v>
      </c>
      <c r="Z125" s="159">
        <v>0</v>
      </c>
      <c r="AA125" s="159">
        <v>0</v>
      </c>
      <c r="AB125" s="159">
        <v>0</v>
      </c>
      <c r="AC125" s="159">
        <v>7373</v>
      </c>
      <c r="AD125" s="159">
        <v>3636</v>
      </c>
      <c r="AE125" s="159">
        <v>750</v>
      </c>
      <c r="AF125" s="203">
        <v>0</v>
      </c>
      <c r="AG125" s="237">
        <v>0</v>
      </c>
      <c r="AH125" s="233">
        <v>0</v>
      </c>
      <c r="AI125" s="233">
        <v>0</v>
      </c>
      <c r="AJ125" s="233">
        <v>0</v>
      </c>
      <c r="AK125" s="233">
        <v>0</v>
      </c>
      <c r="AL125" s="233">
        <v>0</v>
      </c>
      <c r="AM125" s="233">
        <v>0</v>
      </c>
      <c r="AN125" s="233">
        <v>0</v>
      </c>
      <c r="AO125" s="233">
        <v>5541</v>
      </c>
      <c r="AP125" s="233">
        <v>4386</v>
      </c>
      <c r="AQ125" s="233">
        <v>1832</v>
      </c>
      <c r="AR125" s="238">
        <v>0</v>
      </c>
      <c r="AS125" s="217">
        <v>0</v>
      </c>
      <c r="AT125" s="203">
        <v>0</v>
      </c>
      <c r="AU125" s="203">
        <v>0</v>
      </c>
      <c r="AV125" s="217" t="s">
        <v>687</v>
      </c>
      <c r="AW125" s="217">
        <v>0</v>
      </c>
      <c r="AX125" s="203">
        <v>0</v>
      </c>
      <c r="AY125" s="203">
        <v>0</v>
      </c>
      <c r="AZ125" s="217" t="s">
        <v>687</v>
      </c>
      <c r="BA125" s="217">
        <v>0</v>
      </c>
      <c r="BB125" s="203">
        <v>0</v>
      </c>
      <c r="BC125" s="203">
        <v>0</v>
      </c>
      <c r="BD125" s="307" t="s">
        <v>687</v>
      </c>
    </row>
    <row r="126" spans="1:56" x14ac:dyDescent="0.45">
      <c r="A126">
        <v>860</v>
      </c>
      <c r="B126" t="s">
        <v>120</v>
      </c>
      <c r="C126" s="238" t="s">
        <v>568</v>
      </c>
      <c r="D126" s="280">
        <v>108499598.17999999</v>
      </c>
      <c r="E126" s="203">
        <v>47405</v>
      </c>
      <c r="F126" s="282">
        <v>47891</v>
      </c>
      <c r="G126" s="286">
        <v>1.0252083113595612E-2</v>
      </c>
      <c r="H126" s="160">
        <v>60986</v>
      </c>
      <c r="I126" s="159">
        <v>65466</v>
      </c>
      <c r="J126" s="159">
        <v>1010</v>
      </c>
      <c r="K126" s="159">
        <v>230</v>
      </c>
      <c r="L126" s="159">
        <v>9010</v>
      </c>
      <c r="M126" s="170">
        <v>0.15897528902883001</v>
      </c>
      <c r="N126" s="270">
        <v>43889</v>
      </c>
      <c r="O126" s="273">
        <v>44467</v>
      </c>
      <c r="P126" s="274">
        <v>1.31695869124382E-2</v>
      </c>
      <c r="Q126" s="273">
        <v>45825</v>
      </c>
      <c r="R126" s="272">
        <v>4.4111280730934899E-2</v>
      </c>
      <c r="S126" s="255">
        <v>89.7</v>
      </c>
      <c r="T126" s="256">
        <v>6.2</v>
      </c>
      <c r="U126" s="256">
        <v>1.1000000000000001</v>
      </c>
      <c r="V126" s="257">
        <v>97</v>
      </c>
      <c r="W126" s="160">
        <v>0</v>
      </c>
      <c r="X126" s="159">
        <v>568</v>
      </c>
      <c r="Y126" s="159">
        <v>52</v>
      </c>
      <c r="Z126" s="159">
        <v>0</v>
      </c>
      <c r="AA126" s="159">
        <v>1550</v>
      </c>
      <c r="AB126" s="159">
        <v>3052</v>
      </c>
      <c r="AC126" s="159">
        <v>40063</v>
      </c>
      <c r="AD126" s="159">
        <v>14150</v>
      </c>
      <c r="AE126" s="159">
        <v>1590</v>
      </c>
      <c r="AF126" s="203">
        <v>0</v>
      </c>
      <c r="AG126" s="237">
        <v>0</v>
      </c>
      <c r="AH126" s="233">
        <v>0</v>
      </c>
      <c r="AI126" s="233">
        <v>0</v>
      </c>
      <c r="AJ126" s="233">
        <v>497</v>
      </c>
      <c r="AK126" s="233">
        <v>0</v>
      </c>
      <c r="AL126" s="233">
        <v>1673</v>
      </c>
      <c r="AM126" s="233">
        <v>2847</v>
      </c>
      <c r="AN126" s="233">
        <v>3926</v>
      </c>
      <c r="AO126" s="233">
        <v>16346</v>
      </c>
      <c r="AP126" s="233">
        <v>16383</v>
      </c>
      <c r="AQ126" s="233">
        <v>5316</v>
      </c>
      <c r="AR126" s="238">
        <v>14037</v>
      </c>
      <c r="AS126" s="217">
        <v>3325753.1303909868</v>
      </c>
      <c r="AT126" s="203">
        <v>4</v>
      </c>
      <c r="AU126" s="203">
        <v>430</v>
      </c>
      <c r="AV126" s="217">
        <v>7734.3096055604346</v>
      </c>
      <c r="AW126" s="217">
        <v>0</v>
      </c>
      <c r="AX126" s="203">
        <v>0</v>
      </c>
      <c r="AY126" s="203">
        <v>0</v>
      </c>
      <c r="AZ126" s="217" t="s">
        <v>687</v>
      </c>
      <c r="BA126" s="217">
        <v>0</v>
      </c>
      <c r="BB126" s="203">
        <v>0</v>
      </c>
      <c r="BC126" s="203">
        <v>0</v>
      </c>
      <c r="BD126" s="307" t="s">
        <v>687</v>
      </c>
    </row>
    <row r="127" spans="1:56" x14ac:dyDescent="0.45">
      <c r="A127">
        <v>356</v>
      </c>
      <c r="B127" t="s">
        <v>121</v>
      </c>
      <c r="C127" s="238" t="s">
        <v>569</v>
      </c>
      <c r="D127" s="280">
        <v>43807468.869999997</v>
      </c>
      <c r="E127" s="203">
        <v>14013</v>
      </c>
      <c r="F127" s="282">
        <v>15500</v>
      </c>
      <c r="G127" s="286">
        <v>0.10611574966102905</v>
      </c>
      <c r="H127" s="160">
        <v>17325</v>
      </c>
      <c r="I127" s="159">
        <v>17791</v>
      </c>
      <c r="J127" s="159">
        <v>0</v>
      </c>
      <c r="K127" s="159">
        <v>30</v>
      </c>
      <c r="L127" s="159">
        <v>1740</v>
      </c>
      <c r="M127" s="170">
        <v>0.101108874024757</v>
      </c>
      <c r="N127" s="270">
        <v>14303</v>
      </c>
      <c r="O127" s="273">
        <v>14506</v>
      </c>
      <c r="P127" s="274">
        <v>1.41928266797175E-2</v>
      </c>
      <c r="Q127" s="273">
        <v>14563</v>
      </c>
      <c r="R127" s="272">
        <v>1.8178004614416599E-2</v>
      </c>
      <c r="S127" s="255">
        <v>81</v>
      </c>
      <c r="T127" s="256">
        <v>9</v>
      </c>
      <c r="U127" s="256">
        <v>3.3</v>
      </c>
      <c r="V127" s="257">
        <v>93.2</v>
      </c>
      <c r="W127" s="160">
        <v>0</v>
      </c>
      <c r="X127" s="159">
        <v>92</v>
      </c>
      <c r="Y127" s="159">
        <v>245</v>
      </c>
      <c r="Z127" s="159">
        <v>0</v>
      </c>
      <c r="AA127" s="159">
        <v>1050</v>
      </c>
      <c r="AB127" s="159">
        <v>2852</v>
      </c>
      <c r="AC127" s="159">
        <v>7334</v>
      </c>
      <c r="AD127" s="159">
        <v>4739</v>
      </c>
      <c r="AE127" s="159">
        <v>0</v>
      </c>
      <c r="AF127" s="203">
        <v>0</v>
      </c>
      <c r="AG127" s="237">
        <v>0</v>
      </c>
      <c r="AH127" s="233">
        <v>0</v>
      </c>
      <c r="AI127" s="233">
        <v>171</v>
      </c>
      <c r="AJ127" s="233">
        <v>0</v>
      </c>
      <c r="AK127" s="233">
        <v>166</v>
      </c>
      <c r="AL127" s="233">
        <v>1050</v>
      </c>
      <c r="AM127" s="233">
        <v>1568</v>
      </c>
      <c r="AN127" s="233">
        <v>2189</v>
      </c>
      <c r="AO127" s="233">
        <v>9168</v>
      </c>
      <c r="AP127" s="233">
        <v>750</v>
      </c>
      <c r="AQ127" s="233">
        <v>1250</v>
      </c>
      <c r="AR127" s="238">
        <v>0</v>
      </c>
      <c r="AS127" s="217">
        <v>0</v>
      </c>
      <c r="AT127" s="203">
        <v>0</v>
      </c>
      <c r="AU127" s="203">
        <v>0</v>
      </c>
      <c r="AV127" s="217" t="s">
        <v>687</v>
      </c>
      <c r="AW127" s="217">
        <v>0</v>
      </c>
      <c r="AX127" s="203">
        <v>0</v>
      </c>
      <c r="AY127" s="203">
        <v>0</v>
      </c>
      <c r="AZ127" s="217" t="s">
        <v>687</v>
      </c>
      <c r="BA127" s="217">
        <v>0</v>
      </c>
      <c r="BB127" s="203">
        <v>0</v>
      </c>
      <c r="BC127" s="203">
        <v>0</v>
      </c>
      <c r="BD127" s="307" t="s">
        <v>687</v>
      </c>
    </row>
    <row r="128" spans="1:56" x14ac:dyDescent="0.45">
      <c r="A128">
        <v>808</v>
      </c>
      <c r="B128" t="s">
        <v>122</v>
      </c>
      <c r="C128" s="238" t="s">
        <v>572</v>
      </c>
      <c r="D128" s="280">
        <v>61591277.460000001</v>
      </c>
      <c r="E128" s="203">
        <v>10851</v>
      </c>
      <c r="F128" s="282">
        <v>11978</v>
      </c>
      <c r="G128" s="286">
        <v>0.10386139526310939</v>
      </c>
      <c r="H128" s="160">
        <v>13118</v>
      </c>
      <c r="I128" s="159">
        <v>12963</v>
      </c>
      <c r="J128" s="159">
        <v>500</v>
      </c>
      <c r="K128" s="159">
        <v>30</v>
      </c>
      <c r="L128" s="159">
        <v>830</v>
      </c>
      <c r="M128" s="170">
        <v>6.4901941420835899E-2</v>
      </c>
      <c r="N128" s="270">
        <v>10617</v>
      </c>
      <c r="O128" s="273">
        <v>10639</v>
      </c>
      <c r="P128" s="274">
        <v>2.0721484411792401E-3</v>
      </c>
      <c r="Q128" s="273">
        <v>11417</v>
      </c>
      <c r="R128" s="272">
        <v>7.5350852406517801E-2</v>
      </c>
      <c r="S128" s="255">
        <v>85.3</v>
      </c>
      <c r="T128" s="256">
        <v>8.9</v>
      </c>
      <c r="U128" s="256">
        <v>2.1</v>
      </c>
      <c r="V128" s="257">
        <v>96.2</v>
      </c>
      <c r="W128" s="160">
        <v>0</v>
      </c>
      <c r="X128" s="159">
        <v>240</v>
      </c>
      <c r="Y128" s="159">
        <v>0</v>
      </c>
      <c r="Z128" s="159">
        <v>0</v>
      </c>
      <c r="AA128" s="159">
        <v>0</v>
      </c>
      <c r="AB128" s="159">
        <v>3025</v>
      </c>
      <c r="AC128" s="159">
        <v>7343</v>
      </c>
      <c r="AD128" s="159">
        <v>1050</v>
      </c>
      <c r="AE128" s="159">
        <v>555</v>
      </c>
      <c r="AF128" s="203">
        <v>0</v>
      </c>
      <c r="AG128" s="237">
        <v>0</v>
      </c>
      <c r="AH128" s="233">
        <v>0</v>
      </c>
      <c r="AI128" s="233">
        <v>0</v>
      </c>
      <c r="AJ128" s="233">
        <v>240</v>
      </c>
      <c r="AK128" s="233">
        <v>0</v>
      </c>
      <c r="AL128" s="233">
        <v>0</v>
      </c>
      <c r="AM128" s="233">
        <v>1050</v>
      </c>
      <c r="AN128" s="233">
        <v>750</v>
      </c>
      <c r="AO128" s="233">
        <v>6043</v>
      </c>
      <c r="AP128" s="233">
        <v>3575</v>
      </c>
      <c r="AQ128" s="233">
        <v>555</v>
      </c>
      <c r="AR128" s="238">
        <v>0</v>
      </c>
      <c r="AS128" s="217">
        <v>0</v>
      </c>
      <c r="AT128" s="203">
        <v>0</v>
      </c>
      <c r="AU128" s="203">
        <v>0</v>
      </c>
      <c r="AV128" s="217" t="s">
        <v>687</v>
      </c>
      <c r="AW128" s="217">
        <v>0</v>
      </c>
      <c r="AX128" s="203">
        <v>0</v>
      </c>
      <c r="AY128" s="203">
        <v>0</v>
      </c>
      <c r="AZ128" s="217" t="s">
        <v>687</v>
      </c>
      <c r="BA128" s="217">
        <v>0</v>
      </c>
      <c r="BB128" s="203">
        <v>0</v>
      </c>
      <c r="BC128" s="203">
        <v>0</v>
      </c>
      <c r="BD128" s="307" t="s">
        <v>687</v>
      </c>
    </row>
    <row r="129" spans="1:56" x14ac:dyDescent="0.45">
      <c r="A129">
        <v>861</v>
      </c>
      <c r="B129" t="s">
        <v>123</v>
      </c>
      <c r="C129" s="238" t="s">
        <v>568</v>
      </c>
      <c r="D129" s="280">
        <v>32707478.989999995</v>
      </c>
      <c r="E129" s="203">
        <v>12695</v>
      </c>
      <c r="F129" s="282">
        <v>14473</v>
      </c>
      <c r="G129" s="286">
        <v>0.14005513981882631</v>
      </c>
      <c r="H129" s="160">
        <v>15793</v>
      </c>
      <c r="I129" s="159">
        <v>15460</v>
      </c>
      <c r="J129" s="159">
        <v>556</v>
      </c>
      <c r="K129" s="159">
        <v>20</v>
      </c>
      <c r="L129" s="159">
        <v>780</v>
      </c>
      <c r="M129" s="170">
        <v>5.1254942450486403E-2</v>
      </c>
      <c r="N129" s="270">
        <v>12880</v>
      </c>
      <c r="O129" s="273">
        <v>12921</v>
      </c>
      <c r="P129" s="274">
        <v>3.1832298136646002E-3</v>
      </c>
      <c r="Q129" s="273">
        <v>12898</v>
      </c>
      <c r="R129" s="272">
        <v>1.39751552795031E-3</v>
      </c>
      <c r="S129" s="255">
        <v>82.2</v>
      </c>
      <c r="T129" s="256">
        <v>8.1999999999999993</v>
      </c>
      <c r="U129" s="256">
        <v>2.1</v>
      </c>
      <c r="V129" s="257">
        <v>92.5</v>
      </c>
      <c r="W129" s="160">
        <v>115</v>
      </c>
      <c r="X129" s="159">
        <v>0</v>
      </c>
      <c r="Y129" s="159">
        <v>0</v>
      </c>
      <c r="Z129" s="159">
        <v>0</v>
      </c>
      <c r="AA129" s="159">
        <v>0</v>
      </c>
      <c r="AB129" s="159">
        <v>1060</v>
      </c>
      <c r="AC129" s="159">
        <v>10235</v>
      </c>
      <c r="AD129" s="159">
        <v>3150</v>
      </c>
      <c r="AE129" s="159">
        <v>0</v>
      </c>
      <c r="AF129" s="203">
        <v>0</v>
      </c>
      <c r="AG129" s="237">
        <v>0</v>
      </c>
      <c r="AH129" s="233">
        <v>115</v>
      </c>
      <c r="AI129" s="233">
        <v>0</v>
      </c>
      <c r="AJ129" s="233">
        <v>0</v>
      </c>
      <c r="AK129" s="233">
        <v>0</v>
      </c>
      <c r="AL129" s="233">
        <v>0</v>
      </c>
      <c r="AM129" s="233">
        <v>0</v>
      </c>
      <c r="AN129" s="233">
        <v>2110</v>
      </c>
      <c r="AO129" s="233">
        <v>2850</v>
      </c>
      <c r="AP129" s="233">
        <v>7235</v>
      </c>
      <c r="AQ129" s="233">
        <v>2100</v>
      </c>
      <c r="AR129" s="238">
        <v>150</v>
      </c>
      <c r="AS129" s="217">
        <v>0</v>
      </c>
      <c r="AT129" s="203">
        <v>0</v>
      </c>
      <c r="AU129" s="203">
        <v>0</v>
      </c>
      <c r="AV129" s="217" t="s">
        <v>687</v>
      </c>
      <c r="AW129" s="217">
        <v>0</v>
      </c>
      <c r="AX129" s="203">
        <v>0</v>
      </c>
      <c r="AY129" s="203">
        <v>0</v>
      </c>
      <c r="AZ129" s="217" t="s">
        <v>687</v>
      </c>
      <c r="BA129" s="217">
        <v>0</v>
      </c>
      <c r="BB129" s="203">
        <v>0</v>
      </c>
      <c r="BC129" s="203">
        <v>0</v>
      </c>
      <c r="BD129" s="307" t="s">
        <v>687</v>
      </c>
    </row>
    <row r="130" spans="1:56" x14ac:dyDescent="0.45">
      <c r="A130">
        <v>935</v>
      </c>
      <c r="B130" t="s">
        <v>124</v>
      </c>
      <c r="C130" s="238" t="s">
        <v>567</v>
      </c>
      <c r="D130" s="280">
        <v>88891500.590000004</v>
      </c>
      <c r="E130" s="203">
        <v>38616</v>
      </c>
      <c r="F130" s="282">
        <v>40150</v>
      </c>
      <c r="G130" s="286">
        <v>3.972446654236586E-2</v>
      </c>
      <c r="H130" s="160">
        <v>60569</v>
      </c>
      <c r="I130" s="159">
        <v>49030</v>
      </c>
      <c r="J130" s="159">
        <v>1135</v>
      </c>
      <c r="K130" s="159">
        <v>410</v>
      </c>
      <c r="L130" s="159">
        <v>5670</v>
      </c>
      <c r="M130" s="170">
        <v>0.12487170162266099</v>
      </c>
      <c r="N130" s="270">
        <v>36696</v>
      </c>
      <c r="O130" s="273">
        <v>37573</v>
      </c>
      <c r="P130" s="274">
        <v>2.3899062568127301E-2</v>
      </c>
      <c r="Q130" s="273">
        <v>38536</v>
      </c>
      <c r="R130" s="272">
        <v>5.0141704817963803E-2</v>
      </c>
      <c r="S130" s="255">
        <v>89.8</v>
      </c>
      <c r="T130" s="256">
        <v>5.4</v>
      </c>
      <c r="U130" s="256">
        <v>1.2</v>
      </c>
      <c r="V130" s="257">
        <v>96.4</v>
      </c>
      <c r="W130" s="160">
        <v>102</v>
      </c>
      <c r="X130" s="159">
        <v>211</v>
      </c>
      <c r="Y130" s="159">
        <v>0</v>
      </c>
      <c r="Z130" s="159">
        <v>0</v>
      </c>
      <c r="AA130" s="159">
        <v>0</v>
      </c>
      <c r="AB130" s="159">
        <v>4765</v>
      </c>
      <c r="AC130" s="159">
        <v>31698</v>
      </c>
      <c r="AD130" s="159">
        <v>7588</v>
      </c>
      <c r="AE130" s="159">
        <v>2820</v>
      </c>
      <c r="AF130" s="203">
        <v>0</v>
      </c>
      <c r="AG130" s="237">
        <v>68</v>
      </c>
      <c r="AH130" s="233">
        <v>185</v>
      </c>
      <c r="AI130" s="233">
        <v>60</v>
      </c>
      <c r="AJ130" s="233">
        <v>0</v>
      </c>
      <c r="AK130" s="233">
        <v>0</v>
      </c>
      <c r="AL130" s="233">
        <v>0</v>
      </c>
      <c r="AM130" s="233">
        <v>654</v>
      </c>
      <c r="AN130" s="233">
        <v>15415</v>
      </c>
      <c r="AO130" s="233">
        <v>18553</v>
      </c>
      <c r="AP130" s="233">
        <v>7229</v>
      </c>
      <c r="AQ130" s="233">
        <v>2660</v>
      </c>
      <c r="AR130" s="238">
        <v>2360</v>
      </c>
      <c r="AS130" s="217">
        <v>34748255.20462621</v>
      </c>
      <c r="AT130" s="203">
        <v>3</v>
      </c>
      <c r="AU130" s="203">
        <v>1220</v>
      </c>
      <c r="AV130" s="217">
        <v>28482.176397234598</v>
      </c>
      <c r="AW130" s="217">
        <v>368213.79165612062</v>
      </c>
      <c r="AX130" s="203">
        <v>2</v>
      </c>
      <c r="AY130" s="203">
        <v>84</v>
      </c>
      <c r="AZ130" s="217">
        <v>4383.4975197157219</v>
      </c>
      <c r="BA130" s="217">
        <v>0</v>
      </c>
      <c r="BB130" s="203">
        <v>0</v>
      </c>
      <c r="BC130" s="203">
        <v>0</v>
      </c>
      <c r="BD130" s="307" t="s">
        <v>687</v>
      </c>
    </row>
    <row r="131" spans="1:56" x14ac:dyDescent="0.45">
      <c r="A131">
        <v>394</v>
      </c>
      <c r="B131" t="s">
        <v>125</v>
      </c>
      <c r="C131" s="238" t="s">
        <v>572</v>
      </c>
      <c r="D131" s="280">
        <v>12238823.73</v>
      </c>
      <c r="E131" s="203">
        <v>14060</v>
      </c>
      <c r="F131" s="282">
        <v>15359</v>
      </c>
      <c r="G131" s="286">
        <v>9.2389758179231868E-2</v>
      </c>
      <c r="H131" s="160">
        <v>19896</v>
      </c>
      <c r="I131" s="159">
        <v>18763</v>
      </c>
      <c r="J131" s="159">
        <v>300</v>
      </c>
      <c r="K131" s="159">
        <v>10</v>
      </c>
      <c r="L131" s="159">
        <v>1850</v>
      </c>
      <c r="M131" s="170">
        <v>0.107679934781599</v>
      </c>
      <c r="N131" s="270">
        <v>14235</v>
      </c>
      <c r="O131" s="273">
        <v>14394</v>
      </c>
      <c r="P131" s="274">
        <v>1.1169652265542699E-2</v>
      </c>
      <c r="Q131" s="273">
        <v>14466</v>
      </c>
      <c r="R131" s="272">
        <v>1.62276080084299E-2</v>
      </c>
      <c r="S131" s="255">
        <v>87.9</v>
      </c>
      <c r="T131" s="256">
        <v>6.6</v>
      </c>
      <c r="U131" s="256">
        <v>1.6</v>
      </c>
      <c r="V131" s="257">
        <v>96.1</v>
      </c>
      <c r="W131" s="160">
        <v>0</v>
      </c>
      <c r="X131" s="159">
        <v>60</v>
      </c>
      <c r="Y131" s="159">
        <v>30</v>
      </c>
      <c r="Z131" s="159">
        <v>0</v>
      </c>
      <c r="AA131" s="159">
        <v>0</v>
      </c>
      <c r="AB131" s="159">
        <v>1290</v>
      </c>
      <c r="AC131" s="159">
        <v>6751</v>
      </c>
      <c r="AD131" s="159">
        <v>5200</v>
      </c>
      <c r="AE131" s="159">
        <v>2750</v>
      </c>
      <c r="AF131" s="203">
        <v>0</v>
      </c>
      <c r="AG131" s="237">
        <v>30</v>
      </c>
      <c r="AH131" s="233">
        <v>0</v>
      </c>
      <c r="AI131" s="233">
        <v>0</v>
      </c>
      <c r="AJ131" s="233">
        <v>60</v>
      </c>
      <c r="AK131" s="233">
        <v>0</v>
      </c>
      <c r="AL131" s="233">
        <v>0</v>
      </c>
      <c r="AM131" s="233">
        <v>300</v>
      </c>
      <c r="AN131" s="233">
        <v>0</v>
      </c>
      <c r="AO131" s="233">
        <v>3892</v>
      </c>
      <c r="AP131" s="233">
        <v>5985</v>
      </c>
      <c r="AQ131" s="233">
        <v>5814</v>
      </c>
      <c r="AR131" s="238">
        <v>0</v>
      </c>
      <c r="AS131" s="217">
        <v>0</v>
      </c>
      <c r="AT131" s="203">
        <v>0</v>
      </c>
      <c r="AU131" s="203">
        <v>0</v>
      </c>
      <c r="AV131" s="217" t="s">
        <v>687</v>
      </c>
      <c r="AW131" s="217">
        <v>0</v>
      </c>
      <c r="AX131" s="203">
        <v>0</v>
      </c>
      <c r="AY131" s="203">
        <v>0</v>
      </c>
      <c r="AZ131" s="217" t="s">
        <v>687</v>
      </c>
      <c r="BA131" s="217">
        <v>0</v>
      </c>
      <c r="BB131" s="203">
        <v>0</v>
      </c>
      <c r="BC131" s="203">
        <v>0</v>
      </c>
      <c r="BD131" s="307" t="s">
        <v>687</v>
      </c>
    </row>
    <row r="132" spans="1:56" x14ac:dyDescent="0.45">
      <c r="A132">
        <v>936</v>
      </c>
      <c r="B132" t="s">
        <v>126</v>
      </c>
      <c r="C132" s="238" t="s">
        <v>570</v>
      </c>
      <c r="D132" s="280">
        <v>377968356.67000002</v>
      </c>
      <c r="E132" s="203">
        <v>52871</v>
      </c>
      <c r="F132" s="282">
        <v>62378</v>
      </c>
      <c r="G132" s="286">
        <v>0.17981502146734504</v>
      </c>
      <c r="H132" s="160">
        <v>62256</v>
      </c>
      <c r="I132" s="159">
        <v>70319</v>
      </c>
      <c r="J132" s="159">
        <v>870</v>
      </c>
      <c r="K132" s="159">
        <v>1710</v>
      </c>
      <c r="L132" s="159">
        <v>2920</v>
      </c>
      <c r="M132" s="170">
        <v>4.5847373327899898E-2</v>
      </c>
      <c r="N132" s="270">
        <v>54237</v>
      </c>
      <c r="O132" s="273">
        <v>55882</v>
      </c>
      <c r="P132" s="274">
        <v>3.0329848627320799E-2</v>
      </c>
      <c r="Q132" s="273">
        <v>56134</v>
      </c>
      <c r="R132" s="272">
        <v>3.4976123310655097E-2</v>
      </c>
      <c r="S132" s="255">
        <v>81.099999999999994</v>
      </c>
      <c r="T132" s="256">
        <v>8</v>
      </c>
      <c r="U132" s="256">
        <v>3</v>
      </c>
      <c r="V132" s="257">
        <v>92.1</v>
      </c>
      <c r="W132" s="160">
        <v>868</v>
      </c>
      <c r="X132" s="159">
        <v>366</v>
      </c>
      <c r="Y132" s="159">
        <v>227</v>
      </c>
      <c r="Z132" s="159">
        <v>0</v>
      </c>
      <c r="AA132" s="159">
        <v>900</v>
      </c>
      <c r="AB132" s="159">
        <v>24446</v>
      </c>
      <c r="AC132" s="159">
        <v>37251</v>
      </c>
      <c r="AD132" s="159">
        <v>4835</v>
      </c>
      <c r="AE132" s="159">
        <v>0</v>
      </c>
      <c r="AF132" s="203">
        <v>900</v>
      </c>
      <c r="AG132" s="237">
        <v>868</v>
      </c>
      <c r="AH132" s="233">
        <v>0</v>
      </c>
      <c r="AI132" s="233">
        <v>246</v>
      </c>
      <c r="AJ132" s="233">
        <v>347</v>
      </c>
      <c r="AK132" s="233">
        <v>0</v>
      </c>
      <c r="AL132" s="233">
        <v>900</v>
      </c>
      <c r="AM132" s="233">
        <v>16615</v>
      </c>
      <c r="AN132" s="233">
        <v>10730</v>
      </c>
      <c r="AO132" s="233">
        <v>30398</v>
      </c>
      <c r="AP132" s="233">
        <v>6824</v>
      </c>
      <c r="AQ132" s="233">
        <v>1125</v>
      </c>
      <c r="AR132" s="238">
        <v>1740</v>
      </c>
      <c r="AS132" s="217">
        <v>38187183.632257894</v>
      </c>
      <c r="AT132" s="203">
        <v>5</v>
      </c>
      <c r="AU132" s="203">
        <v>830</v>
      </c>
      <c r="AV132" s="217">
        <v>46008.65497862397</v>
      </c>
      <c r="AW132" s="217">
        <v>245137.47710622719</v>
      </c>
      <c r="AX132" s="203">
        <v>1</v>
      </c>
      <c r="AY132" s="203">
        <v>30</v>
      </c>
      <c r="AZ132" s="217">
        <v>8171.2492368742396</v>
      </c>
      <c r="BA132" s="217">
        <v>0</v>
      </c>
      <c r="BB132" s="203">
        <v>0</v>
      </c>
      <c r="BC132" s="203">
        <v>0</v>
      </c>
      <c r="BD132" s="307" t="s">
        <v>687</v>
      </c>
    </row>
    <row r="133" spans="1:56" x14ac:dyDescent="0.45">
      <c r="A133">
        <v>319</v>
      </c>
      <c r="B133" t="s">
        <v>127</v>
      </c>
      <c r="C133" s="238" t="s">
        <v>564</v>
      </c>
      <c r="D133" s="280">
        <v>141769120.98999998</v>
      </c>
      <c r="E133" s="203">
        <v>13351</v>
      </c>
      <c r="F133" s="282">
        <v>16996</v>
      </c>
      <c r="G133" s="286">
        <v>0.27301325743390009</v>
      </c>
      <c r="H133" s="160">
        <v>16960</v>
      </c>
      <c r="I133" s="159">
        <v>21216</v>
      </c>
      <c r="J133" s="159">
        <v>183</v>
      </c>
      <c r="K133" s="159">
        <v>400</v>
      </c>
      <c r="L133" s="159">
        <v>330</v>
      </c>
      <c r="M133" s="170">
        <v>1.94278672707239E-2</v>
      </c>
      <c r="N133" s="270">
        <v>15129</v>
      </c>
      <c r="O133" s="273">
        <v>15230</v>
      </c>
      <c r="P133" s="274">
        <v>6.6759204177407596E-3</v>
      </c>
      <c r="Q133" s="273">
        <v>15156</v>
      </c>
      <c r="R133" s="272">
        <v>1.7846519928613901E-3</v>
      </c>
      <c r="S133" s="255">
        <v>72.599999999999994</v>
      </c>
      <c r="T133" s="256">
        <v>13.2</v>
      </c>
      <c r="U133" s="256">
        <v>4.7</v>
      </c>
      <c r="V133" s="257">
        <v>90.5</v>
      </c>
      <c r="W133" s="160">
        <v>0</v>
      </c>
      <c r="X133" s="159">
        <v>103</v>
      </c>
      <c r="Y133" s="159">
        <v>0</v>
      </c>
      <c r="Z133" s="159">
        <v>0</v>
      </c>
      <c r="AA133" s="159">
        <v>975</v>
      </c>
      <c r="AB133" s="159">
        <v>8474</v>
      </c>
      <c r="AC133" s="159">
        <v>10349</v>
      </c>
      <c r="AD133" s="159">
        <v>0</v>
      </c>
      <c r="AE133" s="159">
        <v>1315</v>
      </c>
      <c r="AF133" s="203">
        <v>0</v>
      </c>
      <c r="AG133" s="237">
        <v>0</v>
      </c>
      <c r="AH133" s="233">
        <v>0</v>
      </c>
      <c r="AI133" s="233">
        <v>103</v>
      </c>
      <c r="AJ133" s="233">
        <v>0</v>
      </c>
      <c r="AK133" s="233">
        <v>0</v>
      </c>
      <c r="AL133" s="233">
        <v>975</v>
      </c>
      <c r="AM133" s="233">
        <v>9434</v>
      </c>
      <c r="AN133" s="233">
        <v>3245</v>
      </c>
      <c r="AO133" s="233">
        <v>4797</v>
      </c>
      <c r="AP133" s="233">
        <v>2662</v>
      </c>
      <c r="AQ133" s="233">
        <v>0</v>
      </c>
      <c r="AR133" s="238">
        <v>0</v>
      </c>
      <c r="AS133" s="217">
        <v>28720277.566186324</v>
      </c>
      <c r="AT133" s="203">
        <v>10</v>
      </c>
      <c r="AU133" s="203">
        <v>2016</v>
      </c>
      <c r="AV133" s="217">
        <v>14246.169427671788</v>
      </c>
      <c r="AW133" s="217">
        <v>0</v>
      </c>
      <c r="AX133" s="203">
        <v>0</v>
      </c>
      <c r="AY133" s="203">
        <v>0</v>
      </c>
      <c r="AZ133" s="217" t="s">
        <v>687</v>
      </c>
      <c r="BA133" s="217">
        <v>0</v>
      </c>
      <c r="BB133" s="203">
        <v>0</v>
      </c>
      <c r="BC133" s="203">
        <v>0</v>
      </c>
      <c r="BD133" s="307" t="s">
        <v>687</v>
      </c>
    </row>
    <row r="134" spans="1:56" x14ac:dyDescent="0.45">
      <c r="A134">
        <v>866</v>
      </c>
      <c r="B134" t="s">
        <v>128</v>
      </c>
      <c r="C134" s="238" t="s">
        <v>566</v>
      </c>
      <c r="D134" s="280">
        <v>26046095.059999999</v>
      </c>
      <c r="E134" s="203">
        <v>10604</v>
      </c>
      <c r="F134" s="282">
        <v>12430</v>
      </c>
      <c r="G134" s="286">
        <v>0.17219917012448133</v>
      </c>
      <c r="H134" s="160">
        <v>13449</v>
      </c>
      <c r="I134" s="159">
        <v>16344</v>
      </c>
      <c r="J134" s="159">
        <v>570</v>
      </c>
      <c r="K134" s="159">
        <v>130</v>
      </c>
      <c r="L134" s="159">
        <v>2870</v>
      </c>
      <c r="M134" s="170">
        <v>0.189310485860998</v>
      </c>
      <c r="N134" s="270">
        <v>11049</v>
      </c>
      <c r="O134" s="273">
        <v>11098</v>
      </c>
      <c r="P134" s="274">
        <v>4.4347904787763598E-3</v>
      </c>
      <c r="Q134" s="273">
        <v>11210</v>
      </c>
      <c r="R134" s="272">
        <v>1.45714544302652E-2</v>
      </c>
      <c r="S134" s="255">
        <v>91.2</v>
      </c>
      <c r="T134" s="256">
        <v>6.8</v>
      </c>
      <c r="U134" s="256">
        <v>0.9</v>
      </c>
      <c r="V134" s="257">
        <v>99</v>
      </c>
      <c r="W134" s="160">
        <v>0</v>
      </c>
      <c r="X134" s="159">
        <v>0</v>
      </c>
      <c r="Y134" s="159">
        <v>0</v>
      </c>
      <c r="Z134" s="159">
        <v>0</v>
      </c>
      <c r="AA134" s="159">
        <v>750</v>
      </c>
      <c r="AB134" s="159">
        <v>0</v>
      </c>
      <c r="AC134" s="159">
        <v>7864</v>
      </c>
      <c r="AD134" s="159">
        <v>5090</v>
      </c>
      <c r="AE134" s="159">
        <v>600</v>
      </c>
      <c r="AF134" s="203">
        <v>0</v>
      </c>
      <c r="AG134" s="237">
        <v>0</v>
      </c>
      <c r="AH134" s="233">
        <v>0</v>
      </c>
      <c r="AI134" s="233">
        <v>0</v>
      </c>
      <c r="AJ134" s="233">
        <v>0</v>
      </c>
      <c r="AK134" s="233">
        <v>0</v>
      </c>
      <c r="AL134" s="233">
        <v>750</v>
      </c>
      <c r="AM134" s="233">
        <v>0</v>
      </c>
      <c r="AN134" s="233">
        <v>2649</v>
      </c>
      <c r="AO134" s="233">
        <v>8117</v>
      </c>
      <c r="AP134" s="233">
        <v>2188</v>
      </c>
      <c r="AQ134" s="233">
        <v>0</v>
      </c>
      <c r="AR134" s="238">
        <v>600</v>
      </c>
      <c r="AS134" s="217">
        <v>2550092.0543727227</v>
      </c>
      <c r="AT134" s="203">
        <v>1</v>
      </c>
      <c r="AU134" s="203">
        <v>25</v>
      </c>
      <c r="AV134" s="217">
        <v>102003.68217490891</v>
      </c>
      <c r="AW134" s="217">
        <v>0</v>
      </c>
      <c r="AX134" s="203">
        <v>0</v>
      </c>
      <c r="AY134" s="203">
        <v>0</v>
      </c>
      <c r="AZ134" s="217" t="s">
        <v>687</v>
      </c>
      <c r="BA134" s="217">
        <v>0</v>
      </c>
      <c r="BB134" s="203">
        <v>0</v>
      </c>
      <c r="BC134" s="203">
        <v>0</v>
      </c>
      <c r="BD134" s="307" t="s">
        <v>687</v>
      </c>
    </row>
    <row r="135" spans="1:56" x14ac:dyDescent="0.45">
      <c r="A135">
        <v>357</v>
      </c>
      <c r="B135" t="s">
        <v>129</v>
      </c>
      <c r="C135" s="238" t="s">
        <v>569</v>
      </c>
      <c r="D135" s="280">
        <v>54977165.680000007</v>
      </c>
      <c r="E135" s="203">
        <v>11526</v>
      </c>
      <c r="F135" s="282">
        <v>15179</v>
      </c>
      <c r="G135" s="286">
        <v>0.31693562380704493</v>
      </c>
      <c r="H135" s="160">
        <v>15112</v>
      </c>
      <c r="I135" s="159">
        <v>15139</v>
      </c>
      <c r="J135" s="159">
        <v>540</v>
      </c>
      <c r="K135" s="159">
        <v>160</v>
      </c>
      <c r="L135" s="159">
        <v>280</v>
      </c>
      <c r="M135" s="170">
        <v>1.8511608801351401E-2</v>
      </c>
      <c r="N135" s="270">
        <v>13369</v>
      </c>
      <c r="O135" s="273">
        <v>13605</v>
      </c>
      <c r="P135" s="274">
        <v>1.7652778816665399E-2</v>
      </c>
      <c r="Q135" s="273">
        <v>13837</v>
      </c>
      <c r="R135" s="272">
        <v>3.5006357992370403E-2</v>
      </c>
      <c r="S135" s="255">
        <v>83.5</v>
      </c>
      <c r="T135" s="256">
        <v>9</v>
      </c>
      <c r="U135" s="256">
        <v>1.9</v>
      </c>
      <c r="V135" s="257">
        <v>94.4</v>
      </c>
      <c r="W135" s="160">
        <v>120</v>
      </c>
      <c r="X135" s="159">
        <v>30</v>
      </c>
      <c r="Y135" s="159">
        <v>30</v>
      </c>
      <c r="Z135" s="159">
        <v>0</v>
      </c>
      <c r="AA135" s="159">
        <v>1050</v>
      </c>
      <c r="AB135" s="159">
        <v>2586</v>
      </c>
      <c r="AC135" s="159">
        <v>7423</v>
      </c>
      <c r="AD135" s="159">
        <v>2400</v>
      </c>
      <c r="AE135" s="159">
        <v>750</v>
      </c>
      <c r="AF135" s="203">
        <v>0</v>
      </c>
      <c r="AG135" s="237">
        <v>0</v>
      </c>
      <c r="AH135" s="233">
        <v>0</v>
      </c>
      <c r="AI135" s="233">
        <v>180</v>
      </c>
      <c r="AJ135" s="233">
        <v>0</v>
      </c>
      <c r="AK135" s="233">
        <v>0</v>
      </c>
      <c r="AL135" s="233">
        <v>1050</v>
      </c>
      <c r="AM135" s="233">
        <v>0</v>
      </c>
      <c r="AN135" s="233">
        <v>3946</v>
      </c>
      <c r="AO135" s="233">
        <v>3344</v>
      </c>
      <c r="AP135" s="233">
        <v>2944</v>
      </c>
      <c r="AQ135" s="233">
        <v>2925</v>
      </c>
      <c r="AR135" s="238">
        <v>0</v>
      </c>
      <c r="AS135" s="217">
        <v>3594704.988851727</v>
      </c>
      <c r="AT135" s="203">
        <v>2</v>
      </c>
      <c r="AU135" s="203">
        <v>200</v>
      </c>
      <c r="AV135" s="217">
        <v>17973.524944258636</v>
      </c>
      <c r="AW135" s="217">
        <v>0</v>
      </c>
      <c r="AX135" s="203">
        <v>0</v>
      </c>
      <c r="AY135" s="203">
        <v>0</v>
      </c>
      <c r="AZ135" s="217" t="s">
        <v>687</v>
      </c>
      <c r="BA135" s="217">
        <v>0</v>
      </c>
      <c r="BB135" s="203">
        <v>0</v>
      </c>
      <c r="BC135" s="203">
        <v>0</v>
      </c>
      <c r="BD135" s="307" t="s">
        <v>687</v>
      </c>
    </row>
    <row r="136" spans="1:56" x14ac:dyDescent="0.45">
      <c r="A136">
        <v>894</v>
      </c>
      <c r="B136" t="s">
        <v>130</v>
      </c>
      <c r="C136" s="238" t="s">
        <v>568</v>
      </c>
      <c r="D136" s="280">
        <v>33350987.439999998</v>
      </c>
      <c r="E136" s="203">
        <v>8041</v>
      </c>
      <c r="F136" s="282">
        <v>11446</v>
      </c>
      <c r="G136" s="286">
        <v>0.4234547941798284</v>
      </c>
      <c r="H136" s="160">
        <v>11257</v>
      </c>
      <c r="I136" s="159">
        <v>12431</v>
      </c>
      <c r="J136" s="159">
        <v>505</v>
      </c>
      <c r="K136" s="159">
        <v>450</v>
      </c>
      <c r="L136" s="159">
        <v>660</v>
      </c>
      <c r="M136" s="170">
        <v>5.6526803427673598E-2</v>
      </c>
      <c r="N136" s="270">
        <v>10437</v>
      </c>
      <c r="O136" s="273">
        <v>10765</v>
      </c>
      <c r="P136" s="274">
        <v>3.1426655169109897E-2</v>
      </c>
      <c r="Q136" s="273">
        <v>10809</v>
      </c>
      <c r="R136" s="272">
        <v>3.5642425984478303E-2</v>
      </c>
      <c r="S136" s="255">
        <v>82.3</v>
      </c>
      <c r="T136" s="256">
        <v>8.5</v>
      </c>
      <c r="U136" s="256">
        <v>3.3</v>
      </c>
      <c r="V136" s="257">
        <v>94.1</v>
      </c>
      <c r="W136" s="160">
        <v>0</v>
      </c>
      <c r="X136" s="159">
        <v>0</v>
      </c>
      <c r="Y136" s="159">
        <v>0</v>
      </c>
      <c r="Z136" s="159">
        <v>0</v>
      </c>
      <c r="AA136" s="159">
        <v>0</v>
      </c>
      <c r="AB136" s="159">
        <v>2575</v>
      </c>
      <c r="AC136" s="159">
        <v>4901</v>
      </c>
      <c r="AD136" s="159">
        <v>3780</v>
      </c>
      <c r="AE136" s="159">
        <v>0</v>
      </c>
      <c r="AF136" s="203">
        <v>0</v>
      </c>
      <c r="AG136" s="237">
        <v>0</v>
      </c>
      <c r="AH136" s="233">
        <v>0</v>
      </c>
      <c r="AI136" s="233">
        <v>0</v>
      </c>
      <c r="AJ136" s="233">
        <v>0</v>
      </c>
      <c r="AK136" s="233">
        <v>0</v>
      </c>
      <c r="AL136" s="233">
        <v>0</v>
      </c>
      <c r="AM136" s="233">
        <v>380</v>
      </c>
      <c r="AN136" s="233">
        <v>2301</v>
      </c>
      <c r="AO136" s="233">
        <v>2795</v>
      </c>
      <c r="AP136" s="233">
        <v>3980</v>
      </c>
      <c r="AQ136" s="233">
        <v>1800</v>
      </c>
      <c r="AR136" s="238">
        <v>0</v>
      </c>
      <c r="AS136" s="217">
        <v>0</v>
      </c>
      <c r="AT136" s="203">
        <v>0</v>
      </c>
      <c r="AU136" s="203">
        <v>0</v>
      </c>
      <c r="AV136" s="217" t="s">
        <v>687</v>
      </c>
      <c r="AW136" s="217">
        <v>0</v>
      </c>
      <c r="AX136" s="203">
        <v>0</v>
      </c>
      <c r="AY136" s="203">
        <v>0</v>
      </c>
      <c r="AZ136" s="217" t="s">
        <v>687</v>
      </c>
      <c r="BA136" s="217">
        <v>0</v>
      </c>
      <c r="BB136" s="203">
        <v>0</v>
      </c>
      <c r="BC136" s="203">
        <v>0</v>
      </c>
      <c r="BD136" s="307" t="s">
        <v>687</v>
      </c>
    </row>
    <row r="137" spans="1:56" x14ac:dyDescent="0.45">
      <c r="A137">
        <v>883</v>
      </c>
      <c r="B137" t="s">
        <v>131</v>
      </c>
      <c r="C137" s="238" t="s">
        <v>567</v>
      </c>
      <c r="D137" s="280">
        <v>55445082.679999992</v>
      </c>
      <c r="E137" s="203">
        <v>7455</v>
      </c>
      <c r="F137" s="282">
        <v>11251</v>
      </c>
      <c r="G137" s="286">
        <v>0.50918846411804153</v>
      </c>
      <c r="H137" s="160">
        <v>8713</v>
      </c>
      <c r="I137" s="159">
        <v>12174</v>
      </c>
      <c r="J137" s="159">
        <v>764</v>
      </c>
      <c r="K137" s="159">
        <v>150</v>
      </c>
      <c r="L137" s="159">
        <v>1070</v>
      </c>
      <c r="M137" s="170">
        <v>8.7973227691664796E-2</v>
      </c>
      <c r="N137" s="270">
        <v>9665</v>
      </c>
      <c r="O137" s="273">
        <v>9827</v>
      </c>
      <c r="P137" s="274">
        <v>1.6761510605276801E-2</v>
      </c>
      <c r="Q137" s="273">
        <v>10059</v>
      </c>
      <c r="R137" s="272">
        <v>4.0765649249870702E-2</v>
      </c>
      <c r="S137" s="255">
        <v>71.2</v>
      </c>
      <c r="T137" s="256">
        <v>11</v>
      </c>
      <c r="U137" s="256">
        <v>5.8</v>
      </c>
      <c r="V137" s="257">
        <v>88</v>
      </c>
      <c r="W137" s="160">
        <v>0</v>
      </c>
      <c r="X137" s="159">
        <v>149</v>
      </c>
      <c r="Y137" s="159">
        <v>0</v>
      </c>
      <c r="Z137" s="159">
        <v>30</v>
      </c>
      <c r="AA137" s="159">
        <v>0</v>
      </c>
      <c r="AB137" s="159">
        <v>1330</v>
      </c>
      <c r="AC137" s="159">
        <v>4825</v>
      </c>
      <c r="AD137" s="159">
        <v>3710</v>
      </c>
      <c r="AE137" s="159">
        <v>1230</v>
      </c>
      <c r="AF137" s="203">
        <v>900</v>
      </c>
      <c r="AG137" s="237">
        <v>0</v>
      </c>
      <c r="AH137" s="233">
        <v>0</v>
      </c>
      <c r="AI137" s="233">
        <v>149</v>
      </c>
      <c r="AJ137" s="233">
        <v>30</v>
      </c>
      <c r="AK137" s="233">
        <v>0</v>
      </c>
      <c r="AL137" s="233">
        <v>0</v>
      </c>
      <c r="AM137" s="233">
        <v>1950</v>
      </c>
      <c r="AN137" s="233">
        <v>0</v>
      </c>
      <c r="AO137" s="233">
        <v>4005</v>
      </c>
      <c r="AP137" s="233">
        <v>3380</v>
      </c>
      <c r="AQ137" s="233">
        <v>1760</v>
      </c>
      <c r="AR137" s="238">
        <v>900</v>
      </c>
      <c r="AS137" s="217">
        <v>0</v>
      </c>
      <c r="AT137" s="203">
        <v>0</v>
      </c>
      <c r="AU137" s="203">
        <v>0</v>
      </c>
      <c r="AV137" s="217" t="s">
        <v>687</v>
      </c>
      <c r="AW137" s="217">
        <v>0</v>
      </c>
      <c r="AX137" s="203">
        <v>0</v>
      </c>
      <c r="AY137" s="203">
        <v>0</v>
      </c>
      <c r="AZ137" s="217" t="s">
        <v>687</v>
      </c>
      <c r="BA137" s="217">
        <v>0</v>
      </c>
      <c r="BB137" s="203">
        <v>0</v>
      </c>
      <c r="BC137" s="203">
        <v>0</v>
      </c>
      <c r="BD137" s="307" t="s">
        <v>687</v>
      </c>
    </row>
    <row r="138" spans="1:56" x14ac:dyDescent="0.45">
      <c r="A138">
        <v>880</v>
      </c>
      <c r="B138" t="s">
        <v>132</v>
      </c>
      <c r="C138" s="238" t="s">
        <v>566</v>
      </c>
      <c r="D138" s="280">
        <v>25894926.670000002</v>
      </c>
      <c r="E138" s="203">
        <v>7283</v>
      </c>
      <c r="F138" s="282">
        <v>8065</v>
      </c>
      <c r="G138" s="286">
        <v>0.10737333516408074</v>
      </c>
      <c r="H138" s="160">
        <v>9951</v>
      </c>
      <c r="I138" s="159">
        <v>9666</v>
      </c>
      <c r="J138" s="159">
        <v>170</v>
      </c>
      <c r="K138" s="159">
        <v>70</v>
      </c>
      <c r="L138" s="159">
        <v>520</v>
      </c>
      <c r="M138" s="170">
        <v>6.1138949391324901E-2</v>
      </c>
      <c r="N138" s="270">
        <v>7348</v>
      </c>
      <c r="O138" s="273">
        <v>7323</v>
      </c>
      <c r="P138" s="274">
        <v>-3.4022863364180701E-3</v>
      </c>
      <c r="Q138" s="273">
        <v>7731</v>
      </c>
      <c r="R138" s="272">
        <v>5.2123026673924898E-2</v>
      </c>
      <c r="S138" s="255">
        <v>84.1</v>
      </c>
      <c r="T138" s="256">
        <v>10.199999999999999</v>
      </c>
      <c r="U138" s="256">
        <v>1.7</v>
      </c>
      <c r="V138" s="257">
        <v>95.9</v>
      </c>
      <c r="W138" s="160">
        <v>0</v>
      </c>
      <c r="X138" s="159">
        <v>200</v>
      </c>
      <c r="Y138" s="159">
        <v>0</v>
      </c>
      <c r="Z138" s="159">
        <v>0</v>
      </c>
      <c r="AA138" s="159">
        <v>0</v>
      </c>
      <c r="AB138" s="159">
        <v>3010</v>
      </c>
      <c r="AC138" s="159">
        <v>6456</v>
      </c>
      <c r="AD138" s="159">
        <v>0</v>
      </c>
      <c r="AE138" s="159">
        <v>0</v>
      </c>
      <c r="AF138" s="203">
        <v>0</v>
      </c>
      <c r="AG138" s="237">
        <v>0</v>
      </c>
      <c r="AH138" s="233">
        <v>200</v>
      </c>
      <c r="AI138" s="233">
        <v>0</v>
      </c>
      <c r="AJ138" s="233">
        <v>0</v>
      </c>
      <c r="AK138" s="233">
        <v>0</v>
      </c>
      <c r="AL138" s="233">
        <v>0</v>
      </c>
      <c r="AM138" s="233">
        <v>900</v>
      </c>
      <c r="AN138" s="233">
        <v>3310</v>
      </c>
      <c r="AO138" s="233">
        <v>1300</v>
      </c>
      <c r="AP138" s="233">
        <v>2850</v>
      </c>
      <c r="AQ138" s="233">
        <v>1106</v>
      </c>
      <c r="AR138" s="238">
        <v>0</v>
      </c>
      <c r="AS138" s="217">
        <v>0</v>
      </c>
      <c r="AT138" s="203">
        <v>0</v>
      </c>
      <c r="AU138" s="203">
        <v>0</v>
      </c>
      <c r="AV138" s="217" t="s">
        <v>687</v>
      </c>
      <c r="AW138" s="217">
        <v>0</v>
      </c>
      <c r="AX138" s="203">
        <v>0</v>
      </c>
      <c r="AY138" s="203">
        <v>0</v>
      </c>
      <c r="AZ138" s="217" t="s">
        <v>687</v>
      </c>
      <c r="BA138" s="217">
        <v>0</v>
      </c>
      <c r="BB138" s="203">
        <v>0</v>
      </c>
      <c r="BC138" s="203">
        <v>0</v>
      </c>
      <c r="BD138" s="307" t="s">
        <v>687</v>
      </c>
    </row>
    <row r="139" spans="1:56" x14ac:dyDescent="0.45">
      <c r="A139">
        <v>211</v>
      </c>
      <c r="B139" t="s">
        <v>133</v>
      </c>
      <c r="C139" s="238" t="s">
        <v>571</v>
      </c>
      <c r="D139" s="280">
        <v>88102446.469999999</v>
      </c>
      <c r="E139" s="203">
        <v>12831</v>
      </c>
      <c r="F139" s="282">
        <v>14999</v>
      </c>
      <c r="G139" s="286">
        <v>0.16896578598706258</v>
      </c>
      <c r="H139" s="160">
        <v>15410</v>
      </c>
      <c r="I139" s="159">
        <v>21656</v>
      </c>
      <c r="J139" s="159">
        <v>410</v>
      </c>
      <c r="K139" s="159">
        <v>0</v>
      </c>
      <c r="L139" s="159">
        <v>2550</v>
      </c>
      <c r="M139" s="170">
        <v>0.145153767568551</v>
      </c>
      <c r="N139" s="270">
        <v>14384</v>
      </c>
      <c r="O139" s="273">
        <v>14632</v>
      </c>
      <c r="P139" s="274">
        <v>1.72413793103448E-2</v>
      </c>
      <c r="Q139" s="273">
        <v>14982</v>
      </c>
      <c r="R139" s="272">
        <v>4.1573971078976597E-2</v>
      </c>
      <c r="S139" s="255">
        <v>67.400000000000006</v>
      </c>
      <c r="T139" s="256">
        <v>14</v>
      </c>
      <c r="U139" s="256">
        <v>6.8</v>
      </c>
      <c r="V139" s="257">
        <v>88.3</v>
      </c>
      <c r="W139" s="160">
        <v>0</v>
      </c>
      <c r="X139" s="159">
        <v>0</v>
      </c>
      <c r="Y139" s="159">
        <v>0</v>
      </c>
      <c r="Z139" s="159">
        <v>0</v>
      </c>
      <c r="AA139" s="159">
        <v>0</v>
      </c>
      <c r="AB139" s="159">
        <v>9219</v>
      </c>
      <c r="AC139" s="159">
        <v>9428</v>
      </c>
      <c r="AD139" s="159">
        <v>1189</v>
      </c>
      <c r="AE139" s="159">
        <v>600</v>
      </c>
      <c r="AF139" s="203">
        <v>800</v>
      </c>
      <c r="AG139" s="237">
        <v>0</v>
      </c>
      <c r="AH139" s="233">
        <v>0</v>
      </c>
      <c r="AI139" s="233">
        <v>0</v>
      </c>
      <c r="AJ139" s="233">
        <v>0</v>
      </c>
      <c r="AK139" s="233">
        <v>0</v>
      </c>
      <c r="AL139" s="233">
        <v>0</v>
      </c>
      <c r="AM139" s="233">
        <v>5089</v>
      </c>
      <c r="AN139" s="233">
        <v>6170</v>
      </c>
      <c r="AO139" s="233">
        <v>3663</v>
      </c>
      <c r="AP139" s="233">
        <v>4314</v>
      </c>
      <c r="AQ139" s="233">
        <v>0</v>
      </c>
      <c r="AR139" s="238">
        <v>2000</v>
      </c>
      <c r="AS139" s="217">
        <v>0</v>
      </c>
      <c r="AT139" s="203">
        <v>0</v>
      </c>
      <c r="AU139" s="203">
        <v>0</v>
      </c>
      <c r="AV139" s="217" t="s">
        <v>687</v>
      </c>
      <c r="AW139" s="217">
        <v>0</v>
      </c>
      <c r="AX139" s="203">
        <v>0</v>
      </c>
      <c r="AY139" s="203">
        <v>0</v>
      </c>
      <c r="AZ139" s="217" t="s">
        <v>687</v>
      </c>
      <c r="BA139" s="217">
        <v>0</v>
      </c>
      <c r="BB139" s="203">
        <v>0</v>
      </c>
      <c r="BC139" s="203">
        <v>0</v>
      </c>
      <c r="BD139" s="307" t="s">
        <v>687</v>
      </c>
    </row>
    <row r="140" spans="1:56" x14ac:dyDescent="0.45">
      <c r="A140">
        <v>358</v>
      </c>
      <c r="B140" t="s">
        <v>134</v>
      </c>
      <c r="C140" s="238" t="s">
        <v>569</v>
      </c>
      <c r="D140" s="280">
        <v>77896483.060000002</v>
      </c>
      <c r="E140" s="203">
        <v>14412</v>
      </c>
      <c r="F140" s="282">
        <v>17295</v>
      </c>
      <c r="G140" s="286">
        <v>0.20004163197335553</v>
      </c>
      <c r="H140" s="160">
        <v>18748</v>
      </c>
      <c r="I140" s="159">
        <v>19950</v>
      </c>
      <c r="J140" s="159">
        <v>185</v>
      </c>
      <c r="K140" s="159">
        <v>520</v>
      </c>
      <c r="L140" s="159">
        <v>830</v>
      </c>
      <c r="M140" s="170">
        <v>4.6877460163374102E-2</v>
      </c>
      <c r="N140" s="270">
        <v>15563</v>
      </c>
      <c r="O140" s="273">
        <v>15427</v>
      </c>
      <c r="P140" s="274">
        <v>-8.7386750626485907E-3</v>
      </c>
      <c r="Q140" s="273">
        <v>15428</v>
      </c>
      <c r="R140" s="272">
        <v>-8.6744200989526399E-3</v>
      </c>
      <c r="S140" s="255">
        <v>79.099999999999994</v>
      </c>
      <c r="T140" s="256">
        <v>12.2</v>
      </c>
      <c r="U140" s="256">
        <v>3.8</v>
      </c>
      <c r="V140" s="257">
        <v>95</v>
      </c>
      <c r="W140" s="160">
        <v>53</v>
      </c>
      <c r="X140" s="159">
        <v>51</v>
      </c>
      <c r="Y140" s="159">
        <v>0</v>
      </c>
      <c r="Z140" s="159">
        <v>0</v>
      </c>
      <c r="AA140" s="159">
        <v>0</v>
      </c>
      <c r="AB140" s="159">
        <v>8280</v>
      </c>
      <c r="AC140" s="159">
        <v>9932</v>
      </c>
      <c r="AD140" s="159">
        <v>1634</v>
      </c>
      <c r="AE140" s="159">
        <v>0</v>
      </c>
      <c r="AF140" s="203">
        <v>0</v>
      </c>
      <c r="AG140" s="237">
        <v>0</v>
      </c>
      <c r="AH140" s="233">
        <v>51</v>
      </c>
      <c r="AI140" s="233">
        <v>53</v>
      </c>
      <c r="AJ140" s="233">
        <v>0</v>
      </c>
      <c r="AK140" s="233">
        <v>0</v>
      </c>
      <c r="AL140" s="233">
        <v>0</v>
      </c>
      <c r="AM140" s="233">
        <v>4381</v>
      </c>
      <c r="AN140" s="233">
        <v>4700</v>
      </c>
      <c r="AO140" s="233">
        <v>6756</v>
      </c>
      <c r="AP140" s="233">
        <v>3283</v>
      </c>
      <c r="AQ140" s="233">
        <v>726</v>
      </c>
      <c r="AR140" s="238">
        <v>0</v>
      </c>
      <c r="AS140" s="217">
        <v>0</v>
      </c>
      <c r="AT140" s="203">
        <v>0</v>
      </c>
      <c r="AU140" s="203">
        <v>0</v>
      </c>
      <c r="AV140" s="217" t="s">
        <v>687</v>
      </c>
      <c r="AW140" s="217">
        <v>0</v>
      </c>
      <c r="AX140" s="203">
        <v>0</v>
      </c>
      <c r="AY140" s="203">
        <v>0</v>
      </c>
      <c r="AZ140" s="217" t="s">
        <v>687</v>
      </c>
      <c r="BA140" s="217">
        <v>0</v>
      </c>
      <c r="BB140" s="203">
        <v>0</v>
      </c>
      <c r="BC140" s="203">
        <v>0</v>
      </c>
      <c r="BD140" s="307" t="s">
        <v>687</v>
      </c>
    </row>
    <row r="141" spans="1:56" x14ac:dyDescent="0.45">
      <c r="A141">
        <v>384</v>
      </c>
      <c r="B141" t="s">
        <v>135</v>
      </c>
      <c r="C141" s="238" t="s">
        <v>565</v>
      </c>
      <c r="D141" s="280">
        <v>44317155.890000001</v>
      </c>
      <c r="E141" s="203">
        <v>17631</v>
      </c>
      <c r="F141" s="282">
        <v>20829</v>
      </c>
      <c r="G141" s="286">
        <v>0.18138506040496852</v>
      </c>
      <c r="H141" s="160">
        <v>22975</v>
      </c>
      <c r="I141" s="159">
        <v>23234</v>
      </c>
      <c r="J141" s="159">
        <v>180</v>
      </c>
      <c r="K141" s="159">
        <v>300</v>
      </c>
      <c r="L141" s="159">
        <v>1750</v>
      </c>
      <c r="M141" s="170">
        <v>7.8402111720604101E-2</v>
      </c>
      <c r="N141" s="270">
        <v>18602</v>
      </c>
      <c r="O141" s="273">
        <v>19474</v>
      </c>
      <c r="P141" s="274">
        <v>4.6876679926889597E-2</v>
      </c>
      <c r="Q141" s="273">
        <v>19071</v>
      </c>
      <c r="R141" s="272">
        <v>2.5212342758843102E-2</v>
      </c>
      <c r="S141" s="255">
        <v>93.9</v>
      </c>
      <c r="T141" s="256">
        <v>3.7</v>
      </c>
      <c r="U141" s="256">
        <v>0.6</v>
      </c>
      <c r="V141" s="257">
        <v>98.2</v>
      </c>
      <c r="W141" s="160">
        <v>0</v>
      </c>
      <c r="X141" s="159">
        <v>250</v>
      </c>
      <c r="Y141" s="159">
        <v>0</v>
      </c>
      <c r="Z141" s="159">
        <v>0</v>
      </c>
      <c r="AA141" s="159">
        <v>0</v>
      </c>
      <c r="AB141" s="159">
        <v>2950</v>
      </c>
      <c r="AC141" s="159">
        <v>15179</v>
      </c>
      <c r="AD141" s="159">
        <v>3223</v>
      </c>
      <c r="AE141" s="159">
        <v>0</v>
      </c>
      <c r="AF141" s="203">
        <v>0</v>
      </c>
      <c r="AG141" s="237">
        <v>0</v>
      </c>
      <c r="AH141" s="233">
        <v>50</v>
      </c>
      <c r="AI141" s="233">
        <v>200</v>
      </c>
      <c r="AJ141" s="233">
        <v>0</v>
      </c>
      <c r="AK141" s="233">
        <v>0</v>
      </c>
      <c r="AL141" s="233">
        <v>0</v>
      </c>
      <c r="AM141" s="233">
        <v>1050</v>
      </c>
      <c r="AN141" s="233">
        <v>3024</v>
      </c>
      <c r="AO141" s="233">
        <v>11787</v>
      </c>
      <c r="AP141" s="233">
        <v>5491</v>
      </c>
      <c r="AQ141" s="233">
        <v>0</v>
      </c>
      <c r="AR141" s="238">
        <v>0</v>
      </c>
      <c r="AS141" s="217">
        <v>0</v>
      </c>
      <c r="AT141" s="203">
        <v>0</v>
      </c>
      <c r="AU141" s="203">
        <v>0</v>
      </c>
      <c r="AV141" s="217" t="s">
        <v>687</v>
      </c>
      <c r="AW141" s="217">
        <v>204517.70451770478</v>
      </c>
      <c r="AX141" s="203">
        <v>1</v>
      </c>
      <c r="AY141" s="203">
        <v>15</v>
      </c>
      <c r="AZ141" s="217">
        <v>13634.513634513653</v>
      </c>
      <c r="BA141" s="217">
        <v>0</v>
      </c>
      <c r="BB141" s="203">
        <v>0</v>
      </c>
      <c r="BC141" s="203">
        <v>0</v>
      </c>
      <c r="BD141" s="307" t="s">
        <v>687</v>
      </c>
    </row>
    <row r="142" spans="1:56" x14ac:dyDescent="0.45">
      <c r="A142">
        <v>335</v>
      </c>
      <c r="B142" t="s">
        <v>136</v>
      </c>
      <c r="C142" s="238" t="s">
        <v>568</v>
      </c>
      <c r="D142" s="280">
        <v>56636835.619999997</v>
      </c>
      <c r="E142" s="203">
        <v>14733</v>
      </c>
      <c r="F142" s="282">
        <v>18555</v>
      </c>
      <c r="G142" s="286">
        <v>0.2594176338831195</v>
      </c>
      <c r="H142" s="160">
        <v>23108</v>
      </c>
      <c r="I142" s="159">
        <v>22396</v>
      </c>
      <c r="J142" s="159">
        <v>300</v>
      </c>
      <c r="K142" s="159">
        <v>220</v>
      </c>
      <c r="L142" s="159">
        <v>790</v>
      </c>
      <c r="M142" s="170">
        <v>4.12861218108126E-2</v>
      </c>
      <c r="N142" s="270">
        <v>17361</v>
      </c>
      <c r="O142" s="273">
        <v>17449</v>
      </c>
      <c r="P142" s="274">
        <v>5.0688324405276201E-3</v>
      </c>
      <c r="Q142" s="273">
        <v>17884</v>
      </c>
      <c r="R142" s="272">
        <v>3.0124992799953901E-2</v>
      </c>
      <c r="S142" s="255">
        <v>72.900000000000006</v>
      </c>
      <c r="T142" s="256">
        <v>12.4</v>
      </c>
      <c r="U142" s="256">
        <v>4.3</v>
      </c>
      <c r="V142" s="257">
        <v>89.6</v>
      </c>
      <c r="W142" s="160">
        <v>164</v>
      </c>
      <c r="X142" s="159">
        <v>0</v>
      </c>
      <c r="Y142" s="159">
        <v>100</v>
      </c>
      <c r="Z142" s="159">
        <v>0</v>
      </c>
      <c r="AA142" s="159">
        <v>0</v>
      </c>
      <c r="AB142" s="159">
        <v>3228</v>
      </c>
      <c r="AC142" s="159">
        <v>9387</v>
      </c>
      <c r="AD142" s="159">
        <v>9097</v>
      </c>
      <c r="AE142" s="159">
        <v>0</v>
      </c>
      <c r="AF142" s="203">
        <v>0</v>
      </c>
      <c r="AG142" s="237">
        <v>164</v>
      </c>
      <c r="AH142" s="233">
        <v>0</v>
      </c>
      <c r="AI142" s="233">
        <v>0</v>
      </c>
      <c r="AJ142" s="233">
        <v>100</v>
      </c>
      <c r="AK142" s="233">
        <v>0</v>
      </c>
      <c r="AL142" s="233">
        <v>0</v>
      </c>
      <c r="AM142" s="233">
        <v>1728</v>
      </c>
      <c r="AN142" s="233">
        <v>2614</v>
      </c>
      <c r="AO142" s="233">
        <v>9456</v>
      </c>
      <c r="AP142" s="233">
        <v>6264</v>
      </c>
      <c r="AQ142" s="233">
        <v>1350</v>
      </c>
      <c r="AR142" s="238">
        <v>300</v>
      </c>
      <c r="AS142" s="217">
        <v>0</v>
      </c>
      <c r="AT142" s="203">
        <v>0</v>
      </c>
      <c r="AU142" s="203">
        <v>0</v>
      </c>
      <c r="AV142" s="217" t="s">
        <v>687</v>
      </c>
      <c r="AW142" s="217">
        <v>0</v>
      </c>
      <c r="AX142" s="203">
        <v>0</v>
      </c>
      <c r="AY142" s="203">
        <v>0</v>
      </c>
      <c r="AZ142" s="217" t="s">
        <v>687</v>
      </c>
      <c r="BA142" s="217">
        <v>0</v>
      </c>
      <c r="BB142" s="203">
        <v>0</v>
      </c>
      <c r="BC142" s="203">
        <v>0</v>
      </c>
      <c r="BD142" s="307" t="s">
        <v>687</v>
      </c>
    </row>
    <row r="143" spans="1:56" x14ac:dyDescent="0.45">
      <c r="A143">
        <v>320</v>
      </c>
      <c r="B143" t="s">
        <v>137</v>
      </c>
      <c r="C143" s="238" t="s">
        <v>564</v>
      </c>
      <c r="D143" s="280">
        <v>210347814.08000001</v>
      </c>
      <c r="E143" s="203">
        <v>12107</v>
      </c>
      <c r="F143" s="282">
        <v>14978</v>
      </c>
      <c r="G143" s="286">
        <v>0.23713554142231766</v>
      </c>
      <c r="H143" s="160">
        <v>15639</v>
      </c>
      <c r="I143" s="159">
        <v>18105</v>
      </c>
      <c r="J143" s="159">
        <v>391</v>
      </c>
      <c r="K143" s="159">
        <v>0</v>
      </c>
      <c r="L143" s="159">
        <v>810</v>
      </c>
      <c r="M143" s="170">
        <v>5.10320974655913E-2</v>
      </c>
      <c r="N143" s="270">
        <v>13477</v>
      </c>
      <c r="O143" s="273">
        <v>13937</v>
      </c>
      <c r="P143" s="274">
        <v>3.4132225272686799E-2</v>
      </c>
      <c r="Q143" s="273">
        <v>14250</v>
      </c>
      <c r="R143" s="272">
        <v>5.7356978556058501E-2</v>
      </c>
      <c r="S143" s="255">
        <v>74.2</v>
      </c>
      <c r="T143" s="256">
        <v>12.6</v>
      </c>
      <c r="U143" s="256">
        <v>4.3</v>
      </c>
      <c r="V143" s="257">
        <v>91</v>
      </c>
      <c r="W143" s="160">
        <v>120</v>
      </c>
      <c r="X143" s="159">
        <v>0</v>
      </c>
      <c r="Y143" s="159">
        <v>0</v>
      </c>
      <c r="Z143" s="159">
        <v>0</v>
      </c>
      <c r="AA143" s="159">
        <v>0</v>
      </c>
      <c r="AB143" s="159">
        <v>1400</v>
      </c>
      <c r="AC143" s="159">
        <v>15325</v>
      </c>
      <c r="AD143" s="159">
        <v>0</v>
      </c>
      <c r="AE143" s="159">
        <v>0</v>
      </c>
      <c r="AF143" s="203">
        <v>0</v>
      </c>
      <c r="AG143" s="237">
        <v>120</v>
      </c>
      <c r="AH143" s="233">
        <v>0</v>
      </c>
      <c r="AI143" s="233">
        <v>0</v>
      </c>
      <c r="AJ143" s="233">
        <v>0</v>
      </c>
      <c r="AK143" s="233">
        <v>0</v>
      </c>
      <c r="AL143" s="233">
        <v>0</v>
      </c>
      <c r="AM143" s="233">
        <v>2000</v>
      </c>
      <c r="AN143" s="233">
        <v>3114</v>
      </c>
      <c r="AO143" s="233">
        <v>8224</v>
      </c>
      <c r="AP143" s="233">
        <v>1887</v>
      </c>
      <c r="AQ143" s="233">
        <v>0</v>
      </c>
      <c r="AR143" s="238">
        <v>1500</v>
      </c>
      <c r="AS143" s="217">
        <v>17932627.786649719</v>
      </c>
      <c r="AT143" s="203">
        <v>2</v>
      </c>
      <c r="AU143" s="203">
        <v>600</v>
      </c>
      <c r="AV143" s="217">
        <v>29887.712977749532</v>
      </c>
      <c r="AW143" s="217">
        <v>0</v>
      </c>
      <c r="AX143" s="203">
        <v>0</v>
      </c>
      <c r="AY143" s="203">
        <v>0</v>
      </c>
      <c r="AZ143" s="217" t="s">
        <v>687</v>
      </c>
      <c r="BA143" s="217">
        <v>0</v>
      </c>
      <c r="BB143" s="203">
        <v>0</v>
      </c>
      <c r="BC143" s="203">
        <v>0</v>
      </c>
      <c r="BD143" s="307" t="s">
        <v>687</v>
      </c>
    </row>
    <row r="144" spans="1:56" x14ac:dyDescent="0.45">
      <c r="A144">
        <v>212</v>
      </c>
      <c r="B144" t="s">
        <v>138</v>
      </c>
      <c r="C144" s="238" t="s">
        <v>571</v>
      </c>
      <c r="D144" s="280">
        <v>62105498.010000005</v>
      </c>
      <c r="E144" s="203">
        <v>8186</v>
      </c>
      <c r="F144" s="282">
        <v>10639</v>
      </c>
      <c r="G144" s="286">
        <v>0.2996579526020034</v>
      </c>
      <c r="H144" s="160">
        <v>13205</v>
      </c>
      <c r="I144" s="159">
        <v>14635</v>
      </c>
      <c r="J144" s="159">
        <v>844</v>
      </c>
      <c r="K144" s="159">
        <v>0</v>
      </c>
      <c r="L144" s="159">
        <v>1680</v>
      </c>
      <c r="M144" s="170">
        <v>0.136466360721647</v>
      </c>
      <c r="N144" s="270">
        <v>9474</v>
      </c>
      <c r="O144" s="273">
        <v>9507</v>
      </c>
      <c r="P144" s="274">
        <v>3.4832172260924601E-3</v>
      </c>
      <c r="Q144" s="273">
        <v>9631</v>
      </c>
      <c r="R144" s="272">
        <v>1.65716698332278E-2</v>
      </c>
      <c r="S144" s="255">
        <v>60.9</v>
      </c>
      <c r="T144" s="256">
        <v>16.100000000000001</v>
      </c>
      <c r="U144" s="256">
        <v>8.5</v>
      </c>
      <c r="V144" s="257">
        <v>85.4</v>
      </c>
      <c r="W144" s="160">
        <v>0</v>
      </c>
      <c r="X144" s="159">
        <v>0</v>
      </c>
      <c r="Y144" s="159">
        <v>0</v>
      </c>
      <c r="Z144" s="159">
        <v>0</v>
      </c>
      <c r="AA144" s="159">
        <v>0</v>
      </c>
      <c r="AB144" s="159">
        <v>4600</v>
      </c>
      <c r="AC144" s="159">
        <v>8775</v>
      </c>
      <c r="AD144" s="159">
        <v>1260</v>
      </c>
      <c r="AE144" s="159">
        <v>0</v>
      </c>
      <c r="AF144" s="203">
        <v>0</v>
      </c>
      <c r="AG144" s="237">
        <v>0</v>
      </c>
      <c r="AH144" s="233">
        <v>0</v>
      </c>
      <c r="AI144" s="233">
        <v>0</v>
      </c>
      <c r="AJ144" s="233">
        <v>0</v>
      </c>
      <c r="AK144" s="233">
        <v>0</v>
      </c>
      <c r="AL144" s="233">
        <v>0</v>
      </c>
      <c r="AM144" s="233">
        <v>5800</v>
      </c>
      <c r="AN144" s="233">
        <v>5350</v>
      </c>
      <c r="AO144" s="233">
        <v>3485</v>
      </c>
      <c r="AP144" s="233">
        <v>0</v>
      </c>
      <c r="AQ144" s="233">
        <v>0</v>
      </c>
      <c r="AR144" s="238">
        <v>0</v>
      </c>
      <c r="AS144" s="217">
        <v>11969639.722827777</v>
      </c>
      <c r="AT144" s="203">
        <v>1</v>
      </c>
      <c r="AU144" s="203">
        <v>576</v>
      </c>
      <c r="AV144" s="217">
        <v>20780.624518798224</v>
      </c>
      <c r="AW144" s="217">
        <v>0</v>
      </c>
      <c r="AX144" s="203">
        <v>0</v>
      </c>
      <c r="AY144" s="203">
        <v>0</v>
      </c>
      <c r="AZ144" s="217" t="s">
        <v>687</v>
      </c>
      <c r="BA144" s="217">
        <v>0</v>
      </c>
      <c r="BB144" s="203">
        <v>0</v>
      </c>
      <c r="BC144" s="203">
        <v>0</v>
      </c>
      <c r="BD144" s="307" t="s">
        <v>687</v>
      </c>
    </row>
    <row r="145" spans="1:56" x14ac:dyDescent="0.45">
      <c r="A145">
        <v>877</v>
      </c>
      <c r="B145" t="s">
        <v>139</v>
      </c>
      <c r="C145" s="238" t="s">
        <v>569</v>
      </c>
      <c r="D145" s="280">
        <v>32212231.130000003</v>
      </c>
      <c r="E145" s="203">
        <v>12100</v>
      </c>
      <c r="F145" s="282">
        <v>12922</v>
      </c>
      <c r="G145" s="286">
        <v>6.7933884297520661E-2</v>
      </c>
      <c r="H145" s="160">
        <v>15194</v>
      </c>
      <c r="I145" s="159">
        <v>15179</v>
      </c>
      <c r="J145" s="159">
        <v>639</v>
      </c>
      <c r="K145" s="159">
        <v>0</v>
      </c>
      <c r="L145" s="159">
        <v>1660</v>
      </c>
      <c r="M145" s="170">
        <v>0.113822177736864</v>
      </c>
      <c r="N145" s="270">
        <v>11934</v>
      </c>
      <c r="O145" s="273">
        <v>11946</v>
      </c>
      <c r="P145" s="274">
        <v>1.00553041729512E-3</v>
      </c>
      <c r="Q145" s="273">
        <v>12455</v>
      </c>
      <c r="R145" s="272">
        <v>4.3656778950896598E-2</v>
      </c>
      <c r="S145" s="255">
        <v>87.4</v>
      </c>
      <c r="T145" s="256">
        <v>7.5</v>
      </c>
      <c r="U145" s="256">
        <v>1.5</v>
      </c>
      <c r="V145" s="257">
        <v>96.4</v>
      </c>
      <c r="W145" s="160">
        <v>0</v>
      </c>
      <c r="X145" s="159">
        <v>211</v>
      </c>
      <c r="Y145" s="159">
        <v>163</v>
      </c>
      <c r="Z145" s="159">
        <v>0</v>
      </c>
      <c r="AA145" s="159">
        <v>0</v>
      </c>
      <c r="AB145" s="159">
        <v>2362</v>
      </c>
      <c r="AC145" s="159">
        <v>8690</v>
      </c>
      <c r="AD145" s="159">
        <v>2178</v>
      </c>
      <c r="AE145" s="159">
        <v>0</v>
      </c>
      <c r="AF145" s="203">
        <v>0</v>
      </c>
      <c r="AG145" s="237">
        <v>46</v>
      </c>
      <c r="AH145" s="233">
        <v>0</v>
      </c>
      <c r="AI145" s="233">
        <v>328</v>
      </c>
      <c r="AJ145" s="233">
        <v>0</v>
      </c>
      <c r="AK145" s="233">
        <v>0</v>
      </c>
      <c r="AL145" s="233">
        <v>0</v>
      </c>
      <c r="AM145" s="233">
        <v>2703</v>
      </c>
      <c r="AN145" s="233">
        <v>1936</v>
      </c>
      <c r="AO145" s="233">
        <v>7146</v>
      </c>
      <c r="AP145" s="233">
        <v>825</v>
      </c>
      <c r="AQ145" s="233">
        <v>0</v>
      </c>
      <c r="AR145" s="238">
        <v>620</v>
      </c>
      <c r="AS145" s="217">
        <v>0</v>
      </c>
      <c r="AT145" s="203">
        <v>0</v>
      </c>
      <c r="AU145" s="203">
        <v>0</v>
      </c>
      <c r="AV145" s="217" t="s">
        <v>687</v>
      </c>
      <c r="AW145" s="217">
        <v>0</v>
      </c>
      <c r="AX145" s="203">
        <v>0</v>
      </c>
      <c r="AY145" s="203">
        <v>0</v>
      </c>
      <c r="AZ145" s="217" t="s">
        <v>687</v>
      </c>
      <c r="BA145" s="217">
        <v>0</v>
      </c>
      <c r="BB145" s="203">
        <v>0</v>
      </c>
      <c r="BC145" s="203">
        <v>0</v>
      </c>
      <c r="BD145" s="307" t="s">
        <v>687</v>
      </c>
    </row>
    <row r="146" spans="1:56" x14ac:dyDescent="0.45">
      <c r="A146">
        <v>937</v>
      </c>
      <c r="B146" t="s">
        <v>140</v>
      </c>
      <c r="C146" s="238" t="s">
        <v>568</v>
      </c>
      <c r="D146" s="280">
        <v>120349446.73</v>
      </c>
      <c r="E146" s="203">
        <v>29696</v>
      </c>
      <c r="F146" s="282">
        <v>34529</v>
      </c>
      <c r="G146" s="286">
        <v>0.16274919181034483</v>
      </c>
      <c r="H146" s="160">
        <v>36185</v>
      </c>
      <c r="I146" s="159">
        <v>40746</v>
      </c>
      <c r="J146" s="159">
        <v>545</v>
      </c>
      <c r="K146" s="159">
        <v>920</v>
      </c>
      <c r="L146" s="159">
        <v>1730</v>
      </c>
      <c r="M146" s="170">
        <v>4.8897112995370202E-2</v>
      </c>
      <c r="N146" s="270">
        <v>30225</v>
      </c>
      <c r="O146" s="273">
        <v>31240</v>
      </c>
      <c r="P146" s="274">
        <v>3.3581472291149703E-2</v>
      </c>
      <c r="Q146" s="273">
        <v>31685</v>
      </c>
      <c r="R146" s="272">
        <v>4.8304383788254801E-2</v>
      </c>
      <c r="S146" s="255">
        <v>80.400000000000006</v>
      </c>
      <c r="T146" s="256">
        <v>9.9</v>
      </c>
      <c r="U146" s="256">
        <v>3.1</v>
      </c>
      <c r="V146" s="257">
        <v>93.4</v>
      </c>
      <c r="W146" s="160">
        <v>123</v>
      </c>
      <c r="X146" s="159">
        <v>344</v>
      </c>
      <c r="Y146" s="159">
        <v>0</v>
      </c>
      <c r="Z146" s="159">
        <v>370</v>
      </c>
      <c r="AA146" s="159">
        <v>0</v>
      </c>
      <c r="AB146" s="159">
        <v>14316</v>
      </c>
      <c r="AC146" s="159">
        <v>19073</v>
      </c>
      <c r="AD146" s="159">
        <v>3960</v>
      </c>
      <c r="AE146" s="159">
        <v>1100</v>
      </c>
      <c r="AF146" s="203">
        <v>0</v>
      </c>
      <c r="AG146" s="237">
        <v>18</v>
      </c>
      <c r="AH146" s="233">
        <v>0</v>
      </c>
      <c r="AI146" s="233">
        <v>285</v>
      </c>
      <c r="AJ146" s="233">
        <v>144</v>
      </c>
      <c r="AK146" s="233">
        <v>20</v>
      </c>
      <c r="AL146" s="233">
        <v>370</v>
      </c>
      <c r="AM146" s="233">
        <v>4047</v>
      </c>
      <c r="AN146" s="233">
        <v>5970</v>
      </c>
      <c r="AO146" s="233">
        <v>16670</v>
      </c>
      <c r="AP146" s="233">
        <v>3936</v>
      </c>
      <c r="AQ146" s="233">
        <v>4930</v>
      </c>
      <c r="AR146" s="238">
        <v>2896</v>
      </c>
      <c r="AS146" s="217">
        <v>6867598.3262380892</v>
      </c>
      <c r="AT146" s="203">
        <v>5</v>
      </c>
      <c r="AU146" s="203">
        <v>330</v>
      </c>
      <c r="AV146" s="217">
        <v>20810.9040189033</v>
      </c>
      <c r="AW146" s="217">
        <v>0</v>
      </c>
      <c r="AX146" s="203">
        <v>0</v>
      </c>
      <c r="AY146" s="203">
        <v>0</v>
      </c>
      <c r="AZ146" s="217" t="s">
        <v>687</v>
      </c>
      <c r="BA146" s="217">
        <v>0</v>
      </c>
      <c r="BB146" s="203">
        <v>0</v>
      </c>
      <c r="BC146" s="203">
        <v>0</v>
      </c>
      <c r="BD146" s="307" t="s">
        <v>687</v>
      </c>
    </row>
    <row r="147" spans="1:56" x14ac:dyDescent="0.45">
      <c r="A147">
        <v>869</v>
      </c>
      <c r="B147" t="s">
        <v>141</v>
      </c>
      <c r="C147" s="238" t="s">
        <v>570</v>
      </c>
      <c r="D147" s="280">
        <v>32047920.150000002</v>
      </c>
      <c r="E147" s="203">
        <v>9806</v>
      </c>
      <c r="F147" s="282">
        <v>10188</v>
      </c>
      <c r="G147" s="286">
        <v>3.8955741382826842E-2</v>
      </c>
      <c r="H147" s="160">
        <v>12766</v>
      </c>
      <c r="I147" s="159">
        <v>13064</v>
      </c>
      <c r="J147" s="159">
        <v>295</v>
      </c>
      <c r="K147" s="159">
        <v>130</v>
      </c>
      <c r="L147" s="159">
        <v>1060</v>
      </c>
      <c r="M147" s="170">
        <v>9.4956774941274996E-2</v>
      </c>
      <c r="N147" s="270">
        <v>9320</v>
      </c>
      <c r="O147" s="273">
        <v>9405</v>
      </c>
      <c r="P147" s="274">
        <v>9.1201716738197394E-3</v>
      </c>
      <c r="Q147" s="273">
        <v>9552</v>
      </c>
      <c r="R147" s="272">
        <v>2.48927038626609E-2</v>
      </c>
      <c r="S147" s="255">
        <v>89.8</v>
      </c>
      <c r="T147" s="256">
        <v>5.3</v>
      </c>
      <c r="U147" s="256">
        <v>1.5</v>
      </c>
      <c r="V147" s="257">
        <v>96.6</v>
      </c>
      <c r="W147" s="160">
        <v>0</v>
      </c>
      <c r="X147" s="159">
        <v>0</v>
      </c>
      <c r="Y147" s="159">
        <v>0</v>
      </c>
      <c r="Z147" s="159">
        <v>0</v>
      </c>
      <c r="AA147" s="159">
        <v>0</v>
      </c>
      <c r="AB147" s="159">
        <v>3039</v>
      </c>
      <c r="AC147" s="159">
        <v>8636</v>
      </c>
      <c r="AD147" s="159">
        <v>0</v>
      </c>
      <c r="AE147" s="159">
        <v>0</v>
      </c>
      <c r="AF147" s="203">
        <v>0</v>
      </c>
      <c r="AG147" s="237">
        <v>0</v>
      </c>
      <c r="AH147" s="233">
        <v>0</v>
      </c>
      <c r="AI147" s="233">
        <v>0</v>
      </c>
      <c r="AJ147" s="233">
        <v>0</v>
      </c>
      <c r="AK147" s="233">
        <v>0</v>
      </c>
      <c r="AL147" s="233">
        <v>0</v>
      </c>
      <c r="AM147" s="233">
        <v>0</v>
      </c>
      <c r="AN147" s="233">
        <v>2847</v>
      </c>
      <c r="AO147" s="233">
        <v>7691</v>
      </c>
      <c r="AP147" s="233">
        <v>1137</v>
      </c>
      <c r="AQ147" s="233">
        <v>0</v>
      </c>
      <c r="AR147" s="238">
        <v>0</v>
      </c>
      <c r="AS147" s="217">
        <v>0</v>
      </c>
      <c r="AT147" s="203">
        <v>0</v>
      </c>
      <c r="AU147" s="203">
        <v>0</v>
      </c>
      <c r="AV147" s="217" t="s">
        <v>687</v>
      </c>
      <c r="AW147" s="217">
        <v>0</v>
      </c>
      <c r="AX147" s="203">
        <v>0</v>
      </c>
      <c r="AY147" s="203">
        <v>0</v>
      </c>
      <c r="AZ147" s="217" t="s">
        <v>687</v>
      </c>
      <c r="BA147" s="217">
        <v>0</v>
      </c>
      <c r="BB147" s="203">
        <v>0</v>
      </c>
      <c r="BC147" s="203">
        <v>0</v>
      </c>
      <c r="BD147" s="307" t="s">
        <v>687</v>
      </c>
    </row>
    <row r="148" spans="1:56" x14ac:dyDescent="0.45">
      <c r="A148">
        <v>938</v>
      </c>
      <c r="B148" t="s">
        <v>142</v>
      </c>
      <c r="C148" s="238" t="s">
        <v>570</v>
      </c>
      <c r="D148" s="280">
        <v>248466382.16</v>
      </c>
      <c r="E148" s="203">
        <v>36791</v>
      </c>
      <c r="F148" s="282">
        <v>46346</v>
      </c>
      <c r="G148" s="286">
        <v>0.25971025522546276</v>
      </c>
      <c r="H148" s="160">
        <v>48755</v>
      </c>
      <c r="I148" s="159">
        <v>53462</v>
      </c>
      <c r="J148" s="159">
        <v>2640</v>
      </c>
      <c r="K148" s="159">
        <v>1190</v>
      </c>
      <c r="L148" s="159">
        <v>5300</v>
      </c>
      <c r="M148" s="170">
        <v>0.10506598949117001</v>
      </c>
      <c r="N148" s="270">
        <v>41200</v>
      </c>
      <c r="O148" s="273">
        <v>41752</v>
      </c>
      <c r="P148" s="274">
        <v>1.33980582524272E-2</v>
      </c>
      <c r="Q148" s="273">
        <v>42981</v>
      </c>
      <c r="R148" s="272">
        <v>4.3228155339805799E-2</v>
      </c>
      <c r="S148" s="255">
        <v>84.3</v>
      </c>
      <c r="T148" s="256">
        <v>8.9</v>
      </c>
      <c r="U148" s="256">
        <v>3.2</v>
      </c>
      <c r="V148" s="257">
        <v>96.4</v>
      </c>
      <c r="W148" s="160">
        <v>61</v>
      </c>
      <c r="X148" s="159">
        <v>102</v>
      </c>
      <c r="Y148" s="159">
        <v>52</v>
      </c>
      <c r="Z148" s="159">
        <v>0</v>
      </c>
      <c r="AA148" s="159">
        <v>0</v>
      </c>
      <c r="AB148" s="159">
        <v>12768</v>
      </c>
      <c r="AC148" s="159">
        <v>32088</v>
      </c>
      <c r="AD148" s="159">
        <v>7551</v>
      </c>
      <c r="AE148" s="159">
        <v>0</v>
      </c>
      <c r="AF148" s="203">
        <v>0</v>
      </c>
      <c r="AG148" s="237">
        <v>61</v>
      </c>
      <c r="AH148" s="233">
        <v>0</v>
      </c>
      <c r="AI148" s="233">
        <v>52</v>
      </c>
      <c r="AJ148" s="233">
        <v>102</v>
      </c>
      <c r="AK148" s="233">
        <v>0</v>
      </c>
      <c r="AL148" s="233">
        <v>0</v>
      </c>
      <c r="AM148" s="233">
        <v>4945</v>
      </c>
      <c r="AN148" s="233">
        <v>18331</v>
      </c>
      <c r="AO148" s="233">
        <v>14795</v>
      </c>
      <c r="AP148" s="233">
        <v>10256</v>
      </c>
      <c r="AQ148" s="233">
        <v>4080</v>
      </c>
      <c r="AR148" s="238">
        <v>0</v>
      </c>
      <c r="AS148" s="217">
        <v>34665994.832105249</v>
      </c>
      <c r="AT148" s="203">
        <v>5</v>
      </c>
      <c r="AU148" s="203">
        <v>1050</v>
      </c>
      <c r="AV148" s="217">
        <v>33015.233173433568</v>
      </c>
      <c r="AW148" s="217">
        <v>0</v>
      </c>
      <c r="AX148" s="203">
        <v>0</v>
      </c>
      <c r="AY148" s="203">
        <v>0</v>
      </c>
      <c r="AZ148" s="217" t="s">
        <v>687</v>
      </c>
      <c r="BA148" s="217">
        <v>23483952.702702709</v>
      </c>
      <c r="BB148" s="203">
        <v>1</v>
      </c>
      <c r="BC148" s="203">
        <v>900</v>
      </c>
      <c r="BD148" s="307">
        <v>26093.280780780788</v>
      </c>
    </row>
    <row r="149" spans="1:56" x14ac:dyDescent="0.45">
      <c r="A149">
        <v>213</v>
      </c>
      <c r="B149" t="s">
        <v>143</v>
      </c>
      <c r="C149" s="238" t="s">
        <v>571</v>
      </c>
      <c r="D149" s="280">
        <v>28720662.600000001</v>
      </c>
      <c r="E149" s="203">
        <v>4268</v>
      </c>
      <c r="F149" s="282">
        <v>9232</v>
      </c>
      <c r="G149" s="286">
        <v>1.1630740393626993</v>
      </c>
      <c r="H149" s="160">
        <v>9318</v>
      </c>
      <c r="I149" s="159">
        <v>12113</v>
      </c>
      <c r="J149" s="159">
        <v>470</v>
      </c>
      <c r="K149" s="159">
        <v>100</v>
      </c>
      <c r="L149" s="159">
        <v>210</v>
      </c>
      <c r="M149" s="170">
        <v>2.2752813819169299E-2</v>
      </c>
      <c r="N149" s="270">
        <v>8668</v>
      </c>
      <c r="O149" s="273">
        <v>8718</v>
      </c>
      <c r="P149" s="274">
        <v>5.76834333179511E-3</v>
      </c>
      <c r="Q149" s="273">
        <v>9083</v>
      </c>
      <c r="R149" s="272">
        <v>4.7877249653899397E-2</v>
      </c>
      <c r="S149" s="255">
        <v>65.3</v>
      </c>
      <c r="T149" s="256">
        <v>14.8</v>
      </c>
      <c r="U149" s="256">
        <v>7.5</v>
      </c>
      <c r="V149" s="257">
        <v>87.6</v>
      </c>
      <c r="W149" s="160">
        <v>0</v>
      </c>
      <c r="X149" s="159">
        <v>0</v>
      </c>
      <c r="Y149" s="159">
        <v>0</v>
      </c>
      <c r="Z149" s="159">
        <v>0</v>
      </c>
      <c r="AA149" s="159">
        <v>0</v>
      </c>
      <c r="AB149" s="159">
        <v>7973</v>
      </c>
      <c r="AC149" s="159">
        <v>1720</v>
      </c>
      <c r="AD149" s="159">
        <v>0</v>
      </c>
      <c r="AE149" s="159">
        <v>0</v>
      </c>
      <c r="AF149" s="203">
        <v>550</v>
      </c>
      <c r="AG149" s="237">
        <v>0</v>
      </c>
      <c r="AH149" s="233">
        <v>0</v>
      </c>
      <c r="AI149" s="233">
        <v>0</v>
      </c>
      <c r="AJ149" s="233">
        <v>0</v>
      </c>
      <c r="AK149" s="233">
        <v>0</v>
      </c>
      <c r="AL149" s="233">
        <v>0</v>
      </c>
      <c r="AM149" s="233">
        <v>5030</v>
      </c>
      <c r="AN149" s="233">
        <v>2043</v>
      </c>
      <c r="AO149" s="233">
        <v>2620</v>
      </c>
      <c r="AP149" s="233">
        <v>0</v>
      </c>
      <c r="AQ149" s="233">
        <v>0</v>
      </c>
      <c r="AR149" s="238">
        <v>550</v>
      </c>
      <c r="AS149" s="217">
        <v>0</v>
      </c>
      <c r="AT149" s="203">
        <v>0</v>
      </c>
      <c r="AU149" s="203">
        <v>0</v>
      </c>
      <c r="AV149" s="217" t="s">
        <v>687</v>
      </c>
      <c r="AW149" s="217">
        <v>0</v>
      </c>
      <c r="AX149" s="203">
        <v>0</v>
      </c>
      <c r="AY149" s="203">
        <v>0</v>
      </c>
      <c r="AZ149" s="217" t="s">
        <v>687</v>
      </c>
      <c r="BA149" s="217">
        <v>0</v>
      </c>
      <c r="BB149" s="203">
        <v>0</v>
      </c>
      <c r="BC149" s="203">
        <v>0</v>
      </c>
      <c r="BD149" s="307" t="s">
        <v>687</v>
      </c>
    </row>
    <row r="150" spans="1:56" x14ac:dyDescent="0.45">
      <c r="A150">
        <v>359</v>
      </c>
      <c r="B150" t="s">
        <v>144</v>
      </c>
      <c r="C150" s="238" t="s">
        <v>569</v>
      </c>
      <c r="D150" s="280">
        <v>47148545.749999993</v>
      </c>
      <c r="E150" s="203">
        <v>18616</v>
      </c>
      <c r="F150" s="282">
        <v>19806</v>
      </c>
      <c r="G150" s="286">
        <v>6.3923506660936824E-2</v>
      </c>
      <c r="H150" s="160">
        <v>21289</v>
      </c>
      <c r="I150" s="159">
        <v>21542</v>
      </c>
      <c r="J150" s="159">
        <v>0</v>
      </c>
      <c r="K150" s="159">
        <v>300</v>
      </c>
      <c r="L150" s="159">
        <v>1070</v>
      </c>
      <c r="M150" s="170">
        <v>5.2002766450651897E-2</v>
      </c>
      <c r="N150" s="270">
        <v>17781</v>
      </c>
      <c r="O150" s="273">
        <v>18012</v>
      </c>
      <c r="P150" s="274">
        <v>1.29913953096001E-2</v>
      </c>
      <c r="Q150" s="273">
        <v>18205</v>
      </c>
      <c r="R150" s="272">
        <v>2.3845677970867799E-2</v>
      </c>
      <c r="S150" s="255">
        <v>89.3</v>
      </c>
      <c r="T150" s="256">
        <v>6.6</v>
      </c>
      <c r="U150" s="256">
        <v>0.9</v>
      </c>
      <c r="V150" s="257">
        <v>96.9</v>
      </c>
      <c r="W150" s="160">
        <v>0</v>
      </c>
      <c r="X150" s="159">
        <v>0</v>
      </c>
      <c r="Y150" s="159">
        <v>0</v>
      </c>
      <c r="Z150" s="159">
        <v>0</v>
      </c>
      <c r="AA150" s="159">
        <v>0</v>
      </c>
      <c r="AB150" s="159">
        <v>0</v>
      </c>
      <c r="AC150" s="159">
        <v>14821</v>
      </c>
      <c r="AD150" s="159">
        <v>3896</v>
      </c>
      <c r="AE150" s="159">
        <v>0</v>
      </c>
      <c r="AF150" s="203">
        <v>0</v>
      </c>
      <c r="AG150" s="237">
        <v>0</v>
      </c>
      <c r="AH150" s="233">
        <v>0</v>
      </c>
      <c r="AI150" s="233">
        <v>0</v>
      </c>
      <c r="AJ150" s="233">
        <v>0</v>
      </c>
      <c r="AK150" s="233">
        <v>0</v>
      </c>
      <c r="AL150" s="233">
        <v>0</v>
      </c>
      <c r="AM150" s="233">
        <v>909</v>
      </c>
      <c r="AN150" s="233">
        <v>1300</v>
      </c>
      <c r="AO150" s="233">
        <v>3550</v>
      </c>
      <c r="AP150" s="233">
        <v>9736</v>
      </c>
      <c r="AQ150" s="233">
        <v>2722</v>
      </c>
      <c r="AR150" s="238">
        <v>500</v>
      </c>
      <c r="AS150" s="217">
        <v>10001395.986342195</v>
      </c>
      <c r="AT150" s="203">
        <v>4</v>
      </c>
      <c r="AU150" s="203">
        <v>620</v>
      </c>
      <c r="AV150" s="217">
        <v>16131.283848939025</v>
      </c>
      <c r="AW150" s="217">
        <v>0</v>
      </c>
      <c r="AX150" s="203">
        <v>0</v>
      </c>
      <c r="AY150" s="203">
        <v>0</v>
      </c>
      <c r="AZ150" s="217" t="s">
        <v>687</v>
      </c>
      <c r="BA150" s="217">
        <v>0</v>
      </c>
      <c r="BB150" s="203">
        <v>0</v>
      </c>
      <c r="BC150" s="203">
        <v>0</v>
      </c>
      <c r="BD150" s="307" t="s">
        <v>687</v>
      </c>
    </row>
    <row r="151" spans="1:56" x14ac:dyDescent="0.45">
      <c r="A151">
        <v>865</v>
      </c>
      <c r="B151" t="s">
        <v>145</v>
      </c>
      <c r="C151" s="238" t="s">
        <v>566</v>
      </c>
      <c r="D151" s="280">
        <v>68201550.689999998</v>
      </c>
      <c r="E151" s="203">
        <v>24920</v>
      </c>
      <c r="F151" s="282">
        <v>27714</v>
      </c>
      <c r="G151" s="286">
        <v>0.11211878009630818</v>
      </c>
      <c r="H151" s="160">
        <v>33209</v>
      </c>
      <c r="I151" s="159">
        <v>36025</v>
      </c>
      <c r="J151" s="159">
        <v>644</v>
      </c>
      <c r="K151" s="159">
        <v>270</v>
      </c>
      <c r="L151" s="159">
        <v>5030</v>
      </c>
      <c r="M151" s="170">
        <v>0.154801972111236</v>
      </c>
      <c r="N151" s="270">
        <v>24765</v>
      </c>
      <c r="O151" s="273">
        <v>25551</v>
      </c>
      <c r="P151" s="274">
        <v>3.1738340399757703E-2</v>
      </c>
      <c r="Q151" s="273">
        <v>26524</v>
      </c>
      <c r="R151" s="272">
        <v>7.1027660004037999E-2</v>
      </c>
      <c r="S151" s="255">
        <v>93.1</v>
      </c>
      <c r="T151" s="256">
        <v>3.9</v>
      </c>
      <c r="U151" s="256">
        <v>0.9</v>
      </c>
      <c r="V151" s="257">
        <v>98</v>
      </c>
      <c r="W151" s="160">
        <v>0</v>
      </c>
      <c r="X151" s="159">
        <v>346</v>
      </c>
      <c r="Y151" s="159">
        <v>0</v>
      </c>
      <c r="Z151" s="159">
        <v>0</v>
      </c>
      <c r="AA151" s="159">
        <v>0</v>
      </c>
      <c r="AB151" s="159">
        <v>7878</v>
      </c>
      <c r="AC151" s="159">
        <v>19956</v>
      </c>
      <c r="AD151" s="159">
        <v>7245</v>
      </c>
      <c r="AE151" s="159">
        <v>600</v>
      </c>
      <c r="AF151" s="203">
        <v>0</v>
      </c>
      <c r="AG151" s="237">
        <v>0</v>
      </c>
      <c r="AH151" s="233">
        <v>0</v>
      </c>
      <c r="AI151" s="233">
        <v>346</v>
      </c>
      <c r="AJ151" s="233">
        <v>0</v>
      </c>
      <c r="AK151" s="233">
        <v>0</v>
      </c>
      <c r="AL151" s="233">
        <v>0</v>
      </c>
      <c r="AM151" s="233">
        <v>3056</v>
      </c>
      <c r="AN151" s="233">
        <v>7778</v>
      </c>
      <c r="AO151" s="233">
        <v>18401</v>
      </c>
      <c r="AP151" s="233">
        <v>3959</v>
      </c>
      <c r="AQ151" s="233">
        <v>1885</v>
      </c>
      <c r="AR151" s="238">
        <v>600</v>
      </c>
      <c r="AS151" s="217">
        <v>7334571.442540532</v>
      </c>
      <c r="AT151" s="203">
        <v>3</v>
      </c>
      <c r="AU151" s="203">
        <v>380</v>
      </c>
      <c r="AV151" s="217">
        <v>19301.503796159293</v>
      </c>
      <c r="AW151" s="217">
        <v>0</v>
      </c>
      <c r="AX151" s="203">
        <v>0</v>
      </c>
      <c r="AY151" s="203">
        <v>0</v>
      </c>
      <c r="AZ151" s="217" t="s">
        <v>687</v>
      </c>
      <c r="BA151" s="217">
        <v>0</v>
      </c>
      <c r="BB151" s="203">
        <v>0</v>
      </c>
      <c r="BC151" s="203">
        <v>0</v>
      </c>
      <c r="BD151" s="307" t="s">
        <v>687</v>
      </c>
    </row>
    <row r="152" spans="1:56" x14ac:dyDescent="0.45">
      <c r="A152">
        <v>868</v>
      </c>
      <c r="B152" t="s">
        <v>146</v>
      </c>
      <c r="C152" s="238" t="s">
        <v>570</v>
      </c>
      <c r="D152" s="280">
        <v>31563843.239999998</v>
      </c>
      <c r="E152" s="203">
        <v>7722</v>
      </c>
      <c r="F152" s="282">
        <v>9004</v>
      </c>
      <c r="G152" s="286">
        <v>0.16601916601916603</v>
      </c>
      <c r="H152" s="160">
        <v>10944</v>
      </c>
      <c r="I152" s="159">
        <v>12960</v>
      </c>
      <c r="J152" s="159">
        <v>420</v>
      </c>
      <c r="K152" s="159">
        <v>0</v>
      </c>
      <c r="L152" s="159">
        <v>1450</v>
      </c>
      <c r="M152" s="170">
        <v>0.13903020462459501</v>
      </c>
      <c r="N152" s="270">
        <v>7955</v>
      </c>
      <c r="O152" s="273">
        <v>7975</v>
      </c>
      <c r="P152" s="274">
        <v>2.51414204902577E-3</v>
      </c>
      <c r="Q152" s="273">
        <v>8060</v>
      </c>
      <c r="R152" s="272">
        <v>1.31992457573853E-2</v>
      </c>
      <c r="S152" s="255">
        <v>76.5</v>
      </c>
      <c r="T152" s="256">
        <v>12.2</v>
      </c>
      <c r="U152" s="256">
        <v>3.4</v>
      </c>
      <c r="V152" s="257">
        <v>92.1</v>
      </c>
      <c r="W152" s="160">
        <v>124</v>
      </c>
      <c r="X152" s="159">
        <v>229</v>
      </c>
      <c r="Y152" s="159">
        <v>96</v>
      </c>
      <c r="Z152" s="159">
        <v>0</v>
      </c>
      <c r="AA152" s="159">
        <v>0</v>
      </c>
      <c r="AB152" s="159">
        <v>4222</v>
      </c>
      <c r="AC152" s="159">
        <v>6648</v>
      </c>
      <c r="AD152" s="159">
        <v>585</v>
      </c>
      <c r="AE152" s="159">
        <v>0</v>
      </c>
      <c r="AF152" s="203">
        <v>0</v>
      </c>
      <c r="AG152" s="237">
        <v>0</v>
      </c>
      <c r="AH152" s="233">
        <v>124</v>
      </c>
      <c r="AI152" s="233">
        <v>94</v>
      </c>
      <c r="AJ152" s="233">
        <v>135</v>
      </c>
      <c r="AK152" s="233">
        <v>0</v>
      </c>
      <c r="AL152" s="233">
        <v>96</v>
      </c>
      <c r="AM152" s="233">
        <v>1181</v>
      </c>
      <c r="AN152" s="233">
        <v>1642</v>
      </c>
      <c r="AO152" s="233">
        <v>3454</v>
      </c>
      <c r="AP152" s="233">
        <v>2238</v>
      </c>
      <c r="AQ152" s="233">
        <v>0</v>
      </c>
      <c r="AR152" s="238">
        <v>2940</v>
      </c>
      <c r="AS152" s="217">
        <v>2077052.8457849575</v>
      </c>
      <c r="AT152" s="203">
        <v>1</v>
      </c>
      <c r="AU152" s="203">
        <v>120</v>
      </c>
      <c r="AV152" s="217">
        <v>17308.773714874646</v>
      </c>
      <c r="AW152" s="217">
        <v>0</v>
      </c>
      <c r="AX152" s="203">
        <v>0</v>
      </c>
      <c r="AY152" s="203">
        <v>0</v>
      </c>
      <c r="AZ152" s="217" t="s">
        <v>687</v>
      </c>
      <c r="BA152" s="217">
        <v>0</v>
      </c>
      <c r="BB152" s="203">
        <v>0</v>
      </c>
      <c r="BC152" s="203">
        <v>0</v>
      </c>
      <c r="BD152" s="307" t="s">
        <v>687</v>
      </c>
    </row>
    <row r="153" spans="1:56" x14ac:dyDescent="0.45">
      <c r="A153">
        <v>344</v>
      </c>
      <c r="B153" t="s">
        <v>147</v>
      </c>
      <c r="C153" s="238" t="s">
        <v>569</v>
      </c>
      <c r="D153" s="280">
        <v>10319571.82</v>
      </c>
      <c r="E153" s="203">
        <v>18494</v>
      </c>
      <c r="F153" s="282">
        <v>18859</v>
      </c>
      <c r="G153" s="286">
        <v>1.9736130636963341E-2</v>
      </c>
      <c r="H153" s="160">
        <v>28078</v>
      </c>
      <c r="I153" s="159">
        <v>25419</v>
      </c>
      <c r="J153" s="159">
        <v>180</v>
      </c>
      <c r="K153" s="159">
        <v>0</v>
      </c>
      <c r="L153" s="159">
        <v>2920</v>
      </c>
      <c r="M153" s="170">
        <v>0.13418029633262599</v>
      </c>
      <c r="N153" s="270">
        <v>17788</v>
      </c>
      <c r="O153" s="273">
        <v>18026</v>
      </c>
      <c r="P153" s="274">
        <v>1.33798066111986E-2</v>
      </c>
      <c r="Q153" s="273">
        <v>18173</v>
      </c>
      <c r="R153" s="272">
        <v>2.1643804812232999E-2</v>
      </c>
      <c r="S153" s="255">
        <v>87.6</v>
      </c>
      <c r="T153" s="256">
        <v>7.9</v>
      </c>
      <c r="U153" s="256">
        <v>1.6</v>
      </c>
      <c r="V153" s="257">
        <v>97.1</v>
      </c>
      <c r="W153" s="160">
        <v>400</v>
      </c>
      <c r="X153" s="159">
        <v>421</v>
      </c>
      <c r="Y153" s="159">
        <v>104</v>
      </c>
      <c r="Z153" s="159">
        <v>0</v>
      </c>
      <c r="AA153" s="159">
        <v>0</v>
      </c>
      <c r="AB153" s="159">
        <v>8762</v>
      </c>
      <c r="AC153" s="159">
        <v>9216</v>
      </c>
      <c r="AD153" s="159">
        <v>3039</v>
      </c>
      <c r="AE153" s="159">
        <v>0</v>
      </c>
      <c r="AF153" s="203">
        <v>0</v>
      </c>
      <c r="AG153" s="237">
        <v>214</v>
      </c>
      <c r="AH153" s="233">
        <v>379</v>
      </c>
      <c r="AI153" s="233">
        <v>202</v>
      </c>
      <c r="AJ153" s="233">
        <v>24</v>
      </c>
      <c r="AK153" s="233">
        <v>106</v>
      </c>
      <c r="AL153" s="233">
        <v>0</v>
      </c>
      <c r="AM153" s="233">
        <v>3496</v>
      </c>
      <c r="AN153" s="233">
        <v>6860</v>
      </c>
      <c r="AO153" s="233">
        <v>7158</v>
      </c>
      <c r="AP153" s="233">
        <v>1069</v>
      </c>
      <c r="AQ153" s="233">
        <v>2434</v>
      </c>
      <c r="AR153" s="238">
        <v>0</v>
      </c>
      <c r="AS153" s="217">
        <v>0</v>
      </c>
      <c r="AT153" s="203">
        <v>0</v>
      </c>
      <c r="AU153" s="203">
        <v>0</v>
      </c>
      <c r="AV153" s="217" t="s">
        <v>687</v>
      </c>
      <c r="AW153" s="217">
        <v>0</v>
      </c>
      <c r="AX153" s="203">
        <v>0</v>
      </c>
      <c r="AY153" s="203">
        <v>0</v>
      </c>
      <c r="AZ153" s="217" t="s">
        <v>687</v>
      </c>
      <c r="BA153" s="217">
        <v>0</v>
      </c>
      <c r="BB153" s="203">
        <v>0</v>
      </c>
      <c r="BC153" s="203">
        <v>0</v>
      </c>
      <c r="BD153" s="307" t="s">
        <v>687</v>
      </c>
    </row>
    <row r="154" spans="1:56" x14ac:dyDescent="0.45">
      <c r="A154">
        <v>872</v>
      </c>
      <c r="B154" t="s">
        <v>148</v>
      </c>
      <c r="C154" s="238" t="s">
        <v>570</v>
      </c>
      <c r="D154" s="280">
        <v>58885759.640000001</v>
      </c>
      <c r="E154" s="203">
        <v>8465</v>
      </c>
      <c r="F154" s="282">
        <v>10245</v>
      </c>
      <c r="G154" s="286">
        <v>0.21027761370348494</v>
      </c>
      <c r="H154" s="160">
        <v>10278</v>
      </c>
      <c r="I154" s="159">
        <v>12898</v>
      </c>
      <c r="J154" s="159">
        <v>0</v>
      </c>
      <c r="K154" s="159">
        <v>70</v>
      </c>
      <c r="L154" s="159">
        <v>570</v>
      </c>
      <c r="M154" s="170">
        <v>5.2774483863559797E-2</v>
      </c>
      <c r="N154" s="270">
        <v>8986</v>
      </c>
      <c r="O154" s="273">
        <v>8971</v>
      </c>
      <c r="P154" s="274">
        <v>-1.66926329846428E-3</v>
      </c>
      <c r="Q154" s="273">
        <v>8544</v>
      </c>
      <c r="R154" s="272">
        <v>-4.9187625194747397E-2</v>
      </c>
      <c r="S154" s="255">
        <v>79.900000000000006</v>
      </c>
      <c r="T154" s="256">
        <v>10.3</v>
      </c>
      <c r="U154" s="256">
        <v>3.6</v>
      </c>
      <c r="V154" s="257">
        <v>93.8</v>
      </c>
      <c r="W154" s="160">
        <v>106</v>
      </c>
      <c r="X154" s="159">
        <v>0</v>
      </c>
      <c r="Y154" s="159">
        <v>0</v>
      </c>
      <c r="Z154" s="159">
        <v>0</v>
      </c>
      <c r="AA154" s="159">
        <v>0</v>
      </c>
      <c r="AB154" s="159">
        <v>1209</v>
      </c>
      <c r="AC154" s="159">
        <v>10163</v>
      </c>
      <c r="AD154" s="159">
        <v>1210</v>
      </c>
      <c r="AE154" s="159">
        <v>0</v>
      </c>
      <c r="AF154" s="203">
        <v>0</v>
      </c>
      <c r="AG154" s="237">
        <v>106</v>
      </c>
      <c r="AH154" s="233">
        <v>0</v>
      </c>
      <c r="AI154" s="233">
        <v>0</v>
      </c>
      <c r="AJ154" s="233">
        <v>0</v>
      </c>
      <c r="AK154" s="233">
        <v>0</v>
      </c>
      <c r="AL154" s="233">
        <v>0</v>
      </c>
      <c r="AM154" s="233">
        <v>4335</v>
      </c>
      <c r="AN154" s="233">
        <v>1175</v>
      </c>
      <c r="AO154" s="233">
        <v>4102</v>
      </c>
      <c r="AP154" s="233">
        <v>1770</v>
      </c>
      <c r="AQ154" s="233">
        <v>0</v>
      </c>
      <c r="AR154" s="238">
        <v>1200</v>
      </c>
      <c r="AS154" s="217">
        <v>0</v>
      </c>
      <c r="AT154" s="203">
        <v>0</v>
      </c>
      <c r="AU154" s="203">
        <v>0</v>
      </c>
      <c r="AV154" s="217" t="s">
        <v>687</v>
      </c>
      <c r="AW154" s="217">
        <v>0</v>
      </c>
      <c r="AX154" s="203">
        <v>0</v>
      </c>
      <c r="AY154" s="203">
        <v>0</v>
      </c>
      <c r="AZ154" s="217" t="s">
        <v>687</v>
      </c>
      <c r="BA154" s="217">
        <v>38344992.685819715</v>
      </c>
      <c r="BB154" s="203">
        <v>1</v>
      </c>
      <c r="BC154" s="203">
        <v>1200</v>
      </c>
      <c r="BD154" s="307">
        <v>31954.16057151643</v>
      </c>
    </row>
    <row r="155" spans="1:56" x14ac:dyDescent="0.45">
      <c r="A155">
        <v>336</v>
      </c>
      <c r="B155" t="s">
        <v>149</v>
      </c>
      <c r="C155" s="238" t="s">
        <v>568</v>
      </c>
      <c r="D155" s="280">
        <v>47299625.989999995</v>
      </c>
      <c r="E155" s="203">
        <v>12299</v>
      </c>
      <c r="F155" s="282">
        <v>17362</v>
      </c>
      <c r="G155" s="286">
        <v>0.41165948451093587</v>
      </c>
      <c r="H155" s="160">
        <v>18004</v>
      </c>
      <c r="I155" s="159">
        <v>21349</v>
      </c>
      <c r="J155" s="159">
        <v>754</v>
      </c>
      <c r="K155" s="159">
        <v>50</v>
      </c>
      <c r="L155" s="159">
        <v>1020</v>
      </c>
      <c r="M155" s="170">
        <v>5.57077592401507E-2</v>
      </c>
      <c r="N155" s="270">
        <v>15202</v>
      </c>
      <c r="O155" s="273">
        <v>15484</v>
      </c>
      <c r="P155" s="274">
        <v>1.8550190764373101E-2</v>
      </c>
      <c r="Q155" s="273">
        <v>15263</v>
      </c>
      <c r="R155" s="272">
        <v>4.0126299171161697E-3</v>
      </c>
      <c r="S155" s="255">
        <v>71.7</v>
      </c>
      <c r="T155" s="256">
        <v>10.8</v>
      </c>
      <c r="U155" s="256">
        <v>4.9000000000000004</v>
      </c>
      <c r="V155" s="257">
        <v>87.3</v>
      </c>
      <c r="W155" s="160">
        <v>95</v>
      </c>
      <c r="X155" s="159">
        <v>355</v>
      </c>
      <c r="Y155" s="159">
        <v>0</v>
      </c>
      <c r="Z155" s="159">
        <v>0</v>
      </c>
      <c r="AA155" s="159">
        <v>0</v>
      </c>
      <c r="AB155" s="159">
        <v>3264</v>
      </c>
      <c r="AC155" s="159">
        <v>9833</v>
      </c>
      <c r="AD155" s="159">
        <v>2937</v>
      </c>
      <c r="AE155" s="159">
        <v>0</v>
      </c>
      <c r="AF155" s="203">
        <v>0</v>
      </c>
      <c r="AG155" s="237">
        <v>428</v>
      </c>
      <c r="AH155" s="233">
        <v>0</v>
      </c>
      <c r="AI155" s="233">
        <v>22</v>
      </c>
      <c r="AJ155" s="233">
        <v>0</v>
      </c>
      <c r="AK155" s="233">
        <v>0</v>
      </c>
      <c r="AL155" s="233">
        <v>0</v>
      </c>
      <c r="AM155" s="233">
        <v>4281</v>
      </c>
      <c r="AN155" s="233">
        <v>2712</v>
      </c>
      <c r="AO155" s="233">
        <v>4706</v>
      </c>
      <c r="AP155" s="233">
        <v>1906</v>
      </c>
      <c r="AQ155" s="233">
        <v>989</v>
      </c>
      <c r="AR155" s="238">
        <v>1440</v>
      </c>
      <c r="AS155" s="217">
        <v>0</v>
      </c>
      <c r="AT155" s="203">
        <v>0</v>
      </c>
      <c r="AU155" s="203">
        <v>0</v>
      </c>
      <c r="AV155" s="217" t="s">
        <v>687</v>
      </c>
      <c r="AW155" s="217">
        <v>0</v>
      </c>
      <c r="AX155" s="203">
        <v>0</v>
      </c>
      <c r="AY155" s="203">
        <v>0</v>
      </c>
      <c r="AZ155" s="217" t="s">
        <v>687</v>
      </c>
      <c r="BA155" s="217">
        <v>0</v>
      </c>
      <c r="BB155" s="203">
        <v>0</v>
      </c>
      <c r="BC155" s="203">
        <v>0</v>
      </c>
      <c r="BD155" s="307" t="s">
        <v>687</v>
      </c>
    </row>
    <row r="156" spans="1:56" x14ac:dyDescent="0.45">
      <c r="A156">
        <v>885</v>
      </c>
      <c r="B156" t="s">
        <v>150</v>
      </c>
      <c r="C156" s="238" t="s">
        <v>568</v>
      </c>
      <c r="D156" s="280">
        <v>74025212.060000002</v>
      </c>
      <c r="E156" s="203">
        <v>29436</v>
      </c>
      <c r="F156" s="282">
        <v>31524</v>
      </c>
      <c r="G156" s="286">
        <v>7.0933550754178551E-2</v>
      </c>
      <c r="H156" s="160">
        <v>39575</v>
      </c>
      <c r="I156" s="159">
        <v>42725</v>
      </c>
      <c r="J156" s="159">
        <v>760</v>
      </c>
      <c r="K156" s="159">
        <v>260</v>
      </c>
      <c r="L156" s="159">
        <v>4980</v>
      </c>
      <c r="M156" s="170">
        <v>0.13742065733679801</v>
      </c>
      <c r="N156" s="270">
        <v>28706</v>
      </c>
      <c r="O156" s="273">
        <v>29288</v>
      </c>
      <c r="P156" s="274">
        <v>2.0274507071692299E-2</v>
      </c>
      <c r="Q156" s="273">
        <v>29921</v>
      </c>
      <c r="R156" s="272">
        <v>4.2325646206368001E-2</v>
      </c>
      <c r="S156" s="255">
        <v>88</v>
      </c>
      <c r="T156" s="256">
        <v>5</v>
      </c>
      <c r="U156" s="256">
        <v>1.2</v>
      </c>
      <c r="V156" s="257">
        <v>94.1</v>
      </c>
      <c r="W156" s="160">
        <v>252</v>
      </c>
      <c r="X156" s="159">
        <v>320</v>
      </c>
      <c r="Y156" s="159">
        <v>370</v>
      </c>
      <c r="Z156" s="159">
        <v>0</v>
      </c>
      <c r="AA156" s="159">
        <v>0</v>
      </c>
      <c r="AB156" s="159">
        <v>8466</v>
      </c>
      <c r="AC156" s="159">
        <v>22277</v>
      </c>
      <c r="AD156" s="159">
        <v>6296</v>
      </c>
      <c r="AE156" s="159">
        <v>1349</v>
      </c>
      <c r="AF156" s="203">
        <v>0</v>
      </c>
      <c r="AG156" s="237">
        <v>144</v>
      </c>
      <c r="AH156" s="233">
        <v>252</v>
      </c>
      <c r="AI156" s="233">
        <v>126</v>
      </c>
      <c r="AJ156" s="233">
        <v>130</v>
      </c>
      <c r="AK156" s="233">
        <v>0</v>
      </c>
      <c r="AL156" s="233">
        <v>290</v>
      </c>
      <c r="AM156" s="233">
        <v>1356</v>
      </c>
      <c r="AN156" s="233">
        <v>5350</v>
      </c>
      <c r="AO156" s="233">
        <v>12307</v>
      </c>
      <c r="AP156" s="233">
        <v>5089</v>
      </c>
      <c r="AQ156" s="233">
        <v>0</v>
      </c>
      <c r="AR156" s="238">
        <v>14286</v>
      </c>
      <c r="AS156" s="217">
        <v>5215180.2393966848</v>
      </c>
      <c r="AT156" s="203">
        <v>2</v>
      </c>
      <c r="AU156" s="203">
        <v>300</v>
      </c>
      <c r="AV156" s="217">
        <v>17383.934131322283</v>
      </c>
      <c r="AW156" s="217">
        <v>0</v>
      </c>
      <c r="AX156" s="203">
        <v>0</v>
      </c>
      <c r="AY156" s="203">
        <v>0</v>
      </c>
      <c r="AZ156" s="217" t="s">
        <v>687</v>
      </c>
      <c r="BA156" s="217">
        <v>0</v>
      </c>
      <c r="BB156" s="203">
        <v>0</v>
      </c>
      <c r="BC156" s="203">
        <v>0</v>
      </c>
      <c r="BD156" s="307" t="s">
        <v>687</v>
      </c>
    </row>
    <row r="157" spans="1:56" ht="14.65" thickBot="1" x14ac:dyDescent="0.5">
      <c r="A157" s="188">
        <v>816</v>
      </c>
      <c r="B157" s="188" t="s">
        <v>151</v>
      </c>
      <c r="C157" s="240" t="s">
        <v>565</v>
      </c>
      <c r="D157" s="281">
        <v>47074213.589999996</v>
      </c>
      <c r="E157" s="163">
        <v>8767</v>
      </c>
      <c r="F157" s="283">
        <v>9726</v>
      </c>
      <c r="G157" s="288">
        <v>0.10938747576137789</v>
      </c>
      <c r="H157" s="164">
        <v>10554</v>
      </c>
      <c r="I157" s="163">
        <v>11410</v>
      </c>
      <c r="J157" s="163">
        <v>30</v>
      </c>
      <c r="K157" s="163">
        <v>280</v>
      </c>
      <c r="L157" s="163">
        <v>540</v>
      </c>
      <c r="M157" s="172">
        <v>5.3867948784530002E-2</v>
      </c>
      <c r="N157" s="275">
        <v>9088</v>
      </c>
      <c r="O157" s="276">
        <v>9183</v>
      </c>
      <c r="P157" s="277">
        <v>1.04533450704225E-2</v>
      </c>
      <c r="Q157" s="276">
        <v>9421</v>
      </c>
      <c r="R157" s="277">
        <v>3.66417253521127E-2</v>
      </c>
      <c r="S157" s="261">
        <v>91.6</v>
      </c>
      <c r="T157" s="262">
        <v>5</v>
      </c>
      <c r="U157" s="262">
        <v>1.1000000000000001</v>
      </c>
      <c r="V157" s="263">
        <v>97.6</v>
      </c>
      <c r="W157" s="164">
        <v>145</v>
      </c>
      <c r="X157" s="163">
        <v>140</v>
      </c>
      <c r="Y157" s="163">
        <v>0</v>
      </c>
      <c r="Z157" s="163">
        <v>0</v>
      </c>
      <c r="AA157" s="163">
        <v>0</v>
      </c>
      <c r="AB157" s="163">
        <v>6838</v>
      </c>
      <c r="AC157" s="163">
        <v>2355</v>
      </c>
      <c r="AD157" s="163">
        <v>0</v>
      </c>
      <c r="AE157" s="163">
        <v>0</v>
      </c>
      <c r="AF157" s="163">
        <v>0</v>
      </c>
      <c r="AG157" s="239">
        <v>98</v>
      </c>
      <c r="AH157" s="188">
        <v>0</v>
      </c>
      <c r="AI157" s="188">
        <v>187</v>
      </c>
      <c r="AJ157" s="188">
        <v>0</v>
      </c>
      <c r="AK157" s="188">
        <v>0</v>
      </c>
      <c r="AL157" s="188">
        <v>0</v>
      </c>
      <c r="AM157" s="188">
        <v>2945</v>
      </c>
      <c r="AN157" s="188">
        <v>1094</v>
      </c>
      <c r="AO157" s="188">
        <v>5154</v>
      </c>
      <c r="AP157" s="188">
        <v>0</v>
      </c>
      <c r="AQ157" s="188">
        <v>0</v>
      </c>
      <c r="AR157" s="240">
        <v>0</v>
      </c>
      <c r="AS157" s="167">
        <v>8211751.2834655792</v>
      </c>
      <c r="AT157" s="163">
        <v>1</v>
      </c>
      <c r="AU157" s="163">
        <v>60</v>
      </c>
      <c r="AV157" s="167">
        <v>136862.52139109297</v>
      </c>
      <c r="AW157" s="167">
        <v>0</v>
      </c>
      <c r="AX157" s="163">
        <v>0</v>
      </c>
      <c r="AY157" s="163">
        <v>0</v>
      </c>
      <c r="AZ157" s="167" t="s">
        <v>687</v>
      </c>
      <c r="BA157" s="167">
        <v>0</v>
      </c>
      <c r="BB157" s="163">
        <v>0</v>
      </c>
      <c r="BC157" s="163">
        <v>0</v>
      </c>
      <c r="BD157" s="309" t="s">
        <v>687</v>
      </c>
    </row>
    <row r="158" spans="1:56" x14ac:dyDescent="0.45">
      <c r="A158" s="15" t="s">
        <v>279</v>
      </c>
    </row>
    <row r="159" spans="1:56" x14ac:dyDescent="0.45">
      <c r="A159" s="132" t="s">
        <v>280</v>
      </c>
      <c r="B159" t="s">
        <v>534</v>
      </c>
    </row>
    <row r="160" spans="1:56" x14ac:dyDescent="0.45">
      <c r="A160" s="132" t="s">
        <v>281</v>
      </c>
      <c r="B160" t="s">
        <v>637</v>
      </c>
    </row>
    <row r="161" spans="1:3" x14ac:dyDescent="0.45">
      <c r="A161" s="133" t="s">
        <v>282</v>
      </c>
      <c r="B161" s="168" t="s">
        <v>715</v>
      </c>
      <c r="C161" s="168"/>
    </row>
    <row r="162" spans="1:3" x14ac:dyDescent="0.45">
      <c r="A162" s="133"/>
      <c r="B162" s="168" t="s">
        <v>529</v>
      </c>
      <c r="C162" s="168"/>
    </row>
    <row r="163" spans="1:3" x14ac:dyDescent="0.45">
      <c r="A163" s="133"/>
      <c r="B163" s="168" t="s">
        <v>532</v>
      </c>
      <c r="C163" s="168"/>
    </row>
    <row r="164" spans="1:3" s="208" customFormat="1" x14ac:dyDescent="0.45">
      <c r="A164" s="310" t="s">
        <v>302</v>
      </c>
      <c r="B164" s="208" t="s">
        <v>717</v>
      </c>
    </row>
    <row r="165" spans="1:3" s="208" customFormat="1" x14ac:dyDescent="0.45">
      <c r="A165" s="310" t="s">
        <v>528</v>
      </c>
      <c r="B165" s="312" t="s">
        <v>533</v>
      </c>
    </row>
    <row r="166" spans="1:3" s="208" customFormat="1" x14ac:dyDescent="0.45">
      <c r="A166" s="310" t="s">
        <v>531</v>
      </c>
      <c r="B166" s="208" t="s">
        <v>718</v>
      </c>
    </row>
    <row r="167" spans="1:3" s="208" customFormat="1" x14ac:dyDescent="0.45">
      <c r="B167" s="208" t="s">
        <v>719</v>
      </c>
    </row>
    <row r="168" spans="1:3" s="208" customFormat="1" x14ac:dyDescent="0.45">
      <c r="A168" s="310" t="s">
        <v>640</v>
      </c>
      <c r="B168" s="208" t="s">
        <v>726</v>
      </c>
    </row>
    <row r="169" spans="1:3" s="208" customFormat="1" x14ac:dyDescent="0.45">
      <c r="A169" s="310"/>
      <c r="B169" s="208" t="s">
        <v>716</v>
      </c>
    </row>
    <row r="170" spans="1:3" s="208" customFormat="1" x14ac:dyDescent="0.45">
      <c r="A170" s="310"/>
      <c r="B170" s="208" t="s">
        <v>751</v>
      </c>
    </row>
    <row r="171" spans="1:3" s="208" customFormat="1" x14ac:dyDescent="0.45">
      <c r="A171" s="310"/>
      <c r="B171" s="208" t="s">
        <v>749</v>
      </c>
    </row>
    <row r="172" spans="1:3" s="208" customFormat="1" x14ac:dyDescent="0.45">
      <c r="A172" s="314" t="s">
        <v>687</v>
      </c>
      <c r="B172" s="208" t="s">
        <v>712</v>
      </c>
    </row>
    <row r="173" spans="1:3" x14ac:dyDescent="0.45">
      <c r="A173" s="304" t="s">
        <v>711</v>
      </c>
      <c r="B173" t="s">
        <v>713</v>
      </c>
    </row>
  </sheetData>
  <sheetProtection autoFilter="0"/>
  <pageMargins left="0.70866141732283472" right="0.70866141732283472" top="0.74803149606299213" bottom="0.74803149606299213" header="0.31496062992125984" footer="0.31496062992125984"/>
  <pageSetup paperSize="9" scale="39" orientation="landscape" r:id="rId1"/>
  <rowBreaks count="2" manualBreakCount="2">
    <brk id="51" max="16383" man="1"/>
    <brk id="101" max="16383" man="1"/>
  </rowBreaks>
  <colBreaks count="3" manualBreakCount="3">
    <brk id="13" max="1048575" man="1"/>
    <brk id="22" max="1048575" man="1"/>
    <brk id="32" max="1048575" man="1"/>
  </colBreaks>
  <ignoredErrors>
    <ignoredError sqref="A161:A164 A159:A160"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tns:customPropertyEditors xmlns:tns="http://schemas.microsoft.com/office/2006/customDocumentInformationPanel">
  <tns:showOnOpen>false</tns:showOnOpen>
  <tns:defaultPropertyEditorNamespace>Standard and SharePoint library properties</tns:defaultPropertyEditorNamespace>
</tns:customPropertyEdito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g D A A B Q S w M E F A A C A A g A + 1 K 2 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P t S t 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7 U r Z Q K I p H u A 4 A A A A R A A A A E w A c A E Z v c m 1 1 b G F z L 1 N l Y 3 R p b 2 4 x L m 0 g o h g A K K A U A A A A A A A A A A A A A A A A A A A A A A A A A A A A K 0 5 N L s n M z 1 M I h t C G 1 g B Q S w E C L Q A U A A I A C A D 7 U r Z Q b E w R 9 6 g A A A D 4 A A A A E g A A A A A A A A A A A A A A A A A A A A A A Q 2 9 u Z m l n L 1 B h Y 2 t h Z 2 U u e G 1 s U E s B A i 0 A F A A C A A g A + 1 K 2 U A / K 6 a u k A A A A 6 Q A A A B M A A A A A A A A A A A A A A A A A 9 A A A A F t D b 2 5 0 Z W 5 0 X 1 R 5 c G V z X S 5 4 b W x Q S w E C L Q A U A A I A C A D 7 U r Z 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s / S 6 b W P k 0 i G W e k b Q G K 6 N g A A A A A C A A A A A A A D Z g A A w A A A A B A A A A A + H U + q O n v Z 5 y B M B 8 U t 4 / X L A A A A A A S A A A C g A A A A E A A A A K q F Y z l J v L B V p D 5 N 1 W B p T f 1 Q A A A A f l / a T d t / c a + L d K X c T s 1 4 Y 8 7 s d U W 5 X h Y r x U T e i n T h U 9 N P V W b v O T X E 3 u o r x s 3 Z N P s f 8 5 k U q N 9 u 7 i l e n d I L a a y P z s y 7 A m i O g 4 8 q g U D B / e s n Y q g U A A A A K a 2 1 R k r G a R z d 7 e n Q s / Q b i f C O V k w = < / D a t a M a s h u p > 
</file>

<file path=customXml/item5.xml><?xml version="1.0" encoding="utf-8"?>
<p:properties xmlns:p="http://schemas.microsoft.com/office/2006/metadata/properties" xmlns:xsi="http://www.w3.org/2001/XMLSchema-instance" xmlns:pc="http://schemas.microsoft.com/office/infopath/2007/PartnerControls">
  <documentManagement>
    <TaxCatchAll xmlns="8c566321-f672-4e06-a901-b5e72b4c4357">
      <Value>5</Value>
      <Value>25</Value>
      <Value>1</Value>
      <Value>4</Value>
    </TaxCatchAll>
    <_dlc_DocIdUrl xmlns="2a6436df-3f7a-48ac-8ea6-44b411e24bbc">
      <Url>https://educationgovuk.sharepoint.com/sites/efappp/_layouts/15/DocIdRedir.aspx?ID=FKMV6N5X2MYP-1953928680-57746</Url>
      <Description>FKMV6N5X2MYP-1953928680-57746</Description>
    </_dlc_DocIdUrl>
    <_dlc_DocId xmlns="2a6436df-3f7a-48ac-8ea6-44b411e24bbc">FKMV6N5X2MYP-1953928680-57746</_dlc_DocId>
    <aa865908d3ea4ec4ab52f3e79b203244 xmlns="2a6436df-3f7a-48ac-8ea6-44b411e24bbc">
      <Terms xmlns="http://schemas.microsoft.com/office/infopath/2007/PartnerControls">
        <TermInfo xmlns="http://schemas.microsoft.com/office/infopath/2007/PartnerControls">
          <TermName xmlns="http://schemas.microsoft.com/office/infopath/2007/PartnerControls">DfE</TermName>
          <TermId xmlns="http://schemas.microsoft.com/office/infopath/2007/PartnerControls">a484111e-5b24-4ad9-9778-c536c8c88985</TermId>
        </TermInfo>
      </Terms>
    </aa865908d3ea4ec4ab52f3e79b203244>
    <IWPContributor xmlns="e7bcf5b1-8ccf-4526-a9e9-adceb449bc33">
      <UserInfo>
        <DisplayName/>
        <AccountId xsi:nil="true"/>
        <AccountType/>
      </UserInfo>
    </IWPContributor>
    <h5181134883947a99a38d116ffff0006 xmlns="7acd9b5e-9887-4254-89d4-3e4cdaafe9aa">
      <Terms xmlns="http://schemas.microsoft.com/office/infopath/2007/PartnerControls"/>
    </h5181134883947a99a38d116ffff0006>
    <m838850a863f4dc4bc39e3e96051b08e xmlns="2a6436df-3f7a-48ac-8ea6-44b411e24bbc">
      <Terms xmlns="http://schemas.microsoft.com/office/infopath/2007/PartnerControls"/>
    </m838850a863f4dc4bc39e3e96051b08e>
    <gb06d1141a7e43ee97ba5e85a111a0f9 xmlns="2a6436df-3f7a-48ac-8ea6-44b411e24bbc">
      <Terms xmlns="http://schemas.microsoft.com/office/infopath/2007/PartnerControls"/>
    </gb06d1141a7e43ee97ba5e85a111a0f9>
    <jb99ccca03fc46c488d031560066d71d xmlns="2a6436df-3f7a-48ac-8ea6-44b411e24bbc">
      <Terms xmlns="http://schemas.microsoft.com/office/infopath/2007/PartnerControls">
        <TermInfo xmlns="http://schemas.microsoft.com/office/infopath/2007/PartnerControls">
          <TermName xmlns="http://schemas.microsoft.com/office/infopath/2007/PartnerControls">Operations Group</TermName>
          <TermId xmlns="http://schemas.microsoft.com/office/infopath/2007/PartnerControls">87942d1e-b79b-4934-b3e9-2857f972fbe6</TermId>
        </TermInfo>
      </Terms>
    </jb99ccca03fc46c488d031560066d71d>
    <k74b7ec2a93b4177844b9ea30ac923aa xmlns="2a6436df-3f7a-48ac-8ea6-44b411e24bbc">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0884c477-2e62-47ea-b19c-5af6e91124c5</TermId>
        </TermInfo>
      </Terms>
    </k74b7ec2a93b4177844b9ea30ac923aa>
    <Comments xmlns="http://schemas.microsoft.com/sharepoint/v3" xsi:nil="true"/>
  </documentManagement>
</p:properties>
</file>

<file path=customXml/item6.xml><?xml version="1.0" encoding="utf-8"?>
<ct:contentTypeSchema xmlns:ct="http://schemas.microsoft.com/office/2006/metadata/contentType" xmlns:ma="http://schemas.microsoft.com/office/2006/metadata/properties/metaAttributes" ct:_="" ma:_="" ma:contentTypeName="Programme and Project Management" ma:contentTypeID="0x010100DF85B77C75A2E34AA606292EFCC3E9320A00AEC95CB8BFF51A47BB68473344C21AE2" ma:contentTypeVersion="43" ma:contentTypeDescription="For programme or project documents. Records retained for 10 years." ma:contentTypeScope="" ma:versionID="f5f758e1e304aea31af6e4a582479b3f">
  <xsd:schema xmlns:xsd="http://www.w3.org/2001/XMLSchema" xmlns:xs="http://www.w3.org/2001/XMLSchema" xmlns:p="http://schemas.microsoft.com/office/2006/metadata/properties" xmlns:ns1="http://schemas.microsoft.com/sharepoint/v3" xmlns:ns2="2a6436df-3f7a-48ac-8ea6-44b411e24bbc" xmlns:ns3="8c566321-f672-4e06-a901-b5e72b4c4357" xmlns:ns4="e7bcf5b1-8ccf-4526-a9e9-adceb449bc33" xmlns:ns5="7acd9b5e-9887-4254-89d4-3e4cdaafe9aa" targetNamespace="http://schemas.microsoft.com/office/2006/metadata/properties" ma:root="true" ma:fieldsID="43c0f94f9103488fee8b561aae42f3d5" ns1:_="" ns2:_="" ns3:_="" ns4:_="" ns5:_="">
    <xsd:import namespace="http://schemas.microsoft.com/sharepoint/v3"/>
    <xsd:import namespace="2a6436df-3f7a-48ac-8ea6-44b411e24bbc"/>
    <xsd:import namespace="8c566321-f672-4e06-a901-b5e72b4c4357"/>
    <xsd:import namespace="e7bcf5b1-8ccf-4526-a9e9-adceb449bc33"/>
    <xsd:import namespace="7acd9b5e-9887-4254-89d4-3e4cdaafe9aa"/>
    <xsd:element name="properties">
      <xsd:complexType>
        <xsd:sequence>
          <xsd:element name="documentManagement">
            <xsd:complexType>
              <xsd:all>
                <xsd:element ref="ns2:_dlc_DocId" minOccurs="0"/>
                <xsd:element ref="ns2:_dlc_DocIdUrl" minOccurs="0"/>
                <xsd:element ref="ns2:_dlc_DocIdPersistId" minOccurs="0"/>
                <xsd:element ref="ns1:Comments" minOccurs="0"/>
                <xsd:element ref="ns3:TaxCatchAll" minOccurs="0"/>
                <xsd:element ref="ns3:TaxCatchAllLabel" minOccurs="0"/>
                <xsd:element ref="ns1:_vti_ItemDeclaredRecord" minOccurs="0"/>
                <xsd:element ref="ns2:gb06d1141a7e43ee97ba5e85a111a0f9" minOccurs="0"/>
                <xsd:element ref="ns2:aa865908d3ea4ec4ab52f3e79b203244" minOccurs="0"/>
                <xsd:element ref="ns2:k74b7ec2a93b4177844b9ea30ac923aa" minOccurs="0"/>
                <xsd:element ref="ns2:m838850a863f4dc4bc39e3e96051b08e" minOccurs="0"/>
                <xsd:element ref="ns2:jb99ccca03fc46c488d031560066d71d" minOccurs="0"/>
                <xsd:element ref="ns4:IWPContributor" minOccurs="0"/>
                <xsd:element ref="ns5:h5181134883947a99a38d116ffff000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11" nillable="true" ma:displayName="Description" ma:hidden="true" ma:internalName="Comments" ma:readOnly="false">
      <xsd:simpleType>
        <xsd:restriction base="dms:Note"/>
      </xsd:simpleType>
    </xsd:element>
    <xsd:element name="_vti_ItemDeclaredRecord" ma:index="19" nillable="true" ma:displayName="Declared Record" ma:description="" ma:hidden="true" ma:indexed="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a6436df-3f7a-48ac-8ea6-44b411e24bb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gb06d1141a7e43ee97ba5e85a111a0f9" ma:index="23" nillable="true" ma:taxonomy="true" ma:internalName="gb06d1141a7e43ee97ba5e85a111a0f9" ma:taxonomyFieldName="IWPFunction" ma:displayName="Function" ma:readOnly="false" ma:fieldId="{0b06d114-1a7e-43ee-97ba-5e85a111a0f9}" ma:taxonomyMulti="true" ma:sspId="ec07c698-60f5-424f-b9af-f4c59398b511" ma:termSetId="d25a8a8b-cc76-477b-9c8b-292b0e01012c" ma:anchorId="00000000-0000-0000-0000-000000000000" ma:open="false" ma:isKeyword="false">
      <xsd:complexType>
        <xsd:sequence>
          <xsd:element ref="pc:Terms" minOccurs="0" maxOccurs="1"/>
        </xsd:sequence>
      </xsd:complexType>
    </xsd:element>
    <xsd:element name="aa865908d3ea4ec4ab52f3e79b203244" ma:index="24" ma:taxonomy="true" ma:internalName="aa865908d3ea4ec4ab52f3e79b203244" ma:taxonomyFieldName="IWPOwner" ma:displayName="Owner" ma:readOnly="false" ma:default="5;#DfE|a484111e-5b24-4ad9-9778-c536c8c88985" ma:fieldId="{aa865908-d3ea-4ec4-ab52-f3e79b203244}" ma:sspId="ec07c698-60f5-424f-b9af-f4c59398b511" ma:termSetId="12161dbb-b36f-4439-aef1-21e7cc922807" ma:anchorId="00000000-0000-0000-0000-000000000000" ma:open="false" ma:isKeyword="false">
      <xsd:complexType>
        <xsd:sequence>
          <xsd:element ref="pc:Terms" minOccurs="0" maxOccurs="1"/>
        </xsd:sequence>
      </xsd:complexType>
    </xsd:element>
    <xsd:element name="k74b7ec2a93b4177844b9ea30ac923aa" ma:index="25" ma:taxonomy="true" ma:internalName="k74b7ec2a93b4177844b9ea30ac923aa" ma:taxonomyFieldName="IWPRightsProtectiveMarking" ma:displayName="Rights: Protective Marking" ma:readOnly="false" ma:default="1;#Official|0884c477-2e62-47ea-b19c-5af6e91124c5" ma:fieldId="{474b7ec2-a93b-4177-844b-9ea30ac923aa}" ma:sspId="ec07c698-60f5-424f-b9af-f4c59398b511" ma:termSetId="7870c18b-dc34-46a1-adf5-a571f0cac88b" ma:anchorId="00000000-0000-0000-0000-000000000000" ma:open="false" ma:isKeyword="false">
      <xsd:complexType>
        <xsd:sequence>
          <xsd:element ref="pc:Terms" minOccurs="0" maxOccurs="1"/>
        </xsd:sequence>
      </xsd:complexType>
    </xsd:element>
    <xsd:element name="m838850a863f4dc4bc39e3e96051b08e" ma:index="26" nillable="true" ma:taxonomy="true" ma:internalName="m838850a863f4dc4bc39e3e96051b08e" ma:taxonomyFieldName="IWPSiteType" ma:displayName="Site Type" ma:readOnly="false" ma:fieldId="{6838850a-863f-4dc4-bc39-e3e96051b08e}" ma:sspId="ec07c698-60f5-424f-b9af-f4c59398b511" ma:termSetId="68f3bd98-4d9d-4839-831a-d4827606df7e" ma:anchorId="00000000-0000-0000-0000-000000000000" ma:open="false" ma:isKeyword="false">
      <xsd:complexType>
        <xsd:sequence>
          <xsd:element ref="pc:Terms" minOccurs="0" maxOccurs="1"/>
        </xsd:sequence>
      </xsd:complexType>
    </xsd:element>
    <xsd:element name="jb99ccca03fc46c488d031560066d71d" ma:index="27" ma:taxonomy="true" ma:internalName="jb99ccca03fc46c488d031560066d71d" ma:taxonomyFieldName="IWPOrganisationalUnit" ma:displayName="Organisational Unit" ma:readOnly="false" ma:default="25;#Operations Group|87942d1e-b79b-4934-b3e9-2857f972fbe6" ma:fieldId="{3b99ccca-03fc-46c4-88d0-31560066d71d}" ma:sspId="ec07c698-60f5-424f-b9af-f4c59398b511" ma:termSetId="b3e263f6-0ab6-425a-b3de-0e67f2faf769"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c566321-f672-4e06-a901-b5e72b4c4357"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0dae1279-9e57-4a06-96c5-5370ab709b2e}" ma:internalName="TaxCatchAll" ma:readOnly="false" ma:showField="CatchAllData" ma:web="2a6436df-3f7a-48ac-8ea6-44b411e24bb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list="{0dae1279-9e57-4a06-96c5-5370ab709b2e}" ma:internalName="TaxCatchAllLabel" ma:readOnly="true" ma:showField="CatchAllDataLabel" ma:web="2a6436df-3f7a-48ac-8ea6-44b411e24bb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7bcf5b1-8ccf-4526-a9e9-adceb449bc33" elementFormDefault="qualified">
    <xsd:import namespace="http://schemas.microsoft.com/office/2006/documentManagement/types"/>
    <xsd:import namespace="http://schemas.microsoft.com/office/infopath/2007/PartnerControls"/>
    <xsd:element name="IWPContributor" ma:index="28" nillable="true" ma:displayName="Contributor" ma:list="UserInfo" ma:SharePointGroup="0" ma:internalName="IWPContributo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acd9b5e-9887-4254-89d4-3e4cdaafe9aa" elementFormDefault="qualified">
    <xsd:import namespace="http://schemas.microsoft.com/office/2006/documentManagement/types"/>
    <xsd:import namespace="http://schemas.microsoft.com/office/infopath/2007/PartnerControls"/>
    <xsd:element name="h5181134883947a99a38d116ffff0006" ma:index="29" nillable="true" ma:taxonomy="true" ma:internalName="h5181134883947a99a38d116ffff0006" ma:taxonomyFieldName="IWPSubject" ma:displayName="Subject" ma:readOnly="false" ma:fieldId="{15181134-8839-47a9-9a38-d116ffff0006}" ma:sspId="ec07c698-60f5-424f-b9af-f4c59398b511" ma:termSetId="33432453-e88c-4baa-94a6-467fc4fc06f9"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56F41E-F268-4EC3-9D6E-46CBAB1EBC05}">
  <ds:schemaRefs>
    <ds:schemaRef ds:uri="http://schemas.microsoft.com/sharepoint/events"/>
    <ds:schemaRef ds:uri="http://www.w3.org/2000/xmlns/"/>
  </ds:schemaRefs>
</ds:datastoreItem>
</file>

<file path=customXml/itemProps2.xml><?xml version="1.0" encoding="utf-8"?>
<ds:datastoreItem xmlns:ds="http://schemas.openxmlformats.org/officeDocument/2006/customXml" ds:itemID="{D0B8D783-0610-480A-B538-FCDFDA9FBB98}">
  <ds:schemaRefs>
    <ds:schemaRef ds:uri="http://schemas.microsoft.com/office/2006/customDocumentInformationPanel"/>
    <ds:schemaRef ds:uri="http://www.w3.org/2000/xmlns/"/>
  </ds:schemaRefs>
</ds:datastoreItem>
</file>

<file path=customXml/itemProps3.xml><?xml version="1.0" encoding="utf-8"?>
<ds:datastoreItem xmlns:ds="http://schemas.openxmlformats.org/officeDocument/2006/customXml" ds:itemID="{50F64CD9-E6B0-48D5-AC4C-3DACB20C5E1E}">
  <ds:schemaRefs>
    <ds:schemaRef ds:uri="http://schemas.microsoft.com/sharepoint/v3/contenttype/forms"/>
  </ds:schemaRefs>
</ds:datastoreItem>
</file>

<file path=customXml/itemProps4.xml><?xml version="1.0" encoding="utf-8"?>
<ds:datastoreItem xmlns:ds="http://schemas.openxmlformats.org/officeDocument/2006/customXml" ds:itemID="{B01270D8-17AC-47BB-9C65-B81CA3B5F516}">
  <ds:schemaRefs>
    <ds:schemaRef ds:uri="http://schemas.microsoft.com/DataMashup"/>
  </ds:schemaRefs>
</ds:datastoreItem>
</file>

<file path=customXml/itemProps5.xml><?xml version="1.0" encoding="utf-8"?>
<ds:datastoreItem xmlns:ds="http://schemas.openxmlformats.org/officeDocument/2006/customXml" ds:itemID="{6C0C5E3D-8E7B-49BE-95BE-106D684109AD}">
  <ds:schemaRefs>
    <ds:schemaRef ds:uri="http://purl.org/dc/dcmitype/"/>
    <ds:schemaRef ds:uri="7acd9b5e-9887-4254-89d4-3e4cdaafe9aa"/>
    <ds:schemaRef ds:uri="http://purl.org/dc/terms/"/>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e7bcf5b1-8ccf-4526-a9e9-adceb449bc33"/>
    <ds:schemaRef ds:uri="8c566321-f672-4e06-a901-b5e72b4c4357"/>
    <ds:schemaRef ds:uri="2a6436df-3f7a-48ac-8ea6-44b411e24bbc"/>
    <ds:schemaRef ds:uri="http://schemas.microsoft.com/sharepoint/v3"/>
    <ds:schemaRef ds:uri="http://www.w3.org/XML/1998/namespace"/>
  </ds:schemaRefs>
</ds:datastoreItem>
</file>

<file path=customXml/itemProps6.xml><?xml version="1.0" encoding="utf-8"?>
<ds:datastoreItem xmlns:ds="http://schemas.openxmlformats.org/officeDocument/2006/customXml" ds:itemID="{4920B19A-3246-46BF-9F45-52FD0FDE03A4}">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2a6436df-3f7a-48ac-8ea6-44b411e24bbc"/>
    <ds:schemaRef ds:uri="8c566321-f672-4e06-a901-b5e72b4c4357"/>
    <ds:schemaRef ds:uri="e7bcf5b1-8ccf-4526-a9e9-adceb449bc33"/>
    <ds:schemaRef ds:uri="7acd9b5e-9887-4254-89d4-3e4cdaafe9aa"/>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168</vt:i4>
      </vt:variant>
    </vt:vector>
  </HeadingPairs>
  <TitlesOfParts>
    <vt:vector size="177" baseType="lpstr">
      <vt:lpstr>Information</vt:lpstr>
      <vt:lpstr>Version Control</vt:lpstr>
      <vt:lpstr>Meta Data</vt:lpstr>
      <vt:lpstr>Data</vt:lpstr>
      <vt:lpstr>Calculations</vt:lpstr>
      <vt:lpstr>Scorecard</vt:lpstr>
      <vt:lpstr>Technical Notes</vt:lpstr>
      <vt:lpstr>Primary Summary Data</vt:lpstr>
      <vt:lpstr>Secondary Summary Data</vt:lpstr>
      <vt:lpstr>Auth_num</vt:lpstr>
      <vt:lpstr>Auth_num2</vt:lpstr>
      <vt:lpstr>Authorities</vt:lpstr>
      <vt:lpstr>Authorities2</vt:lpstr>
      <vt:lpstr>Ban_P_gro</vt:lpstr>
      <vt:lpstr>Ban_S_gro</vt:lpstr>
      <vt:lpstr>BNfunding</vt:lpstr>
      <vt:lpstr>chosen_LA</vt:lpstr>
      <vt:lpstr>Chosen_laNUM</vt:lpstr>
      <vt:lpstr>chosen_phase</vt:lpstr>
      <vt:lpstr>Chosen_Qual</vt:lpstr>
      <vt:lpstr>cost_lab1</vt:lpstr>
      <vt:lpstr>cost_lab2</vt:lpstr>
      <vt:lpstr>cost_lab3</vt:lpstr>
      <vt:lpstr>Cost_P_EPn</vt:lpstr>
      <vt:lpstr>Cost_P_ETn</vt:lpstr>
      <vt:lpstr>Cost_P_NSn</vt:lpstr>
      <vt:lpstr>Cost_S_EPn</vt:lpstr>
      <vt:lpstr>Cost_S_ETn</vt:lpstr>
      <vt:lpstr>Cost_S_NSn</vt:lpstr>
      <vt:lpstr>CPP_P_EP</vt:lpstr>
      <vt:lpstr>CPP_P_ET</vt:lpstr>
      <vt:lpstr>CPP_P_NS</vt:lpstr>
      <vt:lpstr>CPP_S_EP</vt:lpstr>
      <vt:lpstr>CPP_S_ET</vt:lpstr>
      <vt:lpstr>CPP_S_NS</vt:lpstr>
      <vt:lpstr>ct_key1</vt:lpstr>
      <vt:lpstr>ct_lab5</vt:lpstr>
      <vt:lpstr>ct_lab6</vt:lpstr>
      <vt:lpstr>Existing</vt:lpstr>
      <vt:lpstr>For_1_P</vt:lpstr>
      <vt:lpstr>For_1_S</vt:lpstr>
      <vt:lpstr>for_1_value</vt:lpstr>
      <vt:lpstr>For_3_P</vt:lpstr>
      <vt:lpstr>For_3_S</vt:lpstr>
      <vt:lpstr>for_3_value</vt:lpstr>
      <vt:lpstr>for_lab1</vt:lpstr>
      <vt:lpstr>for_lab2</vt:lpstr>
      <vt:lpstr>for_lab3</vt:lpstr>
      <vt:lpstr>for_lab4</vt:lpstr>
      <vt:lpstr>For_lab5</vt:lpstr>
      <vt:lpstr>For_LAranking</vt:lpstr>
      <vt:lpstr>for_lavb3</vt:lpstr>
      <vt:lpstr>Funding</vt:lpstr>
      <vt:lpstr>Funding_lab1</vt:lpstr>
      <vt:lpstr>KS2Mat_A_E</vt:lpstr>
      <vt:lpstr>KS2Mat_A_N</vt:lpstr>
      <vt:lpstr>KS2Mat_AA_E</vt:lpstr>
      <vt:lpstr>KS2Mat_AA_N</vt:lpstr>
      <vt:lpstr>KS2Mat_BA_E</vt:lpstr>
      <vt:lpstr>KS2Mat_BA_N</vt:lpstr>
      <vt:lpstr>KS2Mat_NR_E</vt:lpstr>
      <vt:lpstr>KS2Mat_NR_N</vt:lpstr>
      <vt:lpstr>KS2Mat_WAA_E</vt:lpstr>
      <vt:lpstr>KS2Mat_WAA_N</vt:lpstr>
      <vt:lpstr>KS2Mat_WBA_E</vt:lpstr>
      <vt:lpstr>KS2Mat_WBA_N</vt:lpstr>
      <vt:lpstr>KS2Read_A_E</vt:lpstr>
      <vt:lpstr>KS2Read_A_N</vt:lpstr>
      <vt:lpstr>KS2Read_AA_E</vt:lpstr>
      <vt:lpstr>KS2Read_AA_N</vt:lpstr>
      <vt:lpstr>KS2Read_BA_E</vt:lpstr>
      <vt:lpstr>KS2Read_BA_N</vt:lpstr>
      <vt:lpstr>KS2Read_NR_E</vt:lpstr>
      <vt:lpstr>KS2Read_NR_N</vt:lpstr>
      <vt:lpstr>KS2Read_WAA_E</vt:lpstr>
      <vt:lpstr>KS2Read_WAA_N</vt:lpstr>
      <vt:lpstr>KS2Read_WBA_E</vt:lpstr>
      <vt:lpstr>KS2Read_WBA_N</vt:lpstr>
      <vt:lpstr>LA_data_list</vt:lpstr>
      <vt:lpstr>LA_data_list2</vt:lpstr>
      <vt:lpstr>New</vt:lpstr>
      <vt:lpstr>obscurer</vt:lpstr>
      <vt:lpstr>PG_lab</vt:lpstr>
      <vt:lpstr>Phases</vt:lpstr>
      <vt:lpstr>Pref_eng</vt:lpstr>
      <vt:lpstr>Pref_LA</vt:lpstr>
      <vt:lpstr>Pref_lab1</vt:lpstr>
      <vt:lpstr>Pref_Lab2</vt:lpstr>
      <vt:lpstr>Pref_lab3</vt:lpstr>
      <vt:lpstr>Pref_P_1</vt:lpstr>
      <vt:lpstr>Pref_P_2</vt:lpstr>
      <vt:lpstr>Pref_P_3</vt:lpstr>
      <vt:lpstr>Pref_P_T3</vt:lpstr>
      <vt:lpstr>Pref_S_1</vt:lpstr>
      <vt:lpstr>Pref_S_2</vt:lpstr>
      <vt:lpstr>Pref_S_3</vt:lpstr>
      <vt:lpstr>Pref_S_T3</vt:lpstr>
      <vt:lpstr>Pref_T3</vt:lpstr>
      <vt:lpstr>Information!Print_Area</vt:lpstr>
      <vt:lpstr>'Primary Summary Data'!Print_Area</vt:lpstr>
      <vt:lpstr>Scorecard!Print_Area</vt:lpstr>
      <vt:lpstr>'Technical Notes'!Print_Area</vt:lpstr>
      <vt:lpstr>'Primary Summary Data'!Print_Titles</vt:lpstr>
      <vt:lpstr>'Secondary Summary Data'!Print_Titles</vt:lpstr>
      <vt:lpstr>'Technical Notes'!Print_Titles</vt:lpstr>
      <vt:lpstr>Pupil_Growth</vt:lpstr>
      <vt:lpstr>ql_key1</vt:lpstr>
      <vt:lpstr>ql_key2</vt:lpstr>
      <vt:lpstr>ql_lab8</vt:lpstr>
      <vt:lpstr>ql_lab9</vt:lpstr>
      <vt:lpstr>Qn_axis2</vt:lpstr>
      <vt:lpstr>Qn_key1</vt:lpstr>
      <vt:lpstr>Qn_key2</vt:lpstr>
      <vt:lpstr>Qn_key3</vt:lpstr>
      <vt:lpstr>Qn_key4</vt:lpstr>
      <vt:lpstr>Qn_KeySu</vt:lpstr>
      <vt:lpstr>qn_lab2</vt:lpstr>
      <vt:lpstr>qual_key_6</vt:lpstr>
      <vt:lpstr>qual_key3</vt:lpstr>
      <vt:lpstr>Qual_key4</vt:lpstr>
      <vt:lpstr>Qual_key5</vt:lpstr>
      <vt:lpstr>Qual_KS2Mat_Prop</vt:lpstr>
      <vt:lpstr>Qual_KS2Mat_Propranks</vt:lpstr>
      <vt:lpstr>Qual_KS2Read_Prop</vt:lpstr>
      <vt:lpstr>Qual_KS2Read_Propranks</vt:lpstr>
      <vt:lpstr>Qual_KS4_A_E</vt:lpstr>
      <vt:lpstr>Qual_KS4_A_N</vt:lpstr>
      <vt:lpstr>Qual_KS4_AA_E</vt:lpstr>
      <vt:lpstr>Qual_KS4_AA_N</vt:lpstr>
      <vt:lpstr>Qual_KS4_BA_E</vt:lpstr>
      <vt:lpstr>Qual_KS4_BA_N</vt:lpstr>
      <vt:lpstr>Qual_KS4_NR_E</vt:lpstr>
      <vt:lpstr>Qual_KS4_NR_N</vt:lpstr>
      <vt:lpstr>Qual_KS4_Prop</vt:lpstr>
      <vt:lpstr>Qual_KS4_Proprank</vt:lpstr>
      <vt:lpstr>Qual_KS4_WAA_E</vt:lpstr>
      <vt:lpstr>Qual_KS4_WAA_N</vt:lpstr>
      <vt:lpstr>Qual_KS4_WBA_E</vt:lpstr>
      <vt:lpstr>Qual_KS4_WBA_N</vt:lpstr>
      <vt:lpstr>Qual_mets</vt:lpstr>
      <vt:lpstr>Qual_NoNplaces</vt:lpstr>
      <vt:lpstr>Qual_P_E_0</vt:lpstr>
      <vt:lpstr>Qual_P_E_1</vt:lpstr>
      <vt:lpstr>Qual_P_E_2</vt:lpstr>
      <vt:lpstr>Qual_P_E_3</vt:lpstr>
      <vt:lpstr>Qual_P_E_4</vt:lpstr>
      <vt:lpstr>Qual_P_N_0</vt:lpstr>
      <vt:lpstr>Qual_P_N_1</vt:lpstr>
      <vt:lpstr>Qual_P_N_2</vt:lpstr>
      <vt:lpstr>Qual_P_N_3</vt:lpstr>
      <vt:lpstr>Qual_P_N_4</vt:lpstr>
      <vt:lpstr>Qual_P_Prop</vt:lpstr>
      <vt:lpstr>Scorecard!Qual_P_PropRanks</vt:lpstr>
      <vt:lpstr>Qual_P_PropRanks</vt:lpstr>
      <vt:lpstr>Qual_S_E_0</vt:lpstr>
      <vt:lpstr>Qual_S_E_1</vt:lpstr>
      <vt:lpstr>Qual_S_E_2</vt:lpstr>
      <vt:lpstr>Qual_S_E_3</vt:lpstr>
      <vt:lpstr>Qual_S_E_4</vt:lpstr>
      <vt:lpstr>Qual_S_N_0</vt:lpstr>
      <vt:lpstr>Qual_S_N_1</vt:lpstr>
      <vt:lpstr>Qual_S_N_2</vt:lpstr>
      <vt:lpstr>Qual_S_N_3</vt:lpstr>
      <vt:lpstr>Qual_S_N_4</vt:lpstr>
      <vt:lpstr>Qual_S_Prop</vt:lpstr>
      <vt:lpstr>Qual_S_PropRanks</vt:lpstr>
      <vt:lpstr>Quan_lab1</vt:lpstr>
      <vt:lpstr>Quan_lab2</vt:lpstr>
      <vt:lpstr>Quan_P_In</vt:lpstr>
      <vt:lpstr>Quan_P_PP</vt:lpstr>
      <vt:lpstr>Quan_P_RP</vt:lpstr>
      <vt:lpstr>Quan_P_Su</vt:lpstr>
      <vt:lpstr>Quan_S_In</vt:lpstr>
      <vt:lpstr>Quan_S_PP</vt:lpstr>
      <vt:lpstr>Quan_S_RP</vt:lpstr>
      <vt:lpstr>Quan_S_Su</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2018 School Places Scorecard</dc:title>
  <dc:creator/>
  <cp:lastModifiedBy/>
  <dcterms:created xsi:type="dcterms:W3CDTF">2018-05-23T14:23:02Z</dcterms:created>
  <dcterms:modified xsi:type="dcterms:W3CDTF">2021-07-09T14:38:26Z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0x010100DF85B77C75A2E34AA606292EFCC3E9320A00AEC95CB8BFF51A47BB68473344C21AE2</vt:lpwstr>
  </property>
  <property fmtid="{D5CDD505-2E9C-101B-9397-08002B2CF9AE}" pid="3" name="IWPOrganisationalUnit">
    <vt:lpwstr>25;#Operations Group|87942d1e-b79b-4934-b3e9-2857f972fbe6</vt:lpwstr>
  </property>
  <property fmtid="{D5CDD505-2E9C-101B-9397-08002B2CF9AE}" pid="4" name="IWPOwner">
    <vt:lpwstr>5;#DfE|a484111e-5b24-4ad9-9778-c536c8c88985</vt:lpwstr>
  </property>
  <property fmtid="{D5CDD505-2E9C-101B-9397-08002B2CF9AE}" pid="5" name="IWPFunction">
    <vt:lpwstr/>
  </property>
  <property fmtid="{D5CDD505-2E9C-101B-9397-08002B2CF9AE}" pid="6" name="IWPSiteType">
    <vt:lpwstr/>
  </property>
  <property fmtid="{D5CDD505-2E9C-101B-9397-08002B2CF9AE}" pid="7" name="IWPRightsProtectiveMarking">
    <vt:lpwstr>1;#Official|0884c477-2e62-47ea-b19c-5af6e91124c5</vt:lpwstr>
  </property>
  <property fmtid="{D5CDD505-2E9C-101B-9397-08002B2CF9AE}" pid="8" name="IWPSubject">
    <vt:lpwstr/>
  </property>
  <property fmtid="{D5CDD505-2E9C-101B-9397-08002B2CF9AE}" pid="9" name="_dlc_DocIdItemGuid">
    <vt:lpwstr>49fc6ca4-02c7-48e7-a0d5-abb93d120e53</vt:lpwstr>
  </property>
  <property fmtid="{D5CDD505-2E9C-101B-9397-08002B2CF9AE}" pid="10" name="DfeOwner">
    <vt:lpwstr>5;#DfE|a484111e-5b24-4ad9-9778-c536c8c88985</vt:lpwstr>
  </property>
  <property fmtid="{D5CDD505-2E9C-101B-9397-08002B2CF9AE}" pid="11" name="c02f73938b5741d4934b358b31a1b80f">
    <vt:lpwstr>Official|0884c477-2e62-47ea-b19c-5af6e91124c5</vt:lpwstr>
  </property>
  <property fmtid="{D5CDD505-2E9C-101B-9397-08002B2CF9AE}" pid="12" name="p6919dbb65844893b164c5f63a6f0eeb">
    <vt:lpwstr>DfE|a484111e-5b24-4ad9-9778-c536c8c88985</vt:lpwstr>
  </property>
  <property fmtid="{D5CDD505-2E9C-101B-9397-08002B2CF9AE}" pid="13" name="f6ec388a6d534bab86a259abd1bfa088">
    <vt:lpwstr>DfE|cc08a6d4-dfde-4d0f-bd85-069ebcef80d5</vt:lpwstr>
  </property>
  <property fmtid="{D5CDD505-2E9C-101B-9397-08002B2CF9AE}" pid="14" name="DfeOrganisationalUnit">
    <vt:lpwstr>4;#DfE|cc08a6d4-dfde-4d0f-bd85-069ebcef80d5</vt:lpwstr>
  </property>
  <property fmtid="{D5CDD505-2E9C-101B-9397-08002B2CF9AE}" pid="15" name="DfeRights:ProtectiveMarking">
    <vt:lpwstr>1;#Official|0884c477-2e62-47ea-b19c-5af6e91124c5</vt:lpwstr>
  </property>
  <property fmtid="{D5CDD505-2E9C-101B-9397-08002B2CF9AE}" pid="16" name="aa865908d3ea4ec4ab52f3e79b203244">
    <vt:lpwstr>EFA|4a323c2c-9aef-47e8-b09b-131faf9bac1c</vt:lpwstr>
  </property>
  <property fmtid="{D5CDD505-2E9C-101B-9397-08002B2CF9AE}" pid="17" name="m838850a863f4dc4bc39e3e96051b08e">
    <vt:lpwstr/>
  </property>
  <property fmtid="{D5CDD505-2E9C-101B-9397-08002B2CF9AE}" pid="18" name="DfeSubject">
    <vt:lpwstr/>
  </property>
  <property fmtid="{D5CDD505-2E9C-101B-9397-08002B2CF9AE}" pid="19" name="jb99ccca03fc46c488d031560066d71d">
    <vt:lpwstr>EFA|f55057f6-e680-4dd8-a168-9494a8b9b0ae</vt:lpwstr>
  </property>
  <property fmtid="{D5CDD505-2E9C-101B-9397-08002B2CF9AE}" pid="20" name="k74b7ec2a93b4177844b9ea30ac923aa">
    <vt:lpwstr>Official|0884c477-2e62-47ea-b19c-5af6e91124c5</vt:lpwstr>
  </property>
  <property fmtid="{D5CDD505-2E9C-101B-9397-08002B2CF9AE}" pid="21" name="gb06d1141a7e43ee97ba5e85a111a0f9">
    <vt:lpwstr/>
  </property>
  <property fmtid="{D5CDD505-2E9C-101B-9397-08002B2CF9AE}" pid="22" name="h5181134883947a99a38d116ffff0006">
    <vt:lpwstr/>
  </property>
  <property fmtid="{D5CDD505-2E9C-101B-9397-08002B2CF9AE}" pid="23" name="i98b064926ea4fbe8f5b88c394ff652b">
    <vt:lpwstr/>
  </property>
</Properties>
</file>